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defaultThemeVersion="166925"/>
  <mc:AlternateContent xmlns:mc="http://schemas.openxmlformats.org/markup-compatibility/2006">
    <mc:Choice Requires="x15">
      <x15ac:absPath xmlns:x15ac="http://schemas.microsoft.com/office/spreadsheetml/2010/11/ac" url="/Users/tinosolutionslimited/Desktop/LENOVO/TINO/DOCUMENTS/PYTHON/TINO_Invoice-online/Tino-Solutions-Reports/static/excel/"/>
    </mc:Choice>
  </mc:AlternateContent>
  <xr:revisionPtr revIDLastSave="0" documentId="13_ncr:1_{F0C6D7C7-18A6-2D43-880C-DB50B10CEDD8}" xr6:coauthVersionLast="47" xr6:coauthVersionMax="47" xr10:uidLastSave="{00000000-0000-0000-0000-000000000000}"/>
  <bookViews>
    <workbookView xWindow="0" yWindow="500" windowWidth="26880" windowHeight="16300" tabRatio="653" activeTab="2" xr2:uid="{00000000-000D-0000-FFFF-FFFF00000000}"/>
  </bookViews>
  <sheets>
    <sheet name="Items" sheetId="12" r:id="rId1"/>
    <sheet name="Client List" sheetId="13" r:id="rId2"/>
    <sheet name="INVOICE" sheetId="2" r:id="rId3"/>
    <sheet name="Customer Base" sheetId="6" r:id="rId4"/>
    <sheet name="T" sheetId="19" r:id="rId5"/>
    <sheet name="CABLE SIZING TOOL" sheetId="20" r:id="rId6"/>
  </sheets>
  <definedNames>
    <definedName name="_xlnm._FilterDatabase" localSheetId="1" hidden="1">'Client List'!$B$1:$H$1522</definedName>
    <definedName name="_xlnm._FilterDatabase" localSheetId="3" hidden="1">'Customer Base'!$C$34:$C$34</definedName>
    <definedName name="_xlnm._FilterDatabase" localSheetId="2" hidden="1">INVOICE!$J$11:$K$14</definedName>
    <definedName name="_xlnm._FilterDatabase" localSheetId="0" hidden="1">Items!$B$3:$I$687</definedName>
    <definedName name="Accesories_citel">OFFSET(Items!#REF!,,,COUNTA(#REF!))</definedName>
    <definedName name="BATTERY_TYPE">OFFSET(Items!#REF!,,,COUNTA(#REF!))</definedName>
    <definedName name="BYD_Lithium">Items!$AN$205:$AN$212</definedName>
    <definedName name="BYD_Solar_Panel">Items!$AN$242:$AN$243</definedName>
    <definedName name="CLIENT_info">OFFSET('Customer Base'!#REF!,,,COUNTA('Customer Base'!#REF!))</definedName>
    <definedName name="CurrentUser">#REF!</definedName>
    <definedName name="Deye">Items!$AN$77:$AN$83</definedName>
    <definedName name="EasySolar">Items!$AN$62</definedName>
    <definedName name="EasySolar_II">Items!$AN$64:$AN$66</definedName>
    <definedName name="Eco">Items!$AN$117:$AN$118</definedName>
    <definedName name="Freedom_Won">Items!#REF!</definedName>
    <definedName name="Galvo">Items!$AN$103:$AN$105</definedName>
    <definedName name="Gen_24_Primo">Items!$AN$122:$AN$124</definedName>
    <definedName name="Gen_24_Symo">Items!$AN$125:$AN$132</definedName>
    <definedName name="GX_MONITORING">OFFSET(Items!#REF!,,,COUNTA(#REF!))</definedName>
    <definedName name="Hoppecke_Lead_Acid">Items!$AN$234:$AN$236</definedName>
    <definedName name="Hoppecke_OPzS">Items!#REF!</definedName>
    <definedName name="Hoppecke_OPzV">Items!$AN$233:$AN$233</definedName>
    <definedName name="Huawei">Items!$AN$86:$AN$94</definedName>
    <definedName name="Huawei_Lithium">Items!$AN$217:$AN$219</definedName>
    <definedName name="JA_Solar_Panel">Items!#REF!</definedName>
    <definedName name="Jinko_Lithium">Items!$AN$215</definedName>
    <definedName name="Jinko_Solar_Panel">Items!$AN$245</definedName>
    <definedName name="LIST_OF_INVERTER_INVERTER">OFFSET(Items!$C$5,,,COUNTA(Items!$C:$C))</definedName>
    <definedName name="MPPT">OFFSET(#REF!,,,COUNTA(#REF!))</definedName>
    <definedName name="Multiplus">Items!$AN$26:$AN$45</definedName>
    <definedName name="Multiplus_II">Items!$AN$47:$AN$53</definedName>
    <definedName name="Multiplus_II_GX">Items!$AN$54:$AN$55</definedName>
    <definedName name="Phocos_B">Items!$AN$72</definedName>
    <definedName name="Phocos_H">Items!$AN$69:$AN$71</definedName>
    <definedName name="Phoenix">Items!$AN$6:$AN$24</definedName>
    <definedName name="Primo">Items!$AN$106:$AN$108</definedName>
    <definedName name="_xlnm.Print_Area" localSheetId="2">INVOICE!$A$1:$K$78</definedName>
    <definedName name="Quantity">OFFSET(#REF!,,,COUNTA(#REF!))</definedName>
    <definedName name="Quattro">Items!$AN$57:$AN$60</definedName>
    <definedName name="Select_Location">OFFSET('Customer Base'!#REF!,,,COUNTA('Customer Base'!#REF!))</definedName>
    <definedName name="Select_Solar_Panel_Type">OFFSET(Items!#REF!,,,COUNTA(#REF!))</definedName>
    <definedName name="Sharp_Solar_Panel">Items!$AN$249:$AN$249</definedName>
    <definedName name="SheetNames">OFFSET(#REF!,,,COUNTA(#REF!))</definedName>
    <definedName name="SHUNTS__FUSES_AND_FUSE_HOLDERS">OFFSET(Items!#REF!,,,COUNTA(#REF!))</definedName>
    <definedName name="Symo">Items!$AN$109:$AN$116</definedName>
    <definedName name="Tauro">Items!$AN$119:$AN$120</definedName>
    <definedName name="TOP_DC_AND_AC_SOLAR_CABLE">OFFSET(Items!$M$4,,,COUNTA(#REF!))</definedName>
    <definedName name="Victron_AGM">Items!$AN$221:$AN$231</definedName>
    <definedName name="VICTRON_CABLES">OFFSET(Items!#REF!,,,COUNTA(#REF!))</definedName>
    <definedName name="Victron_Gel">Items!$AN$232:$AN$232</definedName>
    <definedName name="Victron_Lead_Carbon">Items!#REF!</definedName>
    <definedName name="VICTRON_SMART_MPPT_SOLAR_CHARGE_CONTROLLERS">OFFSET(#REF!,,,COUNTA(#REF!))</definedName>
    <definedName name="Victron_Solar_Panel">Items!$AN$251:$AN$254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13" i="2" l="1"/>
  <c r="U4" i="6"/>
  <c r="K12" i="2"/>
  <c r="I560" i="12"/>
  <c r="H560" i="12"/>
  <c r="G560" i="12"/>
  <c r="F560" i="12"/>
  <c r="E560" i="12"/>
  <c r="D560" i="12"/>
  <c r="F301" i="12"/>
  <c r="G301" i="12"/>
  <c r="H301" i="12"/>
  <c r="L301" i="12" s="1"/>
  <c r="I301"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6" i="12"/>
  <c r="L497" i="12"/>
  <c r="L498" i="12"/>
  <c r="L499" i="12"/>
  <c r="L500" i="12"/>
  <c r="L501" i="12"/>
  <c r="L502" i="12"/>
  <c r="L503" i="12"/>
  <c r="L504" i="12"/>
  <c r="L507" i="12"/>
  <c r="L508" i="12"/>
  <c r="L511" i="12"/>
  <c r="L512" i="12"/>
  <c r="L514" i="12"/>
  <c r="L515" i="12"/>
  <c r="L516" i="12"/>
  <c r="L517" i="12"/>
  <c r="L518" i="12"/>
  <c r="L519" i="12"/>
  <c r="L521" i="12"/>
  <c r="L522" i="12"/>
  <c r="L523" i="12"/>
  <c r="L524" i="12"/>
  <c r="L525" i="12"/>
  <c r="L526" i="12"/>
  <c r="L528" i="12"/>
  <c r="L529" i="12"/>
  <c r="L530" i="12"/>
  <c r="L531" i="12"/>
  <c r="L532" i="12"/>
  <c r="L533" i="12"/>
  <c r="L534" i="12"/>
  <c r="L535" i="12"/>
  <c r="L536" i="12"/>
  <c r="L537" i="12"/>
  <c r="L538" i="12"/>
  <c r="L539" i="12"/>
  <c r="L542" i="12"/>
  <c r="L543" i="12"/>
  <c r="L545" i="12"/>
  <c r="L548" i="12"/>
  <c r="L549" i="12"/>
  <c r="L558" i="12"/>
  <c r="L559"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302" i="12"/>
  <c r="L303" i="12"/>
  <c r="L304" i="12"/>
  <c r="L299" i="12"/>
  <c r="L300"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11" i="12"/>
  <c r="J512" i="12"/>
  <c r="J513" i="12"/>
  <c r="J514" i="12"/>
  <c r="J515" i="12"/>
  <c r="J516" i="12"/>
  <c r="J517" i="12"/>
  <c r="J518" i="12"/>
  <c r="J519" i="12"/>
  <c r="J521" i="12"/>
  <c r="J522" i="12"/>
  <c r="J523" i="12"/>
  <c r="J524" i="12"/>
  <c r="J525" i="12"/>
  <c r="J526" i="12"/>
  <c r="J527" i="12"/>
  <c r="J528" i="12"/>
  <c r="J529" i="12"/>
  <c r="J530" i="12"/>
  <c r="J531" i="12"/>
  <c r="J532" i="12"/>
  <c r="J533" i="12"/>
  <c r="J534" i="12"/>
  <c r="J535" i="12"/>
  <c r="J536" i="12"/>
  <c r="J537" i="12"/>
  <c r="J538" i="12"/>
  <c r="J539" i="12"/>
  <c r="J542" i="12"/>
  <c r="J543" i="12"/>
  <c r="J545" i="12"/>
  <c r="J546" i="12"/>
  <c r="J547" i="12"/>
  <c r="J548" i="12"/>
  <c r="J549" i="12"/>
  <c r="J558" i="12"/>
  <c r="J559" i="12"/>
  <c r="J301" i="12"/>
  <c r="J300" i="12"/>
  <c r="O303" i="12"/>
  <c r="O304" i="12"/>
  <c r="O305" i="12"/>
  <c r="O306" i="12"/>
  <c r="O307" i="12"/>
  <c r="O308" i="12"/>
  <c r="O309" i="12"/>
  <c r="O310" i="12"/>
  <c r="O311" i="12"/>
  <c r="O312" i="12"/>
  <c r="O313" i="12"/>
  <c r="O314" i="12"/>
  <c r="O315" i="12"/>
  <c r="O316" i="12"/>
  <c r="O317" i="12"/>
  <c r="O318" i="12"/>
  <c r="O319" i="12"/>
  <c r="O320" i="12"/>
  <c r="O321" i="12"/>
  <c r="O324" i="12"/>
  <c r="O325" i="12"/>
  <c r="O326" i="12"/>
  <c r="O328" i="12"/>
  <c r="O329" i="12"/>
  <c r="O330" i="12"/>
  <c r="O332" i="12"/>
  <c r="O333" i="12"/>
  <c r="O334" i="12"/>
  <c r="O338" i="12"/>
  <c r="O339" i="12"/>
  <c r="O340" i="12"/>
  <c r="O341" i="12"/>
  <c r="O342" i="12"/>
  <c r="O343" i="12"/>
  <c r="O344" i="12"/>
  <c r="O345" i="12"/>
  <c r="O346" i="12"/>
  <c r="O347" i="12"/>
  <c r="O348" i="12"/>
  <c r="O349" i="12"/>
  <c r="O350" i="12"/>
  <c r="O351" i="12"/>
  <c r="O352" i="12"/>
  <c r="O353" i="12"/>
  <c r="O354" i="12"/>
  <c r="O355" i="12"/>
  <c r="O356" i="12"/>
  <c r="O359" i="12"/>
  <c r="O362" i="12"/>
  <c r="O363" i="12"/>
  <c r="O364" i="12"/>
  <c r="O365" i="12"/>
  <c r="O375" i="12"/>
  <c r="O383" i="12"/>
  <c r="O393" i="12"/>
  <c r="O394" i="12"/>
  <c r="O395" i="12"/>
  <c r="O397" i="12"/>
  <c r="O398" i="12"/>
  <c r="O399" i="12"/>
  <c r="O400" i="12"/>
  <c r="O401" i="12"/>
  <c r="O404" i="12"/>
  <c r="O405" i="12"/>
  <c r="O407" i="12"/>
  <c r="O409" i="12"/>
  <c r="O410" i="12"/>
  <c r="O412" i="12"/>
  <c r="O413" i="12"/>
  <c r="O414" i="12"/>
  <c r="O415" i="12"/>
  <c r="O416" i="12"/>
  <c r="O417" i="12"/>
  <c r="O418" i="12"/>
  <c r="O419" i="12"/>
  <c r="O420" i="12"/>
  <c r="O421" i="12"/>
  <c r="O422" i="12"/>
  <c r="O423" i="12"/>
  <c r="O424" i="12"/>
  <c r="O425" i="12"/>
  <c r="O426" i="12"/>
  <c r="O428"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62" i="12"/>
  <c r="O463" i="12"/>
  <c r="O464" i="12"/>
  <c r="O465" i="12"/>
  <c r="O476" i="12"/>
  <c r="O485" i="12"/>
  <c r="O486" i="12"/>
  <c r="O487" i="12"/>
  <c r="O493" i="12"/>
  <c r="O495" i="12"/>
  <c r="O496" i="12"/>
  <c r="O497" i="12"/>
  <c r="O498" i="12"/>
  <c r="O500" i="12"/>
  <c r="O501" i="12"/>
  <c r="O503" i="12"/>
  <c r="O504" i="12"/>
  <c r="O508" i="12"/>
  <c r="O511" i="12"/>
  <c r="O512" i="12"/>
  <c r="O513" i="12"/>
  <c r="O514" i="12"/>
  <c r="O515" i="12"/>
  <c r="O516" i="12"/>
  <c r="O517" i="12"/>
  <c r="O518" i="12"/>
  <c r="O519" i="12"/>
  <c r="O520" i="12"/>
  <c r="O521" i="12"/>
  <c r="O522" i="12"/>
  <c r="O523" i="12"/>
  <c r="O524" i="12"/>
  <c r="O525" i="12"/>
  <c r="O526" i="12"/>
  <c r="O527" i="12"/>
  <c r="O528" i="12"/>
  <c r="O533" i="12"/>
  <c r="O539" i="12"/>
  <c r="O541" i="12"/>
  <c r="O542" i="12"/>
  <c r="O543" i="12"/>
  <c r="O544" i="12"/>
  <c r="O545" i="12"/>
  <c r="O546" i="12"/>
  <c r="O547" i="12"/>
  <c r="O548" i="12"/>
  <c r="O549" i="12"/>
  <c r="O551" i="12"/>
  <c r="O552" i="12"/>
  <c r="O553" i="12"/>
  <c r="O554" i="12"/>
  <c r="O557" i="12"/>
  <c r="O558" i="12"/>
  <c r="O559"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J7" i="6"/>
  <c r="F3" i="13" l="1"/>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F725" i="13"/>
  <c r="F726" i="13"/>
  <c r="F727" i="13"/>
  <c r="F728" i="13"/>
  <c r="F729" i="13"/>
  <c r="F730" i="13"/>
  <c r="F731" i="13"/>
  <c r="F732" i="13"/>
  <c r="F733" i="13"/>
  <c r="F734" i="13"/>
  <c r="F735" i="13"/>
  <c r="F736" i="13"/>
  <c r="F737" i="13"/>
  <c r="F738" i="13"/>
  <c r="F739" i="13"/>
  <c r="F740" i="13"/>
  <c r="F741" i="13"/>
  <c r="F742" i="13"/>
  <c r="F743" i="13"/>
  <c r="F744" i="13"/>
  <c r="F745" i="13"/>
  <c r="F746" i="13"/>
  <c r="F747" i="13"/>
  <c r="F748" i="13"/>
  <c r="F749" i="13"/>
  <c r="F750" i="13"/>
  <c r="F751" i="13"/>
  <c r="F752" i="13"/>
  <c r="F753" i="13"/>
  <c r="F754" i="13"/>
  <c r="F755" i="13"/>
  <c r="F756" i="13"/>
  <c r="F757" i="13"/>
  <c r="F758" i="13"/>
  <c r="F759" i="13"/>
  <c r="F760" i="13"/>
  <c r="F761" i="13"/>
  <c r="F762" i="13"/>
  <c r="F763" i="13"/>
  <c r="F764" i="13"/>
  <c r="F765" i="13"/>
  <c r="F766" i="13"/>
  <c r="F767" i="13"/>
  <c r="F768" i="13"/>
  <c r="F769" i="13"/>
  <c r="F770" i="13"/>
  <c r="F771" i="13"/>
  <c r="F772" i="13"/>
  <c r="F773" i="13"/>
  <c r="F774" i="13"/>
  <c r="F775" i="13"/>
  <c r="F776" i="13"/>
  <c r="F777" i="13"/>
  <c r="F778" i="13"/>
  <c r="F779" i="13"/>
  <c r="F780" i="13"/>
  <c r="F781" i="13"/>
  <c r="F782" i="13"/>
  <c r="F783" i="13"/>
  <c r="F784" i="13"/>
  <c r="F785" i="13"/>
  <c r="F786" i="13"/>
  <c r="F787" i="13"/>
  <c r="F788" i="13"/>
  <c r="F789" i="13"/>
  <c r="F790" i="13"/>
  <c r="F791" i="13"/>
  <c r="F792" i="13"/>
  <c r="F793" i="13"/>
  <c r="F794" i="13"/>
  <c r="F795" i="13"/>
  <c r="F796" i="13"/>
  <c r="F797" i="13"/>
  <c r="F798" i="13"/>
  <c r="F799" i="13"/>
  <c r="F800" i="13"/>
  <c r="F801" i="13"/>
  <c r="F802" i="13"/>
  <c r="F803" i="13"/>
  <c r="F804" i="13"/>
  <c r="F805" i="13"/>
  <c r="F806" i="13"/>
  <c r="F807" i="13"/>
  <c r="F808" i="13"/>
  <c r="F809" i="13"/>
  <c r="F810" i="13"/>
  <c r="F811" i="13"/>
  <c r="F812" i="13"/>
  <c r="F813" i="13"/>
  <c r="F814" i="13"/>
  <c r="F815" i="13"/>
  <c r="F816" i="13"/>
  <c r="F817" i="13"/>
  <c r="F818" i="13"/>
  <c r="F819" i="13"/>
  <c r="F820" i="13"/>
  <c r="F821" i="13"/>
  <c r="F822" i="13"/>
  <c r="F823" i="13"/>
  <c r="F824" i="13"/>
  <c r="F825" i="13"/>
  <c r="F826" i="13"/>
  <c r="F827" i="13"/>
  <c r="F828" i="13"/>
  <c r="F829" i="13"/>
  <c r="F830" i="13"/>
  <c r="F831" i="13"/>
  <c r="F832" i="13"/>
  <c r="F833" i="13"/>
  <c r="F834" i="13"/>
  <c r="F835" i="13"/>
  <c r="F836" i="13"/>
  <c r="F837" i="13"/>
  <c r="F838" i="13"/>
  <c r="F839" i="13"/>
  <c r="F840" i="13"/>
  <c r="F841" i="13"/>
  <c r="F842" i="13"/>
  <c r="F843" i="13"/>
  <c r="F844" i="13"/>
  <c r="F845" i="13"/>
  <c r="F846" i="13"/>
  <c r="F847" i="13"/>
  <c r="F848" i="13"/>
  <c r="F849" i="13"/>
  <c r="F850" i="13"/>
  <c r="F851" i="13"/>
  <c r="F852" i="13"/>
  <c r="F853" i="13"/>
  <c r="F854" i="13"/>
  <c r="F855" i="13"/>
  <c r="F856" i="13"/>
  <c r="F857" i="13"/>
  <c r="F858" i="13"/>
  <c r="F859" i="13"/>
  <c r="F860" i="13"/>
  <c r="F861" i="13"/>
  <c r="F862" i="13"/>
  <c r="F863" i="13"/>
  <c r="F864" i="13"/>
  <c r="F865" i="13"/>
  <c r="F866" i="13"/>
  <c r="F867" i="13"/>
  <c r="F868" i="13"/>
  <c r="F869" i="13"/>
  <c r="F870" i="13"/>
  <c r="F871" i="13"/>
  <c r="F872" i="13"/>
  <c r="F873" i="13"/>
  <c r="F874" i="13"/>
  <c r="F875" i="13"/>
  <c r="F876" i="13"/>
  <c r="F877" i="13"/>
  <c r="F878" i="13"/>
  <c r="F879" i="13"/>
  <c r="F880" i="13"/>
  <c r="F881" i="13"/>
  <c r="F882" i="13"/>
  <c r="F883" i="13"/>
  <c r="F884" i="13"/>
  <c r="F885" i="13"/>
  <c r="F886" i="13"/>
  <c r="F887" i="13"/>
  <c r="F888" i="13"/>
  <c r="F889" i="13"/>
  <c r="F890" i="13"/>
  <c r="F891" i="13"/>
  <c r="F892" i="13"/>
  <c r="F893" i="13"/>
  <c r="F894" i="13"/>
  <c r="F895" i="13"/>
  <c r="F896" i="13"/>
  <c r="F897" i="13"/>
  <c r="F898" i="13"/>
  <c r="F899" i="13"/>
  <c r="F900" i="13"/>
  <c r="F901" i="13"/>
  <c r="F902" i="13"/>
  <c r="F903" i="13"/>
  <c r="F904" i="13"/>
  <c r="F905" i="13"/>
  <c r="F906" i="13"/>
  <c r="F907" i="13"/>
  <c r="F908" i="13"/>
  <c r="F909" i="13"/>
  <c r="F910" i="13"/>
  <c r="F911" i="13"/>
  <c r="F912" i="13"/>
  <c r="F913" i="13"/>
  <c r="F914" i="13"/>
  <c r="F915" i="13"/>
  <c r="F916" i="13"/>
  <c r="F917" i="13"/>
  <c r="F918" i="13"/>
  <c r="F919" i="13"/>
  <c r="F920" i="13"/>
  <c r="F921" i="13"/>
  <c r="F922" i="13"/>
  <c r="F923" i="13"/>
  <c r="F924" i="13"/>
  <c r="F925" i="13"/>
  <c r="F926" i="13"/>
  <c r="F927" i="13"/>
  <c r="F928" i="13"/>
  <c r="F929" i="13"/>
  <c r="F930" i="13"/>
  <c r="F931" i="13"/>
  <c r="F932" i="13"/>
  <c r="F933" i="13"/>
  <c r="F934" i="13"/>
  <c r="F935" i="13"/>
  <c r="F936" i="13"/>
  <c r="F937" i="13"/>
  <c r="F938" i="13"/>
  <c r="F939" i="13"/>
  <c r="F940" i="13"/>
  <c r="F941" i="13"/>
  <c r="F942" i="13"/>
  <c r="F943" i="13"/>
  <c r="F944" i="13"/>
  <c r="F945" i="13"/>
  <c r="F946" i="13"/>
  <c r="F947" i="13"/>
  <c r="F948" i="13"/>
  <c r="F949" i="13"/>
  <c r="F950" i="13"/>
  <c r="F951" i="13"/>
  <c r="F952" i="13"/>
  <c r="F953" i="13"/>
  <c r="F954" i="13"/>
  <c r="F955" i="13"/>
  <c r="F956" i="13"/>
  <c r="F957" i="13"/>
  <c r="F958" i="13"/>
  <c r="F959" i="13"/>
  <c r="F960" i="13"/>
  <c r="F961" i="13"/>
  <c r="F962" i="13"/>
  <c r="F963" i="13"/>
  <c r="F964" i="13"/>
  <c r="F965" i="13"/>
  <c r="F966" i="13"/>
  <c r="F967" i="13"/>
  <c r="F968" i="13"/>
  <c r="F969" i="13"/>
  <c r="F970" i="13"/>
  <c r="F971" i="13"/>
  <c r="F972" i="13"/>
  <c r="F973" i="13"/>
  <c r="F974" i="13"/>
  <c r="F975" i="13"/>
  <c r="F976" i="13"/>
  <c r="F977" i="13"/>
  <c r="F978" i="13"/>
  <c r="F979" i="13"/>
  <c r="F980" i="13"/>
  <c r="F981" i="13"/>
  <c r="F982" i="13"/>
  <c r="F983" i="13"/>
  <c r="F984" i="13"/>
  <c r="F985" i="13"/>
  <c r="F986" i="13"/>
  <c r="F987" i="13"/>
  <c r="F988" i="13"/>
  <c r="F989" i="13"/>
  <c r="F990" i="13"/>
  <c r="F991" i="13"/>
  <c r="F992" i="13"/>
  <c r="F993" i="13"/>
  <c r="F994" i="13"/>
  <c r="F995" i="13"/>
  <c r="F996" i="13"/>
  <c r="F997" i="13"/>
  <c r="F998" i="13"/>
  <c r="F999" i="13"/>
  <c r="F1000" i="13"/>
  <c r="F1001" i="13"/>
  <c r="F1002" i="13"/>
  <c r="F1003" i="13"/>
  <c r="F1004" i="13"/>
  <c r="F1005" i="13"/>
  <c r="F1006" i="13"/>
  <c r="F1007" i="13"/>
  <c r="F1008" i="13"/>
  <c r="F1009" i="13"/>
  <c r="F1010" i="13"/>
  <c r="F1011" i="13"/>
  <c r="F1012" i="13"/>
  <c r="F1013" i="13"/>
  <c r="F1014" i="13"/>
  <c r="F1015" i="13"/>
  <c r="F1016" i="13"/>
  <c r="F1017" i="13"/>
  <c r="F1018" i="13"/>
  <c r="F1019" i="13"/>
  <c r="F1020" i="13"/>
  <c r="F1021" i="13"/>
  <c r="F1022" i="13"/>
  <c r="F1023" i="13"/>
  <c r="F1024" i="13"/>
  <c r="F1025" i="13"/>
  <c r="F1026" i="13"/>
  <c r="F1027" i="13"/>
  <c r="F1028" i="13"/>
  <c r="F1029" i="13"/>
  <c r="F1030" i="13"/>
  <c r="F1031" i="13"/>
  <c r="F1032" i="13"/>
  <c r="F1033" i="13"/>
  <c r="F1034" i="13"/>
  <c r="F1035" i="13"/>
  <c r="F1036" i="13"/>
  <c r="F1037" i="13"/>
  <c r="F1038" i="13"/>
  <c r="F1039" i="13"/>
  <c r="F1040" i="13"/>
  <c r="F1041" i="13"/>
  <c r="F1042" i="13"/>
  <c r="F1043" i="13"/>
  <c r="F1044" i="13"/>
  <c r="F1045" i="13"/>
  <c r="F1046" i="13"/>
  <c r="F1047" i="13"/>
  <c r="F1048" i="13"/>
  <c r="F1049" i="13"/>
  <c r="F1050" i="13"/>
  <c r="F1051" i="13"/>
  <c r="F1052" i="13"/>
  <c r="F1053" i="13"/>
  <c r="F1054" i="13"/>
  <c r="F1055" i="13"/>
  <c r="F1056" i="13"/>
  <c r="F1057" i="13"/>
  <c r="F1058" i="13"/>
  <c r="F1059" i="13"/>
  <c r="F1060" i="13"/>
  <c r="F1061" i="13"/>
  <c r="F1062" i="13"/>
  <c r="F1063" i="13"/>
  <c r="F1064" i="13"/>
  <c r="F1065" i="13"/>
  <c r="F1066" i="13"/>
  <c r="F1067" i="13"/>
  <c r="F1068" i="13"/>
  <c r="F1069" i="13"/>
  <c r="F1070" i="13"/>
  <c r="F1071" i="13"/>
  <c r="F1072" i="13"/>
  <c r="F1073" i="13"/>
  <c r="F1074" i="13"/>
  <c r="F1075" i="13"/>
  <c r="F1076" i="13"/>
  <c r="F1077" i="13"/>
  <c r="F1078" i="13"/>
  <c r="F1079" i="13"/>
  <c r="F1080" i="13"/>
  <c r="F1081" i="13"/>
  <c r="F1082" i="13"/>
  <c r="F1083" i="13"/>
  <c r="F1084" i="13"/>
  <c r="F1085" i="13"/>
  <c r="F1086" i="13"/>
  <c r="F1087" i="13"/>
  <c r="F1088" i="13"/>
  <c r="F1089" i="13"/>
  <c r="F1090" i="13"/>
  <c r="F1091" i="13"/>
  <c r="F1092" i="13"/>
  <c r="F1093" i="13"/>
  <c r="F1094" i="13"/>
  <c r="F1095" i="13"/>
  <c r="F1096" i="13"/>
  <c r="F1097" i="13"/>
  <c r="F1098" i="13"/>
  <c r="F1099" i="13"/>
  <c r="F1100" i="13"/>
  <c r="F1101" i="13"/>
  <c r="F1102" i="13"/>
  <c r="F1103" i="13"/>
  <c r="F1104" i="13"/>
  <c r="F1105" i="13"/>
  <c r="F1106" i="13"/>
  <c r="F1107" i="13"/>
  <c r="F1108" i="13"/>
  <c r="F1109" i="13"/>
  <c r="F1110" i="13"/>
  <c r="F1111" i="13"/>
  <c r="F1112" i="13"/>
  <c r="F1113" i="13"/>
  <c r="F1114" i="13"/>
  <c r="F1115" i="13"/>
  <c r="F1116" i="13"/>
  <c r="F1117" i="13"/>
  <c r="F1118" i="13"/>
  <c r="F1119" i="13"/>
  <c r="F1120" i="13"/>
  <c r="F1121" i="13"/>
  <c r="F1122" i="13"/>
  <c r="F1123" i="13"/>
  <c r="F1124" i="13"/>
  <c r="F1125" i="13"/>
  <c r="F1126" i="13"/>
  <c r="F1127" i="13"/>
  <c r="F1128" i="13"/>
  <c r="F1129" i="13"/>
  <c r="F1130" i="13"/>
  <c r="F1131" i="13"/>
  <c r="F1132" i="13"/>
  <c r="F1133" i="13"/>
  <c r="F1134" i="13"/>
  <c r="F1135" i="13"/>
  <c r="F1136" i="13"/>
  <c r="F1137" i="13"/>
  <c r="F1138" i="13"/>
  <c r="F1139" i="13"/>
  <c r="F1140" i="13"/>
  <c r="F1141" i="13"/>
  <c r="F1142" i="13"/>
  <c r="F1143" i="13"/>
  <c r="F1144" i="13"/>
  <c r="F1145" i="13"/>
  <c r="F1146" i="13"/>
  <c r="F1147" i="13"/>
  <c r="F1148" i="13"/>
  <c r="F1149" i="13"/>
  <c r="F1150" i="13"/>
  <c r="F1151" i="13"/>
  <c r="F1152" i="13"/>
  <c r="F1153" i="13"/>
  <c r="F1154" i="13"/>
  <c r="F1155" i="13"/>
  <c r="F1156" i="13"/>
  <c r="F1157" i="13"/>
  <c r="F1158" i="13"/>
  <c r="F1159" i="13"/>
  <c r="F1160" i="13"/>
  <c r="F1161" i="13"/>
  <c r="F1162" i="13"/>
  <c r="F1163" i="13"/>
  <c r="F1164" i="13"/>
  <c r="F1165" i="13"/>
  <c r="F1166" i="13"/>
  <c r="F1167" i="13"/>
  <c r="F1168" i="13"/>
  <c r="F1169" i="13"/>
  <c r="F1170" i="13"/>
  <c r="F1171" i="13"/>
  <c r="F1172" i="13"/>
  <c r="F1173" i="13"/>
  <c r="F1174" i="13"/>
  <c r="F1175" i="13"/>
  <c r="F1176" i="13"/>
  <c r="F1177" i="13"/>
  <c r="F1178" i="13"/>
  <c r="F1179" i="13"/>
  <c r="F1180" i="13"/>
  <c r="F1181" i="13"/>
  <c r="F1182" i="13"/>
  <c r="F1183" i="13"/>
  <c r="F1184" i="13"/>
  <c r="F1185" i="13"/>
  <c r="F1186" i="13"/>
  <c r="F1187" i="13"/>
  <c r="F1188" i="13"/>
  <c r="F1189" i="13"/>
  <c r="F1190" i="13"/>
  <c r="F1191" i="13"/>
  <c r="F1192" i="13"/>
  <c r="F1193" i="13"/>
  <c r="F1194" i="13"/>
  <c r="F1195" i="13"/>
  <c r="F1196" i="13"/>
  <c r="F1197" i="13"/>
  <c r="F1198" i="13"/>
  <c r="F1199" i="13"/>
  <c r="F1200" i="13"/>
  <c r="F1201" i="13"/>
  <c r="F1202" i="13"/>
  <c r="F1203" i="13"/>
  <c r="F1204" i="13"/>
  <c r="F1205" i="13"/>
  <c r="F1206" i="13"/>
  <c r="F1207" i="13"/>
  <c r="F1208" i="13"/>
  <c r="F1209" i="13"/>
  <c r="F1210" i="13"/>
  <c r="F1211" i="13"/>
  <c r="F1212" i="13"/>
  <c r="F1213" i="13"/>
  <c r="F1214" i="13"/>
  <c r="F1215" i="13"/>
  <c r="F1216" i="13"/>
  <c r="F1217" i="13"/>
  <c r="F1218" i="13"/>
  <c r="F1219" i="13"/>
  <c r="F1220" i="13"/>
  <c r="F1221" i="13"/>
  <c r="F1222" i="13"/>
  <c r="F1223" i="13"/>
  <c r="F1224" i="13"/>
  <c r="F1225" i="13"/>
  <c r="F1226" i="13"/>
  <c r="F1227" i="13"/>
  <c r="F1228" i="13"/>
  <c r="F1229" i="13"/>
  <c r="F1230" i="13"/>
  <c r="F1231" i="13"/>
  <c r="F1232" i="13"/>
  <c r="F1233" i="13"/>
  <c r="F1234" i="13"/>
  <c r="F1235" i="13"/>
  <c r="F1236" i="13"/>
  <c r="F1237" i="13"/>
  <c r="F1238" i="13"/>
  <c r="F1239" i="13"/>
  <c r="F1240" i="13"/>
  <c r="F1241" i="13"/>
  <c r="F1242" i="13"/>
  <c r="F1243" i="13"/>
  <c r="F1244" i="13"/>
  <c r="F1245" i="13"/>
  <c r="F1246" i="13"/>
  <c r="F1247" i="13"/>
  <c r="F1248" i="13"/>
  <c r="F1249" i="13"/>
  <c r="F1250" i="13"/>
  <c r="F1251" i="13"/>
  <c r="F1252" i="13"/>
  <c r="F1253" i="13"/>
  <c r="F1254" i="13"/>
  <c r="F1255" i="13"/>
  <c r="F1256" i="13"/>
  <c r="F1257" i="13"/>
  <c r="F1258" i="13"/>
  <c r="F1259" i="13"/>
  <c r="F1260" i="13"/>
  <c r="F1261" i="13"/>
  <c r="F1262" i="13"/>
  <c r="F1263" i="13"/>
  <c r="F1264" i="13"/>
  <c r="F1265" i="13"/>
  <c r="F1266" i="13"/>
  <c r="F1267" i="13"/>
  <c r="F1268" i="13"/>
  <c r="F1269" i="13"/>
  <c r="F1270" i="13"/>
  <c r="F1271" i="13"/>
  <c r="F1272" i="13"/>
  <c r="F1273" i="13"/>
  <c r="F1274" i="13"/>
  <c r="F1275" i="13"/>
  <c r="F1276" i="13"/>
  <c r="F1277" i="13"/>
  <c r="F1278" i="13"/>
  <c r="F1279" i="13"/>
  <c r="F1280" i="13"/>
  <c r="F1281" i="13"/>
  <c r="F1282" i="13"/>
  <c r="F1283" i="13"/>
  <c r="F1284" i="13"/>
  <c r="F1285" i="13"/>
  <c r="F1286" i="13"/>
  <c r="F1287" i="13"/>
  <c r="F1288" i="13"/>
  <c r="F1289" i="13"/>
  <c r="F1290" i="13"/>
  <c r="F1291" i="13"/>
  <c r="F1292" i="13"/>
  <c r="F1293" i="13"/>
  <c r="F1294" i="13"/>
  <c r="F1295" i="13"/>
  <c r="F1296" i="13"/>
  <c r="F1297" i="13"/>
  <c r="F1298" i="13"/>
  <c r="F1299" i="13"/>
  <c r="F1300" i="13"/>
  <c r="F1301" i="13"/>
  <c r="F1302" i="13"/>
  <c r="F1303" i="13"/>
  <c r="F1304" i="13"/>
  <c r="F1305" i="13"/>
  <c r="F1306" i="13"/>
  <c r="F1307" i="13"/>
  <c r="F1308" i="13"/>
  <c r="F1309" i="13"/>
  <c r="F1310" i="13"/>
  <c r="F1311" i="13"/>
  <c r="F1312" i="13"/>
  <c r="F1313" i="13"/>
  <c r="F1314" i="13"/>
  <c r="F1315" i="13"/>
  <c r="F1316" i="13"/>
  <c r="F1317" i="13"/>
  <c r="F1318" i="13"/>
  <c r="F1319" i="13"/>
  <c r="F1320" i="13"/>
  <c r="F1321" i="13"/>
  <c r="F1322" i="13"/>
  <c r="F1323" i="13"/>
  <c r="F1324" i="13"/>
  <c r="F1325" i="13"/>
  <c r="F1326" i="13"/>
  <c r="F1327" i="13"/>
  <c r="F1328" i="13"/>
  <c r="F1329" i="13"/>
  <c r="F1330" i="13"/>
  <c r="F1331" i="13"/>
  <c r="F1332" i="13"/>
  <c r="F1333" i="13"/>
  <c r="F1334" i="13"/>
  <c r="F1335" i="13"/>
  <c r="F1336" i="13"/>
  <c r="F1337" i="13"/>
  <c r="F1338" i="13"/>
  <c r="F1339" i="13"/>
  <c r="F1340" i="13"/>
  <c r="F1341" i="13"/>
  <c r="F1342" i="13"/>
  <c r="F1343" i="13"/>
  <c r="F1344" i="13"/>
  <c r="F1345" i="13"/>
  <c r="F1346" i="13"/>
  <c r="F1347" i="13"/>
  <c r="F1348" i="13"/>
  <c r="F1349" i="13"/>
  <c r="F1350" i="13"/>
  <c r="F1351" i="13"/>
  <c r="F1352" i="13"/>
  <c r="F1353" i="13"/>
  <c r="F1354" i="13"/>
  <c r="F1355" i="13"/>
  <c r="F1356" i="13"/>
  <c r="F1357" i="13"/>
  <c r="F1358" i="13"/>
  <c r="F1359" i="13"/>
  <c r="F1360" i="13"/>
  <c r="F1361" i="13"/>
  <c r="F1362" i="13"/>
  <c r="F1363" i="13"/>
  <c r="F1364" i="13"/>
  <c r="F1365" i="13"/>
  <c r="F1366" i="13"/>
  <c r="F1367" i="13"/>
  <c r="F1368" i="13"/>
  <c r="F1369" i="13"/>
  <c r="F1370" i="13"/>
  <c r="F1371" i="13"/>
  <c r="F1372" i="13"/>
  <c r="F1373" i="13"/>
  <c r="F1374" i="13"/>
  <c r="F1375" i="13"/>
  <c r="F1376" i="13"/>
  <c r="F1377" i="13"/>
  <c r="F1378" i="13"/>
  <c r="F1379" i="13"/>
  <c r="F1380" i="13"/>
  <c r="F1381" i="13"/>
  <c r="F1382" i="13"/>
  <c r="F1383" i="13"/>
  <c r="F1384" i="13"/>
  <c r="F1385" i="13"/>
  <c r="F1386" i="13"/>
  <c r="F1387" i="13"/>
  <c r="F1388" i="13"/>
  <c r="F1389" i="13"/>
  <c r="F1390" i="13"/>
  <c r="F1391" i="13"/>
  <c r="F1392" i="13"/>
  <c r="F1393" i="13"/>
  <c r="F1394" i="13"/>
  <c r="F1395" i="13"/>
  <c r="F1396" i="13"/>
  <c r="F1397" i="13"/>
  <c r="F1398" i="13"/>
  <c r="F1399" i="13"/>
  <c r="F1400" i="13"/>
  <c r="F1401" i="13"/>
  <c r="F1402" i="13"/>
  <c r="F1403" i="13"/>
  <c r="F1404" i="13"/>
  <c r="F1405" i="13"/>
  <c r="F1406" i="13"/>
  <c r="F1407" i="13"/>
  <c r="F1408" i="13"/>
  <c r="F1409" i="13"/>
  <c r="F1410" i="13"/>
  <c r="F1411" i="13"/>
  <c r="F1412" i="13"/>
  <c r="F1413" i="13"/>
  <c r="F1414" i="13"/>
  <c r="F1415" i="13"/>
  <c r="F1416" i="13"/>
  <c r="F1417" i="13"/>
  <c r="F1418" i="13"/>
  <c r="F1419" i="13"/>
  <c r="F1420" i="13"/>
  <c r="F1421" i="13"/>
  <c r="F1422" i="13"/>
  <c r="F1423" i="13"/>
  <c r="F1424" i="13"/>
  <c r="F1425" i="13"/>
  <c r="F1426" i="13"/>
  <c r="F1427" i="13"/>
  <c r="F1428" i="13"/>
  <c r="F1429" i="13"/>
  <c r="F1430" i="13"/>
  <c r="F1431" i="13"/>
  <c r="F1432" i="13"/>
  <c r="F1433" i="13"/>
  <c r="F1434" i="13"/>
  <c r="F1435" i="13"/>
  <c r="F1436" i="13"/>
  <c r="F1437" i="13"/>
  <c r="F1438" i="13"/>
  <c r="F1439" i="13"/>
  <c r="F1440" i="13"/>
  <c r="F1441" i="13"/>
  <c r="F1442" i="13"/>
  <c r="F1443" i="13"/>
  <c r="F1444" i="13"/>
  <c r="F1445" i="13"/>
  <c r="F1446" i="13"/>
  <c r="F1447" i="13"/>
  <c r="F1448" i="13"/>
  <c r="F1449" i="13"/>
  <c r="F1450" i="13"/>
  <c r="F1451" i="13"/>
  <c r="F1452" i="13"/>
  <c r="F1453" i="13"/>
  <c r="F1454" i="13"/>
  <c r="F1455" i="13"/>
  <c r="F1456" i="13"/>
  <c r="F1457" i="13"/>
  <c r="F1458" i="13"/>
  <c r="F1459" i="13"/>
  <c r="F1460" i="13"/>
  <c r="F1461" i="13"/>
  <c r="F1462" i="13"/>
  <c r="F1463" i="13"/>
  <c r="F1464" i="13"/>
  <c r="F1465" i="13"/>
  <c r="F1466" i="13"/>
  <c r="F1467" i="13"/>
  <c r="F1468" i="13"/>
  <c r="F1469" i="13"/>
  <c r="F1470" i="13"/>
  <c r="F1471" i="13"/>
  <c r="F1472" i="13"/>
  <c r="F1473" i="13"/>
  <c r="F1474" i="13"/>
  <c r="F1475" i="13"/>
  <c r="F1476" i="13"/>
  <c r="F1477" i="13"/>
  <c r="F1478" i="13"/>
  <c r="F1479" i="13"/>
  <c r="F1480" i="13"/>
  <c r="F1481" i="13"/>
  <c r="F1482" i="13"/>
  <c r="F1483" i="13"/>
  <c r="F1484" i="13"/>
  <c r="F1485" i="13"/>
  <c r="F1486" i="13"/>
  <c r="F1487" i="13"/>
  <c r="F1488" i="13"/>
  <c r="F1489" i="13"/>
  <c r="F1490" i="13"/>
  <c r="F1491" i="13"/>
  <c r="F1492" i="13"/>
  <c r="F1493" i="13"/>
  <c r="F1494" i="13"/>
  <c r="F1495" i="13"/>
  <c r="F1496" i="13"/>
  <c r="F1497" i="13"/>
  <c r="F1498" i="13"/>
  <c r="F1499" i="13"/>
  <c r="F1500" i="13"/>
  <c r="F1501" i="13"/>
  <c r="F1502" i="13"/>
  <c r="F1503" i="13"/>
  <c r="F1504" i="13"/>
  <c r="F1505" i="13"/>
  <c r="F1506" i="13"/>
  <c r="F1507" i="13"/>
  <c r="F1508" i="13"/>
  <c r="F1509" i="13"/>
  <c r="F1510" i="13"/>
  <c r="F1511" i="13"/>
  <c r="F1512" i="13"/>
  <c r="F1513" i="13"/>
  <c r="F1514" i="13"/>
  <c r="F1515" i="13"/>
  <c r="F1516" i="13"/>
  <c r="F1517" i="13"/>
  <c r="F1518" i="13"/>
  <c r="F1519" i="13"/>
  <c r="F1520" i="13"/>
  <c r="F1521" i="13"/>
  <c r="F1522" i="13"/>
  <c r="F2" i="13"/>
  <c r="A207" i="12" l="1"/>
  <c r="E27" i="6"/>
  <c r="P2" i="12"/>
  <c r="J36" i="12"/>
  <c r="L36" i="12" s="1"/>
  <c r="J37" i="12"/>
  <c r="L37" i="12" s="1"/>
  <c r="J57" i="2"/>
  <c r="J58" i="2"/>
  <c r="J59" i="2"/>
  <c r="E520" i="12"/>
  <c r="D520" i="12"/>
  <c r="J520" i="12" s="1"/>
  <c r="A429" i="12" l="1"/>
  <c r="O429" i="12" s="1"/>
  <c r="A427" i="12"/>
  <c r="O427" i="12" s="1"/>
  <c r="H485" i="12"/>
  <c r="I485" i="12" s="1"/>
  <c r="F485" i="12"/>
  <c r="G485" i="12" s="1"/>
  <c r="H475" i="12"/>
  <c r="I475" i="12" s="1"/>
  <c r="H476" i="12"/>
  <c r="I476" i="12" s="1"/>
  <c r="H477" i="12"/>
  <c r="I477" i="12" s="1"/>
  <c r="F475" i="12"/>
  <c r="G475" i="12" s="1"/>
  <c r="F435" i="12"/>
  <c r="G435" i="12" s="1"/>
  <c r="H435" i="12"/>
  <c r="I435" i="12" s="1"/>
  <c r="F436" i="12"/>
  <c r="G436" i="12" s="1"/>
  <c r="H436" i="12"/>
  <c r="I436" i="12" s="1"/>
  <c r="F437" i="12"/>
  <c r="G437" i="12" s="1"/>
  <c r="H437" i="12"/>
  <c r="I437" i="12" s="1"/>
  <c r="F438" i="12"/>
  <c r="G438" i="12" s="1"/>
  <c r="H438" i="12"/>
  <c r="I438" i="12" s="1"/>
  <c r="F439" i="12"/>
  <c r="G439" i="12" s="1"/>
  <c r="H439" i="12"/>
  <c r="I439" i="12" s="1"/>
  <c r="F440" i="12"/>
  <c r="G440" i="12" s="1"/>
  <c r="H440" i="12"/>
  <c r="I440" i="12" s="1"/>
  <c r="F441" i="12"/>
  <c r="G441" i="12" s="1"/>
  <c r="H441" i="12"/>
  <c r="I441" i="12" s="1"/>
  <c r="F442" i="12"/>
  <c r="G442" i="12" s="1"/>
  <c r="H442" i="12"/>
  <c r="I442" i="12" s="1"/>
  <c r="F443" i="12"/>
  <c r="G443" i="12" s="1"/>
  <c r="H443" i="12"/>
  <c r="I443" i="12" s="1"/>
  <c r="F444" i="12"/>
  <c r="G444" i="12" s="1"/>
  <c r="H444" i="12"/>
  <c r="I444" i="12" s="1"/>
  <c r="F445" i="12"/>
  <c r="G445" i="12" s="1"/>
  <c r="H445" i="12"/>
  <c r="I445" i="12" s="1"/>
  <c r="F446" i="12"/>
  <c r="G446" i="12" s="1"/>
  <c r="H446" i="12"/>
  <c r="I446" i="12" s="1"/>
  <c r="F447" i="12"/>
  <c r="G447" i="12" s="1"/>
  <c r="H447" i="12"/>
  <c r="I447" i="12" s="1"/>
  <c r="F448" i="12"/>
  <c r="G448" i="12" s="1"/>
  <c r="H448" i="12"/>
  <c r="I448" i="12" s="1"/>
  <c r="F449" i="12"/>
  <c r="G449" i="12" s="1"/>
  <c r="H449" i="12"/>
  <c r="I449" i="12" s="1"/>
  <c r="F450" i="12"/>
  <c r="G450" i="12" s="1"/>
  <c r="H450" i="12"/>
  <c r="I450" i="12" s="1"/>
  <c r="F451" i="12"/>
  <c r="G451" i="12" s="1"/>
  <c r="H451" i="12"/>
  <c r="I451" i="12" s="1"/>
  <c r="F415" i="12"/>
  <c r="G415" i="12" s="1"/>
  <c r="H415" i="12"/>
  <c r="I415" i="12" s="1"/>
  <c r="F416" i="12"/>
  <c r="H416" i="12"/>
  <c r="I416" i="12" s="1"/>
  <c r="F417" i="12"/>
  <c r="G417" i="12" s="1"/>
  <c r="H417" i="12"/>
  <c r="I417" i="12" s="1"/>
  <c r="F418" i="12"/>
  <c r="G418" i="12" s="1"/>
  <c r="H418" i="12"/>
  <c r="I418" i="12" s="1"/>
  <c r="F419" i="12"/>
  <c r="G419" i="12" s="1"/>
  <c r="H419" i="12"/>
  <c r="I419" i="12" s="1"/>
  <c r="F420" i="12"/>
  <c r="G420" i="12" s="1"/>
  <c r="H420" i="12"/>
  <c r="I420" i="12" s="1"/>
  <c r="F421" i="12"/>
  <c r="G421" i="12" s="1"/>
  <c r="H421" i="12"/>
  <c r="I421" i="12" s="1"/>
  <c r="F422" i="12"/>
  <c r="G422" i="12" s="1"/>
  <c r="H422" i="12"/>
  <c r="I422" i="12" s="1"/>
  <c r="F62" i="12"/>
  <c r="G62" i="12" s="1"/>
  <c r="H62" i="12"/>
  <c r="I62" i="12" s="1"/>
  <c r="F63" i="12"/>
  <c r="G63" i="12" s="1"/>
  <c r="H63" i="12"/>
  <c r="I63" i="12" s="1"/>
  <c r="F299" i="12"/>
  <c r="G299" i="12" s="1"/>
  <c r="H299" i="12"/>
  <c r="I299" i="12" s="1"/>
  <c r="F300" i="12"/>
  <c r="G300" i="12" s="1"/>
  <c r="H300" i="12"/>
  <c r="I300" i="12" s="1"/>
  <c r="F302" i="12"/>
  <c r="G302" i="12" s="1"/>
  <c r="H302" i="12"/>
  <c r="I302" i="12" s="1"/>
  <c r="F303" i="12"/>
  <c r="G303" i="12" s="1"/>
  <c r="H303" i="12"/>
  <c r="I303" i="12" s="1"/>
  <c r="F304" i="12"/>
  <c r="G304" i="12" s="1"/>
  <c r="H304" i="12"/>
  <c r="I304" i="12" s="1"/>
  <c r="F305" i="12"/>
  <c r="G305" i="12" s="1"/>
  <c r="H305" i="12"/>
  <c r="I305" i="12" s="1"/>
  <c r="F306" i="12"/>
  <c r="G306" i="12" s="1"/>
  <c r="H306" i="12"/>
  <c r="I306" i="12" s="1"/>
  <c r="F307" i="12"/>
  <c r="G307" i="12" s="1"/>
  <c r="H307" i="12"/>
  <c r="I307" i="12" s="1"/>
  <c r="F308" i="12"/>
  <c r="G308" i="12" s="1"/>
  <c r="H308" i="12"/>
  <c r="I308" i="12" s="1"/>
  <c r="F317" i="12"/>
  <c r="G317" i="12" s="1"/>
  <c r="H317" i="12"/>
  <c r="I317" i="12" s="1"/>
  <c r="F325" i="12"/>
  <c r="G325" i="12" s="1"/>
  <c r="H325" i="12"/>
  <c r="I325" i="12" s="1"/>
  <c r="F326" i="12"/>
  <c r="G326" i="12" s="1"/>
  <c r="H326" i="12"/>
  <c r="I326" i="12" s="1"/>
  <c r="F327" i="12"/>
  <c r="G327" i="12" s="1"/>
  <c r="H327" i="12"/>
  <c r="I327" i="12" s="1"/>
  <c r="F328" i="12"/>
  <c r="G328" i="12" s="1"/>
  <c r="H328" i="12"/>
  <c r="I328" i="12" s="1"/>
  <c r="F329" i="12"/>
  <c r="G329" i="12" s="1"/>
  <c r="H329" i="12"/>
  <c r="I329" i="12" s="1"/>
  <c r="F330" i="12"/>
  <c r="G330" i="12" s="1"/>
  <c r="H330" i="12"/>
  <c r="I330" i="12" s="1"/>
  <c r="F331" i="12"/>
  <c r="G331" i="12" s="1"/>
  <c r="H331" i="12"/>
  <c r="I331" i="12" s="1"/>
  <c r="F332" i="12"/>
  <c r="G332" i="12" s="1"/>
  <c r="H332" i="12"/>
  <c r="I332" i="12" s="1"/>
  <c r="O208" i="12"/>
  <c r="O209" i="12"/>
  <c r="O212" i="12"/>
  <c r="O213" i="12"/>
  <c r="O214" i="12"/>
  <c r="O216" i="12"/>
  <c r="O217" i="12"/>
  <c r="O218" i="12"/>
  <c r="O219" i="12"/>
  <c r="O220" i="12"/>
  <c r="O228" i="12"/>
  <c r="O229" i="12"/>
  <c r="O230" i="12"/>
  <c r="O232" i="12"/>
  <c r="O237" i="12"/>
  <c r="O238" i="12"/>
  <c r="O239" i="12"/>
  <c r="O240" i="12"/>
  <c r="O241" i="12"/>
  <c r="O244" i="12"/>
  <c r="O246" i="12"/>
  <c r="O248" i="12"/>
  <c r="O250" i="12"/>
  <c r="O255" i="12"/>
  <c r="O256" i="12"/>
  <c r="O257" i="12"/>
  <c r="O258" i="12"/>
  <c r="O259" i="12"/>
  <c r="O266" i="12"/>
  <c r="O267" i="12"/>
  <c r="O269" i="12"/>
  <c r="O271" i="12"/>
  <c r="O273" i="12"/>
  <c r="O275" i="12"/>
  <c r="O276" i="12"/>
  <c r="O278" i="12"/>
  <c r="O280" i="12"/>
  <c r="O282" i="12"/>
  <c r="O283" i="12"/>
  <c r="O284" i="12"/>
  <c r="O285" i="12"/>
  <c r="O286" i="12"/>
  <c r="O287" i="12"/>
  <c r="O288" i="12"/>
  <c r="O289" i="12"/>
  <c r="O290" i="12"/>
  <c r="O291" i="12"/>
  <c r="O292" i="12"/>
  <c r="O293" i="12"/>
  <c r="O294" i="12"/>
  <c r="O295" i="12"/>
  <c r="O296" i="12"/>
  <c r="O297" i="12"/>
  <c r="O299" i="12"/>
  <c r="O300" i="12"/>
  <c r="O207" i="12"/>
  <c r="O12" i="12"/>
  <c r="O15" i="12"/>
  <c r="O16" i="12"/>
  <c r="O17" i="12"/>
  <c r="O25" i="12"/>
  <c r="O29" i="12"/>
  <c r="O30" i="12"/>
  <c r="O36" i="12"/>
  <c r="O42" i="12"/>
  <c r="O43" i="12"/>
  <c r="O44" i="12"/>
  <c r="O46" i="12"/>
  <c r="O54" i="12"/>
  <c r="O55" i="12"/>
  <c r="O56" i="12"/>
  <c r="O61" i="12"/>
  <c r="O62" i="12"/>
  <c r="O63" i="12"/>
  <c r="O64" i="12"/>
  <c r="O65" i="12"/>
  <c r="O66" i="12"/>
  <c r="O67" i="12"/>
  <c r="O68" i="12"/>
  <c r="O72" i="12"/>
  <c r="O73" i="12"/>
  <c r="O74" i="12"/>
  <c r="O75" i="12"/>
  <c r="O76" i="12"/>
  <c r="O84" i="12"/>
  <c r="O85" i="12"/>
  <c r="O96" i="12"/>
  <c r="O97" i="12"/>
  <c r="O99" i="12"/>
  <c r="O100" i="12"/>
  <c r="O101" i="12"/>
  <c r="O102" i="12"/>
  <c r="O116" i="12"/>
  <c r="O118" i="12"/>
  <c r="O121" i="12"/>
  <c r="O122" i="12"/>
  <c r="O123" i="12"/>
  <c r="O124" i="12"/>
  <c r="O125" i="12"/>
  <c r="O126" i="12"/>
  <c r="O127" i="12"/>
  <c r="O128" i="12"/>
  <c r="O129" i="12"/>
  <c r="O130" i="12"/>
  <c r="O131" i="12"/>
  <c r="O132" i="12"/>
  <c r="O133" i="12"/>
  <c r="O135" i="12"/>
  <c r="O137" i="12"/>
  <c r="O138" i="12"/>
  <c r="O139" i="12"/>
  <c r="O140" i="12"/>
  <c r="O142" i="12"/>
  <c r="O154" i="12"/>
  <c r="O155" i="12"/>
  <c r="O156" i="12"/>
  <c r="O157" i="12"/>
  <c r="O158" i="12"/>
  <c r="O159" i="12"/>
  <c r="O160" i="12"/>
  <c r="O161" i="12"/>
  <c r="O162" i="12"/>
  <c r="O171" i="12"/>
  <c r="O172" i="12"/>
  <c r="O173" i="12"/>
  <c r="O174" i="12"/>
  <c r="O175"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AO420" i="12"/>
  <c r="AO421" i="12"/>
  <c r="AO422" i="12"/>
  <c r="AO423" i="12"/>
  <c r="AO424" i="12"/>
  <c r="AO425" i="12"/>
  <c r="AO426" i="12"/>
  <c r="AO428" i="12"/>
  <c r="AO429" i="12"/>
  <c r="AO430" i="12"/>
  <c r="AO431" i="12"/>
  <c r="AO432" i="12"/>
  <c r="AO433" i="12"/>
  <c r="AO434" i="12"/>
  <c r="AO435" i="12"/>
  <c r="AO436" i="12"/>
  <c r="AO437" i="12"/>
  <c r="AO438" i="12"/>
  <c r="AO439" i="12"/>
  <c r="AO440" i="12"/>
  <c r="AO441" i="12"/>
  <c r="AO442" i="12"/>
  <c r="AO443" i="12"/>
  <c r="AO444" i="12"/>
  <c r="AO445" i="12"/>
  <c r="AO446" i="12"/>
  <c r="AO447" i="12"/>
  <c r="AO448" i="12"/>
  <c r="AO449" i="12"/>
  <c r="AO450" i="12"/>
  <c r="AO451" i="12"/>
  <c r="AO452" i="12"/>
  <c r="AO453" i="12"/>
  <c r="AO454" i="12"/>
  <c r="AO455" i="12"/>
  <c r="AO462" i="12"/>
  <c r="AO463" i="12"/>
  <c r="AO464" i="12"/>
  <c r="AO465" i="12"/>
  <c r="AO476" i="12"/>
  <c r="AO485" i="12"/>
  <c r="AO486" i="12"/>
  <c r="AO487" i="12"/>
  <c r="AO493" i="12"/>
  <c r="AO495" i="12"/>
  <c r="AO496" i="12"/>
  <c r="AO497" i="12"/>
  <c r="AO498" i="12"/>
  <c r="AO500" i="12"/>
  <c r="AO501" i="12"/>
  <c r="AO503" i="12"/>
  <c r="AO504" i="12"/>
  <c r="AO508" i="12"/>
  <c r="AO511" i="12"/>
  <c r="AO512" i="12"/>
  <c r="AO513" i="12"/>
  <c r="AO514" i="12"/>
  <c r="AO515" i="12"/>
  <c r="AO516" i="12"/>
  <c r="AO517" i="12"/>
  <c r="AO518" i="12"/>
  <c r="AO519" i="12"/>
  <c r="AO520" i="12"/>
  <c r="AO521" i="12"/>
  <c r="AO522" i="12"/>
  <c r="AO523" i="12"/>
  <c r="AO524" i="12"/>
  <c r="AO525" i="12"/>
  <c r="AO526" i="12"/>
  <c r="AO527" i="12"/>
  <c r="AO528" i="12"/>
  <c r="AO533" i="12"/>
  <c r="AO539" i="12"/>
  <c r="AO541" i="12"/>
  <c r="AO542" i="12"/>
  <c r="AO543" i="12"/>
  <c r="AO544" i="12"/>
  <c r="AO545" i="12"/>
  <c r="AO546" i="12"/>
  <c r="AO547" i="12"/>
  <c r="AO548" i="12"/>
  <c r="AO549" i="12"/>
  <c r="AO551" i="12"/>
  <c r="AO552" i="12"/>
  <c r="AO553" i="12"/>
  <c r="AO554" i="12"/>
  <c r="AO557" i="12"/>
  <c r="AO417" i="12"/>
  <c r="AO418" i="12"/>
  <c r="AO419" i="12"/>
  <c r="AO393" i="12"/>
  <c r="AO394" i="12"/>
  <c r="AO395" i="12"/>
  <c r="AO397" i="12"/>
  <c r="AO398" i="12"/>
  <c r="AO399" i="12"/>
  <c r="AO400" i="12"/>
  <c r="AO401" i="12"/>
  <c r="AO404" i="12"/>
  <c r="AO405" i="12"/>
  <c r="AO407" i="12"/>
  <c r="AO409" i="12"/>
  <c r="AO410" i="12"/>
  <c r="AO412" i="12"/>
  <c r="AO413" i="12"/>
  <c r="AO414" i="12"/>
  <c r="AO415" i="12"/>
  <c r="AO416" i="12"/>
  <c r="AO338" i="12"/>
  <c r="AO339" i="12"/>
  <c r="AO340" i="12"/>
  <c r="AO341" i="12"/>
  <c r="AO342" i="12"/>
  <c r="AO343" i="12"/>
  <c r="AO344" i="12"/>
  <c r="AO345" i="12"/>
  <c r="AO346" i="12"/>
  <c r="AO347" i="12"/>
  <c r="AO348" i="12"/>
  <c r="AO349" i="12"/>
  <c r="AO350" i="12"/>
  <c r="AO351" i="12"/>
  <c r="AO352" i="12"/>
  <c r="AO353" i="12"/>
  <c r="AO354" i="12"/>
  <c r="AO355" i="12"/>
  <c r="AO356" i="12"/>
  <c r="AO359" i="12"/>
  <c r="AO362" i="12"/>
  <c r="AO363" i="12"/>
  <c r="AO364" i="12"/>
  <c r="AO365" i="12"/>
  <c r="AO375" i="12"/>
  <c r="AO383" i="12"/>
  <c r="AO324" i="12"/>
  <c r="AO325" i="12"/>
  <c r="AO326" i="12"/>
  <c r="AO328" i="12"/>
  <c r="AO329" i="12"/>
  <c r="AO330" i="12"/>
  <c r="AO332" i="12"/>
  <c r="AO333" i="12"/>
  <c r="AO334" i="12"/>
  <c r="AO316" i="12"/>
  <c r="AO317" i="12"/>
  <c r="AO318" i="12"/>
  <c r="AO319" i="12"/>
  <c r="AO320" i="12"/>
  <c r="AO321" i="12"/>
  <c r="AO171" i="12"/>
  <c r="AO172" i="12"/>
  <c r="AO173" i="12"/>
  <c r="AO174" i="12"/>
  <c r="AO175" i="12"/>
  <c r="AO180" i="12"/>
  <c r="AO181" i="12"/>
  <c r="AO182" i="12"/>
  <c r="AO183" i="12"/>
  <c r="AO184" i="12"/>
  <c r="AO185" i="12"/>
  <c r="AO186" i="12"/>
  <c r="AO187" i="12"/>
  <c r="AO188" i="12"/>
  <c r="AO189" i="12"/>
  <c r="AO190" i="12"/>
  <c r="AO191" i="12"/>
  <c r="AO192" i="12"/>
  <c r="AO193" i="12"/>
  <c r="AO194" i="12"/>
  <c r="AO195" i="12"/>
  <c r="AO196" i="12"/>
  <c r="AO197" i="12"/>
  <c r="AO198" i="12"/>
  <c r="AO199" i="12"/>
  <c r="AO200" i="12"/>
  <c r="AO201" i="12"/>
  <c r="AO202" i="12"/>
  <c r="AO203" i="12"/>
  <c r="AO204" i="12"/>
  <c r="AO205" i="12"/>
  <c r="AO207" i="12"/>
  <c r="AO208" i="12"/>
  <c r="AO209" i="12"/>
  <c r="AO212" i="12"/>
  <c r="AO213" i="12"/>
  <c r="AO214" i="12"/>
  <c r="AO216" i="12"/>
  <c r="AO217" i="12"/>
  <c r="AO218" i="12"/>
  <c r="AO219" i="12"/>
  <c r="AO220" i="12"/>
  <c r="AO228" i="12"/>
  <c r="AO229" i="12"/>
  <c r="AO230" i="12"/>
  <c r="AO232" i="12"/>
  <c r="AO237" i="12"/>
  <c r="AO238" i="12"/>
  <c r="AO239" i="12"/>
  <c r="AO240" i="12"/>
  <c r="AO241" i="12"/>
  <c r="AO244" i="12"/>
  <c r="AO246" i="12"/>
  <c r="AO248" i="12"/>
  <c r="AO250" i="12"/>
  <c r="AO255" i="12"/>
  <c r="AO256" i="12"/>
  <c r="AO257" i="12"/>
  <c r="AO258" i="12"/>
  <c r="AO259" i="12"/>
  <c r="AO266" i="12"/>
  <c r="AO267" i="12"/>
  <c r="AO269" i="12"/>
  <c r="AO271" i="12"/>
  <c r="AO273" i="12"/>
  <c r="AO275" i="12"/>
  <c r="AO276" i="12"/>
  <c r="AO278" i="12"/>
  <c r="AO280" i="12"/>
  <c r="AO282" i="12"/>
  <c r="AO283" i="12"/>
  <c r="AO284" i="12"/>
  <c r="AO285" i="12"/>
  <c r="AO286" i="12"/>
  <c r="AO287" i="12"/>
  <c r="AO288" i="12"/>
  <c r="AO289" i="12"/>
  <c r="AO290" i="12"/>
  <c r="AO291" i="12"/>
  <c r="AO292" i="12"/>
  <c r="AO293" i="12"/>
  <c r="AO294" i="12"/>
  <c r="AO295" i="12"/>
  <c r="AO296" i="12"/>
  <c r="AO297" i="12"/>
  <c r="AO299" i="12"/>
  <c r="AO300" i="12"/>
  <c r="AO303" i="12"/>
  <c r="AO304" i="12"/>
  <c r="AO305" i="12"/>
  <c r="AO306" i="12"/>
  <c r="AO307" i="12"/>
  <c r="AO308" i="12"/>
  <c r="AO309" i="12"/>
  <c r="AO310" i="12"/>
  <c r="AO311" i="12"/>
  <c r="AO312" i="12"/>
  <c r="AO313" i="12"/>
  <c r="AO314" i="12"/>
  <c r="AO315" i="12"/>
  <c r="AO137" i="12"/>
  <c r="AO138" i="12"/>
  <c r="AO139" i="12"/>
  <c r="AO140" i="12"/>
  <c r="AO142" i="12"/>
  <c r="AO154" i="12"/>
  <c r="AO155" i="12"/>
  <c r="AO156" i="12"/>
  <c r="AO157" i="12"/>
  <c r="AO158" i="12"/>
  <c r="AO159" i="12"/>
  <c r="AO160" i="12"/>
  <c r="AO161" i="12"/>
  <c r="AO162" i="12"/>
  <c r="AO131" i="12"/>
  <c r="AO132" i="12"/>
  <c r="AO133" i="12"/>
  <c r="AO135" i="12"/>
  <c r="AO130" i="12"/>
  <c r="AO118" i="12"/>
  <c r="AO121" i="12"/>
  <c r="AO122" i="12"/>
  <c r="AO123" i="12"/>
  <c r="AO124" i="12"/>
  <c r="AO125" i="12"/>
  <c r="AO126" i="12"/>
  <c r="AO127" i="12"/>
  <c r="AO128" i="12"/>
  <c r="AO129" i="12"/>
  <c r="AO116" i="12"/>
  <c r="AO10" i="12"/>
  <c r="AO11" i="12"/>
  <c r="AO12" i="12"/>
  <c r="AO15" i="12"/>
  <c r="AO16" i="12"/>
  <c r="AO17" i="12"/>
  <c r="AO25" i="12"/>
  <c r="AO29" i="12"/>
  <c r="AO30" i="12"/>
  <c r="AO36" i="12"/>
  <c r="AO42" i="12"/>
  <c r="AO43" i="12"/>
  <c r="AO44" i="12"/>
  <c r="AO46" i="12"/>
  <c r="AO54" i="12"/>
  <c r="AO55" i="12"/>
  <c r="AO56" i="12"/>
  <c r="AO61" i="12"/>
  <c r="AO62" i="12"/>
  <c r="AO63" i="12"/>
  <c r="AO64" i="12"/>
  <c r="AO65" i="12"/>
  <c r="AO66" i="12"/>
  <c r="AO67" i="12"/>
  <c r="AO68" i="12"/>
  <c r="AO72" i="12"/>
  <c r="AO73" i="12"/>
  <c r="AO74" i="12"/>
  <c r="AO75" i="12"/>
  <c r="AO76" i="12"/>
  <c r="AO84" i="12"/>
  <c r="AO85" i="12"/>
  <c r="AO96" i="12"/>
  <c r="AO97" i="12"/>
  <c r="AO99" i="12"/>
  <c r="AO100" i="12"/>
  <c r="AO101" i="12"/>
  <c r="AO102" i="12"/>
  <c r="F207" i="12"/>
  <c r="G207" i="12" s="1"/>
  <c r="H207" i="12"/>
  <c r="I207" i="12" s="1"/>
  <c r="AT115" i="12"/>
  <c r="AV115" i="12" s="1"/>
  <c r="H132" i="12"/>
  <c r="I132" i="12" s="1"/>
  <c r="F132" i="12"/>
  <c r="F253" i="12"/>
  <c r="G253" i="12" s="1"/>
  <c r="H253" i="12"/>
  <c r="I253" i="12" s="1"/>
  <c r="F254" i="12"/>
  <c r="G254" i="12" s="1"/>
  <c r="H254" i="12"/>
  <c r="I254" i="12" s="1"/>
  <c r="F149" i="12"/>
  <c r="G149" i="12" s="1"/>
  <c r="H149" i="12"/>
  <c r="I149" i="12" s="1"/>
  <c r="F150" i="12"/>
  <c r="G150" i="12" s="1"/>
  <c r="H150" i="12"/>
  <c r="I150" i="12" s="1"/>
  <c r="F151" i="12"/>
  <c r="G151" i="12" s="1"/>
  <c r="H151" i="12"/>
  <c r="I151" i="12" s="1"/>
  <c r="F152" i="12"/>
  <c r="G152" i="12" s="1"/>
  <c r="H152" i="12"/>
  <c r="I152" i="12" s="1"/>
  <c r="F137" i="12"/>
  <c r="G137" i="12" s="1"/>
  <c r="H137" i="12"/>
  <c r="I137" i="12" s="1"/>
  <c r="F138" i="12"/>
  <c r="G138" i="12" s="1"/>
  <c r="H138" i="12"/>
  <c r="F139" i="12"/>
  <c r="G139" i="12" s="1"/>
  <c r="H139" i="12"/>
  <c r="I139" i="12" s="1"/>
  <c r="F140" i="12"/>
  <c r="H140" i="12"/>
  <c r="I140" i="12" s="1"/>
  <c r="F141" i="12"/>
  <c r="G141" i="12" s="1"/>
  <c r="H141" i="12"/>
  <c r="I141" i="12" s="1"/>
  <c r="F107" i="12"/>
  <c r="G107" i="12" s="1"/>
  <c r="H107" i="12"/>
  <c r="I107" i="12" s="1"/>
  <c r="F108" i="12"/>
  <c r="G108" i="12" s="1"/>
  <c r="H108" i="12"/>
  <c r="I108" i="12" s="1"/>
  <c r="F109" i="12"/>
  <c r="G109" i="12" s="1"/>
  <c r="H109" i="12"/>
  <c r="I109" i="12" s="1"/>
  <c r="F110" i="12"/>
  <c r="G110" i="12" s="1"/>
  <c r="H110" i="12"/>
  <c r="I110" i="12" s="1"/>
  <c r="F111" i="12"/>
  <c r="G111" i="12" s="1"/>
  <c r="H111" i="12"/>
  <c r="I111" i="12" s="1"/>
  <c r="F112" i="12"/>
  <c r="G112" i="12" s="1"/>
  <c r="H112" i="12"/>
  <c r="I112" i="12" s="1"/>
  <c r="F113" i="12"/>
  <c r="G113" i="12" s="1"/>
  <c r="H113" i="12"/>
  <c r="I113" i="12" s="1"/>
  <c r="F114" i="12"/>
  <c r="G114" i="12" s="1"/>
  <c r="H114" i="12"/>
  <c r="F115" i="12"/>
  <c r="G115" i="12" s="1"/>
  <c r="H115" i="12"/>
  <c r="I115" i="12" s="1"/>
  <c r="F116" i="12"/>
  <c r="G116" i="12" s="1"/>
  <c r="H116" i="12"/>
  <c r="I116" i="12" s="1"/>
  <c r="F103" i="12"/>
  <c r="G103" i="12" s="1"/>
  <c r="H103" i="12"/>
  <c r="F104" i="12"/>
  <c r="G104" i="12" s="1"/>
  <c r="H104" i="12"/>
  <c r="I104" i="12" s="1"/>
  <c r="F105" i="12"/>
  <c r="G105" i="12" s="1"/>
  <c r="H105" i="12"/>
  <c r="I105" i="12" s="1"/>
  <c r="R28" i="6" a="1"/>
  <c r="R28" i="6" s="1"/>
  <c r="R29" i="6" a="1"/>
  <c r="R29" i="6" s="1"/>
  <c r="R30" i="6" a="1"/>
  <c r="R30" i="6" s="1"/>
  <c r="R31" i="6" a="1"/>
  <c r="R31" i="6" s="1"/>
  <c r="R27" i="6" a="1"/>
  <c r="R27" i="6" s="1"/>
  <c r="A117" i="12"/>
  <c r="AO117" i="12" s="1"/>
  <c r="A115" i="12"/>
  <c r="AO115" i="12" s="1"/>
  <c r="A119" i="12"/>
  <c r="O119" i="12" s="1"/>
  <c r="A114" i="12"/>
  <c r="AO114" i="12" s="1"/>
  <c r="A113" i="12"/>
  <c r="AO113" i="12" s="1"/>
  <c r="A112" i="12"/>
  <c r="AO112" i="12" s="1"/>
  <c r="A111" i="12"/>
  <c r="AO111" i="12" s="1"/>
  <c r="A110" i="12"/>
  <c r="AO110" i="12" s="1"/>
  <c r="A109" i="12"/>
  <c r="O109" i="12" s="1"/>
  <c r="A108" i="12"/>
  <c r="O108" i="12" s="1"/>
  <c r="A107" i="12"/>
  <c r="O107" i="12" s="1"/>
  <c r="A106" i="12"/>
  <c r="O106" i="12" s="1"/>
  <c r="A105" i="12"/>
  <c r="O105" i="12" s="1"/>
  <c r="A104" i="12"/>
  <c r="AO104" i="12" s="1"/>
  <c r="A103" i="12"/>
  <c r="O103" i="12" s="1"/>
  <c r="A57" i="12"/>
  <c r="O57" i="12" s="1"/>
  <c r="A58" i="12"/>
  <c r="O58" i="12" s="1"/>
  <c r="R16" i="6" a="1"/>
  <c r="R16" i="6" s="1"/>
  <c r="R17" i="6" a="1"/>
  <c r="R17" i="6" s="1"/>
  <c r="R13" i="6" a="1"/>
  <c r="R13" i="6" s="1"/>
  <c r="R14" i="6" a="1"/>
  <c r="R14" i="6" s="1"/>
  <c r="R15" i="6" a="1"/>
  <c r="R15" i="6" s="1"/>
  <c r="A24" i="12"/>
  <c r="AO24" i="12" s="1"/>
  <c r="A23" i="12"/>
  <c r="AO23" i="12" s="1"/>
  <c r="X16" i="6"/>
  <c r="X15" i="6"/>
  <c r="X14" i="6"/>
  <c r="X13" i="6"/>
  <c r="X12" i="6"/>
  <c r="X11" i="6"/>
  <c r="X10" i="6"/>
  <c r="X9" i="6"/>
  <c r="AW264"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145" i="12"/>
  <c r="J146" i="12"/>
  <c r="J147" i="12"/>
  <c r="J148" i="12"/>
  <c r="L131" i="12"/>
  <c r="L135" i="12"/>
  <c r="L203" i="12"/>
  <c r="L216" i="12"/>
  <c r="L220" i="12"/>
  <c r="L244" i="12"/>
  <c r="L255" i="12"/>
  <c r="L290" i="12"/>
  <c r="L67" i="12"/>
  <c r="L68" i="12"/>
  <c r="L75" i="12"/>
  <c r="L76" i="12"/>
  <c r="L84" i="12"/>
  <c r="L85" i="12"/>
  <c r="L101" i="12"/>
  <c r="L46" i="12"/>
  <c r="O10" i="12"/>
  <c r="O11" i="12"/>
  <c r="BD7" i="12" a="1"/>
  <c r="BD7" i="12" s="1"/>
  <c r="BE6" i="12" a="1"/>
  <c r="BE6" i="12" s="1"/>
  <c r="BC6" i="12" a="1"/>
  <c r="BC6" i="12" s="1"/>
  <c r="BB6" i="12" a="1"/>
  <c r="BB6" i="12" s="1"/>
  <c r="BA6" i="12" a="1"/>
  <c r="BA6" i="12" s="1"/>
  <c r="AZ6" i="12" a="1"/>
  <c r="AZ6" i="12" s="1"/>
  <c r="J35" i="12"/>
  <c r="L35" i="12" s="1"/>
  <c r="J34" i="12"/>
  <c r="L34" i="12" s="1"/>
  <c r="J33" i="12"/>
  <c r="L33" i="12" s="1"/>
  <c r="J32" i="12"/>
  <c r="L32" i="12" s="1"/>
  <c r="J31" i="12"/>
  <c r="L31" i="12" s="1"/>
  <c r="J30" i="12"/>
  <c r="L30" i="12" s="1"/>
  <c r="J29" i="12"/>
  <c r="L29" i="12" s="1"/>
  <c r="J28" i="12"/>
  <c r="L28" i="12" s="1"/>
  <c r="J27" i="12"/>
  <c r="L27" i="12" s="1"/>
  <c r="J26" i="12"/>
  <c r="L26" i="12" s="1"/>
  <c r="J25" i="12"/>
  <c r="L25" i="12" s="1"/>
  <c r="J24" i="12"/>
  <c r="L24" i="12" s="1"/>
  <c r="J23" i="12"/>
  <c r="L23" i="12" s="1"/>
  <c r="J22" i="12"/>
  <c r="L22" i="12" s="1"/>
  <c r="J21" i="12"/>
  <c r="L21" i="12" s="1"/>
  <c r="J20" i="12"/>
  <c r="L20" i="12" s="1"/>
  <c r="J19" i="12"/>
  <c r="L19" i="12" s="1"/>
  <c r="J18" i="12"/>
  <c r="L18" i="12" s="1"/>
  <c r="J17" i="12"/>
  <c r="L17" i="12" s="1"/>
  <c r="J16" i="12"/>
  <c r="L16" i="12" s="1"/>
  <c r="J15" i="12"/>
  <c r="L15" i="12" s="1"/>
  <c r="J14" i="12"/>
  <c r="L14" i="12" s="1"/>
  <c r="J13" i="12"/>
  <c r="L13" i="12" s="1"/>
  <c r="J12" i="12"/>
  <c r="L12" i="12" s="1"/>
  <c r="J11" i="12"/>
  <c r="L11" i="12" s="1"/>
  <c r="J10" i="12"/>
  <c r="L10" i="12" s="1"/>
  <c r="J9" i="12"/>
  <c r="L9" i="12" s="1"/>
  <c r="J8" i="12"/>
  <c r="L8" i="12" s="1"/>
  <c r="J7" i="12"/>
  <c r="L7" i="12" s="1"/>
  <c r="P6" i="12"/>
  <c r="J6" i="12"/>
  <c r="L6" i="12" s="1"/>
  <c r="F61" i="12"/>
  <c r="G61" i="12" s="1"/>
  <c r="H61" i="12"/>
  <c r="I61" i="12" s="1"/>
  <c r="J61" i="12"/>
  <c r="AT61" i="12"/>
  <c r="AV61" i="12" s="1"/>
  <c r="A406" i="12"/>
  <c r="O406" i="12" s="1"/>
  <c r="H322" i="12"/>
  <c r="I322" i="12" s="1"/>
  <c r="F322" i="12"/>
  <c r="G322" i="12" s="1"/>
  <c r="A254" i="12"/>
  <c r="AO254" i="12" s="1"/>
  <c r="A253" i="12"/>
  <c r="AO253" i="12" s="1"/>
  <c r="H130" i="12"/>
  <c r="I130" i="12" s="1"/>
  <c r="F130" i="12"/>
  <c r="G130" i="12" s="1"/>
  <c r="A6" i="12"/>
  <c r="O6" i="12" s="1"/>
  <c r="A8" i="12"/>
  <c r="O8" i="12" s="1"/>
  <c r="A7" i="12"/>
  <c r="O7" i="12" s="1"/>
  <c r="S8" i="6" a="1"/>
  <c r="S8" i="6" s="1"/>
  <c r="R8" i="6" a="1"/>
  <c r="R8" i="6" s="1"/>
  <c r="S9" i="6" a="1"/>
  <c r="S9" i="6" s="1"/>
  <c r="R10" i="6" a="1"/>
  <c r="R10" i="6" s="1"/>
  <c r="S10" i="6" a="1"/>
  <c r="S10" i="6" s="1"/>
  <c r="R11" i="6" a="1"/>
  <c r="R11" i="6" s="1"/>
  <c r="S11" i="6" a="1"/>
  <c r="S11" i="6" s="1"/>
  <c r="R12" i="6" a="1"/>
  <c r="R12" i="6" s="1"/>
  <c r="S12" i="6" a="1"/>
  <c r="S12" i="6" s="1"/>
  <c r="S13" i="6" a="1"/>
  <c r="S13" i="6" s="1"/>
  <c r="S14" i="6" a="1"/>
  <c r="S14" i="6" s="1"/>
  <c r="S15" i="6" a="1"/>
  <c r="S15" i="6" s="1"/>
  <c r="S16" i="6" a="1"/>
  <c r="S16" i="6" s="1"/>
  <c r="S17" i="6" a="1"/>
  <c r="S17" i="6" s="1"/>
  <c r="R18" i="6" a="1"/>
  <c r="R18" i="6" s="1"/>
  <c r="S18" i="6" a="1"/>
  <c r="S18" i="6" s="1"/>
  <c r="R19" i="6" a="1"/>
  <c r="R19" i="6" s="1"/>
  <c r="S19" i="6" a="1"/>
  <c r="S19" i="6" s="1"/>
  <c r="R20" i="6" a="1"/>
  <c r="R20" i="6" s="1"/>
  <c r="S20" i="6" a="1"/>
  <c r="S20" i="6" s="1"/>
  <c r="R21" i="6" a="1"/>
  <c r="R21" i="6" s="1"/>
  <c r="S21" i="6" a="1"/>
  <c r="S21" i="6" s="1"/>
  <c r="R22" i="6" a="1"/>
  <c r="R22" i="6" s="1"/>
  <c r="S22" i="6" a="1"/>
  <c r="S22" i="6" s="1"/>
  <c r="R23" i="6" a="1"/>
  <c r="R23" i="6" s="1"/>
  <c r="S23" i="6" a="1"/>
  <c r="S23" i="6" s="1"/>
  <c r="R24" i="6" a="1"/>
  <c r="R24" i="6" s="1"/>
  <c r="S24" i="6" a="1"/>
  <c r="S24" i="6" s="1"/>
  <c r="R25" i="6" a="1"/>
  <c r="R25" i="6" s="1"/>
  <c r="S25" i="6" a="1"/>
  <c r="S25" i="6" s="1"/>
  <c r="R26" i="6" a="1"/>
  <c r="R26" i="6" s="1"/>
  <c r="S26" i="6" a="1"/>
  <c r="S26" i="6" s="1"/>
  <c r="S27" i="6" a="1"/>
  <c r="S27" i="6" s="1"/>
  <c r="S28" i="6" a="1"/>
  <c r="S28" i="6" s="1"/>
  <c r="S29" i="6" a="1"/>
  <c r="S29" i="6" s="1"/>
  <c r="S30" i="6" a="1"/>
  <c r="S30" i="6" s="1"/>
  <c r="A22" i="12"/>
  <c r="AO22" i="12" s="1"/>
  <c r="A21" i="12"/>
  <c r="AO21" i="12" s="1"/>
  <c r="A20" i="12"/>
  <c r="O20" i="12" s="1"/>
  <c r="A19" i="12"/>
  <c r="O19" i="12" s="1"/>
  <c r="A18" i="12"/>
  <c r="O18" i="12" s="1"/>
  <c r="A14" i="12"/>
  <c r="O14" i="12" s="1"/>
  <c r="A13" i="12"/>
  <c r="O13" i="12" s="1"/>
  <c r="A9" i="12"/>
  <c r="O9" i="12" s="1"/>
  <c r="A60" i="12"/>
  <c r="O60" i="12" s="1"/>
  <c r="A59" i="12"/>
  <c r="O59" i="12" s="1"/>
  <c r="A53" i="12"/>
  <c r="AO53" i="12" s="1"/>
  <c r="A52" i="12"/>
  <c r="AO52" i="12" s="1"/>
  <c r="A51" i="12"/>
  <c r="AO51" i="12" s="1"/>
  <c r="A50" i="12"/>
  <c r="AO50" i="12" s="1"/>
  <c r="A49" i="12"/>
  <c r="O49" i="12" s="1"/>
  <c r="A48" i="12"/>
  <c r="O48" i="12" s="1"/>
  <c r="A47" i="12"/>
  <c r="O47" i="12" s="1"/>
  <c r="A45" i="12"/>
  <c r="O45" i="12" s="1"/>
  <c r="A41" i="12"/>
  <c r="AO41" i="12" s="1"/>
  <c r="A40" i="12"/>
  <c r="AO40" i="12" s="1"/>
  <c r="A39" i="12"/>
  <c r="AO39" i="12" s="1"/>
  <c r="A38" i="12"/>
  <c r="AO38" i="12" s="1"/>
  <c r="A37" i="12"/>
  <c r="AO37" i="12" s="1"/>
  <c r="A35" i="12"/>
  <c r="AO35" i="12" s="1"/>
  <c r="A34" i="12"/>
  <c r="AO34" i="12" s="1"/>
  <c r="A33" i="12"/>
  <c r="O33" i="12" s="1"/>
  <c r="A32" i="12"/>
  <c r="O32" i="12" s="1"/>
  <c r="A31" i="12"/>
  <c r="O31" i="12" s="1"/>
  <c r="A28" i="12"/>
  <c r="O28" i="12" s="1"/>
  <c r="A27" i="12"/>
  <c r="O27" i="12" s="1"/>
  <c r="A26" i="12"/>
  <c r="AO26" i="12" s="1"/>
  <c r="V12" i="6"/>
  <c r="V13" i="6"/>
  <c r="V14" i="6"/>
  <c r="V15" i="6"/>
  <c r="V16" i="6"/>
  <c r="V17" i="6"/>
  <c r="V18" i="6"/>
  <c r="V19" i="6"/>
  <c r="V20" i="6"/>
  <c r="V21" i="6"/>
  <c r="V22" i="6"/>
  <c r="V23" i="6"/>
  <c r="V24" i="6"/>
  <c r="V25" i="6"/>
  <c r="V11" i="6"/>
  <c r="V10" i="6"/>
  <c r="V9" i="6"/>
  <c r="V8" i="6"/>
  <c r="T11" i="6" a="1"/>
  <c r="T11" i="6" s="1"/>
  <c r="T10" i="6" a="1"/>
  <c r="T10" i="6" s="1"/>
  <c r="T9" i="6" a="1"/>
  <c r="T9" i="6" s="1"/>
  <c r="A252" i="12"/>
  <c r="AO252" i="12" s="1"/>
  <c r="A251" i="12"/>
  <c r="AO251" i="12" s="1"/>
  <c r="A249" i="12"/>
  <c r="AO249" i="12" s="1"/>
  <c r="A243" i="12"/>
  <c r="AO243" i="12" s="1"/>
  <c r="A242" i="12"/>
  <c r="A245" i="12"/>
  <c r="AO245" i="12" s="1"/>
  <c r="A247" i="12"/>
  <c r="AO247" i="12" s="1"/>
  <c r="I541" i="12"/>
  <c r="H541" i="12"/>
  <c r="F541" i="12"/>
  <c r="EK479" i="13"/>
  <c r="EK478" i="13"/>
  <c r="EK477" i="13"/>
  <c r="AW281" i="12"/>
  <c r="EL491" i="13"/>
  <c r="EM491" i="13" s="1"/>
  <c r="EK491" i="13"/>
  <c r="EL490" i="13"/>
  <c r="EK490" i="13"/>
  <c r="EL489" i="13"/>
  <c r="EL485" i="13" s="1"/>
  <c r="EM485" i="13" s="1"/>
  <c r="EK489" i="13"/>
  <c r="EK485" i="13"/>
  <c r="EK484" i="13"/>
  <c r="EK483" i="13"/>
  <c r="C14" i="6"/>
  <c r="A233" i="12"/>
  <c r="AO233" i="12" s="1"/>
  <c r="U11" i="6" a="1"/>
  <c r="U11" i="6" s="1"/>
  <c r="U10" i="6" a="1"/>
  <c r="U10" i="6" s="1"/>
  <c r="A234" i="12"/>
  <c r="AO234" i="12" s="1"/>
  <c r="A236" i="12"/>
  <c r="AO236" i="12" s="1"/>
  <c r="A235" i="12"/>
  <c r="AO235" i="12" s="1"/>
  <c r="A231" i="12"/>
  <c r="AO231" i="12" s="1"/>
  <c r="A227" i="12"/>
  <c r="AO227" i="12" s="1"/>
  <c r="A226" i="12"/>
  <c r="AO226" i="12" s="1"/>
  <c r="A225" i="12"/>
  <c r="AO225" i="12" s="1"/>
  <c r="A224" i="12"/>
  <c r="AO224" i="12" s="1"/>
  <c r="A223" i="12"/>
  <c r="AO223" i="12" s="1"/>
  <c r="A222" i="12"/>
  <c r="O222" i="12" s="1"/>
  <c r="A221" i="12"/>
  <c r="O221" i="12" s="1"/>
  <c r="A211" i="12"/>
  <c r="O206" i="12"/>
  <c r="A215" i="12"/>
  <c r="AO215" i="12" s="1"/>
  <c r="A120" i="12"/>
  <c r="AO120" i="12" s="1"/>
  <c r="A94" i="12"/>
  <c r="AO94" i="12" s="1"/>
  <c r="A93" i="12"/>
  <c r="O93" i="12" s="1"/>
  <c r="A92" i="12"/>
  <c r="O92" i="12" s="1"/>
  <c r="A91" i="12"/>
  <c r="O91" i="12" s="1"/>
  <c r="A90" i="12"/>
  <c r="O90" i="12" s="1"/>
  <c r="A89" i="12"/>
  <c r="O89" i="12" s="1"/>
  <c r="A88" i="12"/>
  <c r="AO88" i="12" s="1"/>
  <c r="A87" i="12"/>
  <c r="AO87" i="12" s="1"/>
  <c r="A86" i="12"/>
  <c r="AO86" i="12" s="1"/>
  <c r="A83" i="12"/>
  <c r="AO83" i="12" s="1"/>
  <c r="A82" i="12"/>
  <c r="AO82" i="12" s="1"/>
  <c r="A81" i="12"/>
  <c r="AO81" i="12" s="1"/>
  <c r="A80" i="12"/>
  <c r="AO80" i="12" s="1"/>
  <c r="A79" i="12"/>
  <c r="AO79" i="12" s="1"/>
  <c r="A78" i="12"/>
  <c r="AO78" i="12" s="1"/>
  <c r="A77" i="12"/>
  <c r="O77" i="12" s="1"/>
  <c r="A71" i="12"/>
  <c r="O71" i="12" s="1"/>
  <c r="A70" i="12"/>
  <c r="O70" i="12" s="1"/>
  <c r="A69" i="12"/>
  <c r="AO69" i="12" s="1"/>
  <c r="A298" i="12"/>
  <c r="A301" i="12" s="1"/>
  <c r="O301" i="12" s="1"/>
  <c r="U8" i="6" a="1"/>
  <c r="U8" i="6" s="1"/>
  <c r="U9" i="6" a="1"/>
  <c r="U9" i="6" s="1"/>
  <c r="U12" i="6" a="1"/>
  <c r="U12" i="6" s="1"/>
  <c r="X8" i="6"/>
  <c r="F20" i="6"/>
  <c r="AW257" i="12"/>
  <c r="AW258" i="12"/>
  <c r="AW259" i="12"/>
  <c r="AW265" i="12"/>
  <c r="AW266" i="12"/>
  <c r="AW267" i="12"/>
  <c r="AW268" i="12"/>
  <c r="AW269" i="12"/>
  <c r="AW270" i="12"/>
  <c r="AW271" i="12"/>
  <c r="AW272" i="12"/>
  <c r="AW273" i="12"/>
  <c r="AW274" i="12"/>
  <c r="AW275" i="12"/>
  <c r="AW276" i="12"/>
  <c r="AW277" i="12"/>
  <c r="AW278" i="12"/>
  <c r="AW279" i="12"/>
  <c r="AW280" i="12"/>
  <c r="AW282" i="12"/>
  <c r="AW283" i="12"/>
  <c r="AW284" i="12"/>
  <c r="AW260" i="12"/>
  <c r="AW261" i="12"/>
  <c r="AW262" i="12"/>
  <c r="AW263" i="12"/>
  <c r="AT247" i="12"/>
  <c r="AS247" i="12" s="1"/>
  <c r="H247" i="12"/>
  <c r="I247" i="12" s="1"/>
  <c r="F247" i="12"/>
  <c r="G247" i="12" s="1"/>
  <c r="A95" i="12"/>
  <c r="O95" i="12" s="1"/>
  <c r="A141" i="12"/>
  <c r="O141" i="12" s="1"/>
  <c r="A136" i="12"/>
  <c r="O136" i="12" s="1"/>
  <c r="A98" i="12"/>
  <c r="O98" i="12" s="1"/>
  <c r="A502" i="12"/>
  <c r="O502" i="12" s="1"/>
  <c r="C34" i="6"/>
  <c r="T8" i="6" a="1"/>
  <c r="T8" i="6" s="1"/>
  <c r="O11" i="6" a="1"/>
  <c r="O11" i="6" s="1"/>
  <c r="O8" i="6" a="1"/>
  <c r="O8" i="6" s="1"/>
  <c r="O9" i="6" a="1"/>
  <c r="O9" i="6" s="1"/>
  <c r="O10" i="6" a="1"/>
  <c r="O10" i="6" s="1"/>
  <c r="F491" i="12"/>
  <c r="G491" i="12" s="1"/>
  <c r="H491" i="12"/>
  <c r="I491" i="12" s="1"/>
  <c r="D57" i="20"/>
  <c r="H489" i="12"/>
  <c r="I489" i="12" s="1"/>
  <c r="H490" i="12"/>
  <c r="I490" i="12" s="1"/>
  <c r="F489" i="12"/>
  <c r="G489" i="12" s="1"/>
  <c r="F490" i="12"/>
  <c r="G490" i="12" s="1"/>
  <c r="H484" i="12"/>
  <c r="I484" i="12" s="1"/>
  <c r="F484" i="12"/>
  <c r="G484" i="12" s="1"/>
  <c r="H474" i="12"/>
  <c r="I474" i="12" s="1"/>
  <c r="F474" i="12"/>
  <c r="G474" i="12" s="1"/>
  <c r="H472" i="12"/>
  <c r="I472" i="12" s="1"/>
  <c r="F472" i="12"/>
  <c r="G472" i="12" s="1"/>
  <c r="A560" i="12"/>
  <c r="O560" i="12" s="1"/>
  <c r="H390" i="12"/>
  <c r="I390" i="12" s="1"/>
  <c r="H391" i="12"/>
  <c r="I391" i="12" s="1"/>
  <c r="F391" i="12"/>
  <c r="G391" i="12" s="1"/>
  <c r="F390" i="12"/>
  <c r="G390" i="12" s="1"/>
  <c r="H388" i="12"/>
  <c r="I388" i="12" s="1"/>
  <c r="F388" i="12"/>
  <c r="G388" i="12" s="1"/>
  <c r="J57" i="20"/>
  <c r="AO211" i="12" l="1"/>
  <c r="A210" i="12"/>
  <c r="A534" i="12"/>
  <c r="O534" i="12" s="1"/>
  <c r="L541" i="12"/>
  <c r="A535" i="12"/>
  <c r="O535" i="12" s="1"/>
  <c r="A536" i="12"/>
  <c r="O536" i="12" s="1"/>
  <c r="A537" i="12"/>
  <c r="O537" i="12" s="1"/>
  <c r="A538" i="12"/>
  <c r="O538" i="12" s="1"/>
  <c r="N1" i="13"/>
  <c r="AO298" i="12"/>
  <c r="A302" i="12"/>
  <c r="O302" i="12" s="1"/>
  <c r="A506" i="12"/>
  <c r="O506" i="12" s="1"/>
  <c r="L114" i="12"/>
  <c r="L138" i="12"/>
  <c r="L132" i="12"/>
  <c r="L150" i="12"/>
  <c r="L103" i="12"/>
  <c r="I103" i="12"/>
  <c r="I138" i="12"/>
  <c r="AO47" i="12"/>
  <c r="L62" i="12"/>
  <c r="AO222" i="12"/>
  <c r="AO502" i="12"/>
  <c r="L140" i="12"/>
  <c r="L149" i="12"/>
  <c r="O26" i="12"/>
  <c r="O298" i="12"/>
  <c r="O24" i="12"/>
  <c r="O235" i="12"/>
  <c r="AO206" i="12"/>
  <c r="O236" i="12"/>
  <c r="AO221" i="12"/>
  <c r="O53" i="12"/>
  <c r="O52" i="12"/>
  <c r="O234" i="12"/>
  <c r="O242" i="12"/>
  <c r="AO98" i="12"/>
  <c r="O51" i="12"/>
  <c r="O23" i="12"/>
  <c r="O233" i="12"/>
  <c r="O50" i="12"/>
  <c r="O22" i="12"/>
  <c r="L137" i="12"/>
  <c r="O21" i="12"/>
  <c r="O231" i="12"/>
  <c r="O215" i="12"/>
  <c r="AO95" i="12"/>
  <c r="AO59" i="12"/>
  <c r="AO33" i="12"/>
  <c r="O254" i="12"/>
  <c r="AO32" i="12"/>
  <c r="L115" i="12"/>
  <c r="AO31" i="12"/>
  <c r="O227" i="12"/>
  <c r="O211" i="12"/>
  <c r="O41" i="12"/>
  <c r="O226" i="12"/>
  <c r="O40" i="12"/>
  <c r="O225" i="12"/>
  <c r="AO20" i="12"/>
  <c r="AO242" i="12"/>
  <c r="J9" i="6" s="1"/>
  <c r="O39" i="12"/>
  <c r="O224" i="12"/>
  <c r="AO49" i="12"/>
  <c r="AO19" i="12"/>
  <c r="O223" i="12"/>
  <c r="L253" i="12"/>
  <c r="L105" i="12"/>
  <c r="AO18" i="12"/>
  <c r="AO48" i="12"/>
  <c r="AO93" i="12"/>
  <c r="AO90" i="12"/>
  <c r="AO89" i="12"/>
  <c r="AO105" i="12"/>
  <c r="O253" i="12"/>
  <c r="O252" i="12"/>
  <c r="O251" i="12"/>
  <c r="O249" i="12"/>
  <c r="O247" i="12"/>
  <c r="O245" i="12"/>
  <c r="O243" i="12"/>
  <c r="AO109" i="12"/>
  <c r="AO45" i="12"/>
  <c r="AO107" i="12"/>
  <c r="AO77" i="12"/>
  <c r="AO58" i="12"/>
  <c r="AO28" i="12"/>
  <c r="AO119" i="12"/>
  <c r="AO406" i="12"/>
  <c r="O34" i="12"/>
  <c r="O37" i="12"/>
  <c r="O35" i="12"/>
  <c r="AO106" i="12"/>
  <c r="AO57" i="12"/>
  <c r="AO27" i="12"/>
  <c r="O120" i="12"/>
  <c r="O88" i="12"/>
  <c r="O38" i="12"/>
  <c r="AO14" i="12"/>
  <c r="AO13" i="12"/>
  <c r="AO9" i="12"/>
  <c r="O87" i="12"/>
  <c r="AO60" i="12"/>
  <c r="AO108" i="12"/>
  <c r="AO8" i="12"/>
  <c r="O86" i="12"/>
  <c r="AO7" i="12"/>
  <c r="O104" i="12"/>
  <c r="O117" i="12"/>
  <c r="O69" i="12"/>
  <c r="AO103" i="12"/>
  <c r="AO71" i="12"/>
  <c r="AO70" i="12"/>
  <c r="O115" i="12"/>
  <c r="O83" i="12"/>
  <c r="O114" i="12"/>
  <c r="O82" i="12"/>
  <c r="AO141" i="12"/>
  <c r="AO136" i="12"/>
  <c r="O113" i="12"/>
  <c r="O81" i="12"/>
  <c r="O112" i="12"/>
  <c r="O80" i="12"/>
  <c r="O111" i="12"/>
  <c r="O79" i="12"/>
  <c r="O110" i="12"/>
  <c r="O94" i="12"/>
  <c r="O78" i="12"/>
  <c r="AO92" i="12"/>
  <c r="AO91" i="12"/>
  <c r="G416" i="12"/>
  <c r="I114" i="12"/>
  <c r="G140" i="12"/>
  <c r="L104" i="12"/>
  <c r="G132" i="12"/>
  <c r="G541" i="12" s="1"/>
  <c r="L61" i="12"/>
  <c r="L130" i="12"/>
  <c r="L247" i="12"/>
  <c r="L152" i="12"/>
  <c r="BC7" i="12" a="1"/>
  <c r="BC7" i="12" s="1"/>
  <c r="BE7" i="12" a="1"/>
  <c r="BE7" i="12" s="1"/>
  <c r="AZ7" i="12" a="1"/>
  <c r="AZ7" i="12" s="1"/>
  <c r="BA7" i="12" a="1"/>
  <c r="BA7" i="12" s="1"/>
  <c r="BB7" i="12" a="1"/>
  <c r="BB7" i="12" s="1"/>
  <c r="BB8" i="12" s="1" a="1"/>
  <c r="BB8" i="12" s="1"/>
  <c r="BD8" i="12" a="1"/>
  <c r="BD8" i="12" s="1"/>
  <c r="A322" i="12"/>
  <c r="O322" i="12" s="1"/>
  <c r="A360" i="12"/>
  <c r="O360" i="12" s="1"/>
  <c r="A361" i="12"/>
  <c r="O361" i="12" s="1"/>
  <c r="EM490" i="13"/>
  <c r="A134" i="12"/>
  <c r="L23" i="20"/>
  <c r="K23" i="20"/>
  <c r="L5" i="12"/>
  <c r="I23" i="20"/>
  <c r="EL483" i="13"/>
  <c r="EL484" i="13"/>
  <c r="EM484" i="13" s="1"/>
  <c r="EM489" i="13"/>
  <c r="A499" i="12"/>
  <c r="O499" i="12" s="1"/>
  <c r="O27" i="13" l="1"/>
  <c r="O90" i="13"/>
  <c r="O40" i="13"/>
  <c r="O42" i="13"/>
  <c r="O56" i="13"/>
  <c r="O58" i="13"/>
  <c r="O74" i="13"/>
  <c r="O88" i="13"/>
  <c r="O5" i="13"/>
  <c r="O41" i="13"/>
  <c r="O57" i="13"/>
  <c r="O24" i="13"/>
  <c r="O6" i="13"/>
  <c r="O25" i="13"/>
  <c r="O7" i="13"/>
  <c r="O26" i="13"/>
  <c r="O73" i="13"/>
  <c r="O89" i="13"/>
  <c r="O72" i="13"/>
  <c r="O16" i="13"/>
  <c r="O15" i="13"/>
  <c r="O55" i="13"/>
  <c r="O94" i="13"/>
  <c r="O31" i="13"/>
  <c r="O86" i="13"/>
  <c r="O28" i="13"/>
  <c r="O70" i="13"/>
  <c r="O87" i="13"/>
  <c r="O17" i="13"/>
  <c r="O83" i="13"/>
  <c r="O82" i="13"/>
  <c r="O1" i="13"/>
  <c r="O78" i="13"/>
  <c r="O43" i="13"/>
  <c r="O4" i="13"/>
  <c r="O63" i="13"/>
  <c r="O21" i="13"/>
  <c r="O48" i="13"/>
  <c r="O9" i="13"/>
  <c r="O33" i="13"/>
  <c r="O44" i="13"/>
  <c r="O22" i="13"/>
  <c r="O100" i="13"/>
  <c r="O67" i="13"/>
  <c r="O50" i="13"/>
  <c r="O62" i="13"/>
  <c r="O23" i="13"/>
  <c r="O93" i="13"/>
  <c r="O14" i="13"/>
  <c r="O81" i="13"/>
  <c r="O84" i="13"/>
  <c r="O51" i="13"/>
  <c r="O96" i="13"/>
  <c r="O46" i="13"/>
  <c r="O8" i="13"/>
  <c r="O20" i="13"/>
  <c r="O39" i="13"/>
  <c r="O77" i="13"/>
  <c r="O54" i="13"/>
  <c r="O61" i="13"/>
  <c r="O45" i="13"/>
  <c r="O69" i="13"/>
  <c r="O92" i="13"/>
  <c r="O79" i="13"/>
  <c r="O68" i="13"/>
  <c r="O35" i="13"/>
  <c r="O98" i="13"/>
  <c r="O30" i="13"/>
  <c r="O64" i="13"/>
  <c r="O91" i="13"/>
  <c r="O47" i="13"/>
  <c r="O32" i="13"/>
  <c r="O37" i="13"/>
  <c r="O38" i="13"/>
  <c r="O13" i="13"/>
  <c r="O2" i="13"/>
  <c r="O29" i="13"/>
  <c r="O76" i="13"/>
  <c r="O60" i="13"/>
  <c r="O11" i="13"/>
  <c r="O52" i="13"/>
  <c r="O19" i="13"/>
  <c r="O66" i="13"/>
  <c r="O75" i="13"/>
  <c r="O10" i="13"/>
  <c r="O85" i="13"/>
  <c r="O36" i="13"/>
  <c r="O34" i="13"/>
  <c r="O95" i="13"/>
  <c r="O71" i="13"/>
  <c r="O80" i="13"/>
  <c r="O59" i="13"/>
  <c r="O97" i="13"/>
  <c r="O65" i="13"/>
  <c r="O53" i="13"/>
  <c r="O12" i="13"/>
  <c r="O3" i="13"/>
  <c r="O18" i="13"/>
  <c r="O99" i="13"/>
  <c r="O49" i="13"/>
  <c r="U24" i="13"/>
  <c r="U71" i="13"/>
  <c r="U2" i="13"/>
  <c r="U22" i="13"/>
  <c r="U38" i="13"/>
  <c r="U53" i="13"/>
  <c r="U54" i="13"/>
  <c r="U70" i="13"/>
  <c r="U85" i="13"/>
  <c r="U101" i="13"/>
  <c r="U21" i="13"/>
  <c r="U3" i="13"/>
  <c r="U23" i="13"/>
  <c r="U37" i="13"/>
  <c r="U86" i="13"/>
  <c r="U87" i="13"/>
  <c r="U17" i="13"/>
  <c r="U18" i="13"/>
  <c r="U19" i="13"/>
  <c r="U39" i="13"/>
  <c r="U55" i="13"/>
  <c r="U69" i="13"/>
  <c r="U68" i="13"/>
  <c r="U33" i="13"/>
  <c r="U72" i="13"/>
  <c r="U62" i="13"/>
  <c r="U98" i="13"/>
  <c r="U91" i="13"/>
  <c r="U41" i="13"/>
  <c r="U11" i="13"/>
  <c r="U83" i="13"/>
  <c r="U95" i="13"/>
  <c r="U6" i="13"/>
  <c r="U14" i="13"/>
  <c r="U52" i="13"/>
  <c r="U56" i="13"/>
  <c r="U36" i="13"/>
  <c r="U9" i="13"/>
  <c r="U61" i="13"/>
  <c r="U73" i="13"/>
  <c r="U82" i="13"/>
  <c r="U75" i="13"/>
  <c r="U25" i="13"/>
  <c r="U97" i="13"/>
  <c r="U59" i="13"/>
  <c r="U81" i="13"/>
  <c r="U76" i="13"/>
  <c r="U20" i="13"/>
  <c r="U65" i="13"/>
  <c r="U27" i="13"/>
  <c r="U49" i="13"/>
  <c r="U63" i="13"/>
  <c r="U93" i="13"/>
  <c r="U90" i="13"/>
  <c r="U77" i="13"/>
  <c r="U40" i="13"/>
  <c r="U79" i="13"/>
  <c r="U31" i="13"/>
  <c r="U74" i="13"/>
  <c r="U29" i="13"/>
  <c r="U35" i="13"/>
  <c r="U8" i="13"/>
  <c r="U99" i="13"/>
  <c r="U89" i="13"/>
  <c r="U13" i="13"/>
  <c r="U96" i="13"/>
  <c r="U100" i="13"/>
  <c r="U64" i="13"/>
  <c r="U28" i="13"/>
  <c r="U32" i="13"/>
  <c r="U47" i="13"/>
  <c r="U88" i="13"/>
  <c r="U66" i="13"/>
  <c r="U10" i="13"/>
  <c r="U92" i="13"/>
  <c r="U58" i="13"/>
  <c r="U51" i="13"/>
  <c r="U5" i="13"/>
  <c r="U57" i="13"/>
  <c r="U50" i="13"/>
  <c r="U80" i="13"/>
  <c r="U48" i="13"/>
  <c r="U67" i="13"/>
  <c r="U34" i="13"/>
  <c r="U94" i="13"/>
  <c r="U44" i="13"/>
  <c r="U84" i="13"/>
  <c r="U42" i="13"/>
  <c r="U45" i="13"/>
  <c r="U46" i="13"/>
  <c r="U7" i="13"/>
  <c r="U12" i="13"/>
  <c r="U43" i="13"/>
  <c r="U4" i="13"/>
  <c r="U16" i="13"/>
  <c r="U78" i="13"/>
  <c r="U26" i="13"/>
  <c r="U60" i="13"/>
  <c r="U15" i="13"/>
  <c r="U30" i="13"/>
  <c r="AO302" i="12"/>
  <c r="AO506" i="12"/>
  <c r="AO499" i="12"/>
  <c r="AO210" i="12"/>
  <c r="J8" i="6" s="1"/>
  <c r="O210" i="12"/>
  <c r="O134" i="12"/>
  <c r="AO134" i="12"/>
  <c r="AO361" i="12"/>
  <c r="AO322" i="12"/>
  <c r="AO360" i="12"/>
  <c r="BA8" i="12" a="1"/>
  <c r="BA8" i="12" s="1"/>
  <c r="BA9" i="12" s="1" a="1"/>
  <c r="BA9" i="12" s="1"/>
  <c r="BB9" i="12" a="1"/>
  <c r="BB9" i="12" s="1"/>
  <c r="BB10" i="12" s="1" a="1"/>
  <c r="BB10" i="12" s="1"/>
  <c r="AZ8" i="12" a="1"/>
  <c r="AZ8" i="12" s="1"/>
  <c r="BE8" i="12" a="1"/>
  <c r="BE8" i="12" s="1"/>
  <c r="BE9" i="12" s="1" a="1"/>
  <c r="BE9" i="12" s="1"/>
  <c r="BD9" i="12" a="1"/>
  <c r="BD9" i="12" s="1"/>
  <c r="BD10" i="12" s="1" a="1"/>
  <c r="BD10" i="12" s="1"/>
  <c r="BD11" i="12" s="1" a="1"/>
  <c r="BD11" i="12" s="1"/>
  <c r="BC8" i="12" a="1"/>
  <c r="BC8" i="12" s="1"/>
  <c r="BC9" i="12" s="1" a="1"/>
  <c r="BC9" i="12" s="1"/>
  <c r="EL479" i="13"/>
  <c r="EM479" i="13" s="1"/>
  <c r="EL478" i="13"/>
  <c r="EL477" i="13"/>
  <c r="EM483" i="13"/>
  <c r="A510" i="12"/>
  <c r="O510" i="12" s="1"/>
  <c r="A509" i="12"/>
  <c r="O509" i="12" s="1"/>
  <c r="A358" i="12"/>
  <c r="O358" i="12" s="1"/>
  <c r="A357" i="12"/>
  <c r="O357" i="12" s="1"/>
  <c r="E69" i="20"/>
  <c r="D69" i="20"/>
  <c r="P4" i="13" l="1"/>
  <c r="P82" i="13"/>
  <c r="P37" i="13"/>
  <c r="P86" i="13"/>
  <c r="P47" i="13"/>
  <c r="P50" i="13"/>
  <c r="P10" i="13"/>
  <c r="P6" i="13"/>
  <c r="P20" i="13"/>
  <c r="P14" i="13"/>
  <c r="P33" i="13"/>
  <c r="P28" i="13"/>
  <c r="P1" i="13"/>
  <c r="P8" i="13"/>
  <c r="P36" i="13"/>
  <c r="P69" i="13"/>
  <c r="P55" i="13"/>
  <c r="P26" i="13"/>
  <c r="P44" i="13"/>
  <c r="P52" i="13"/>
  <c r="P60" i="13"/>
  <c r="P68" i="13"/>
  <c r="P13" i="13"/>
  <c r="P94" i="13"/>
  <c r="P58" i="13"/>
  <c r="P76" i="13"/>
  <c r="P12" i="13"/>
  <c r="P84" i="13"/>
  <c r="P71" i="13"/>
  <c r="P81" i="13"/>
  <c r="P74" i="13"/>
  <c r="P92" i="13"/>
  <c r="P2" i="13"/>
  <c r="P100" i="13"/>
  <c r="P87" i="13"/>
  <c r="P98" i="13"/>
  <c r="P18" i="13"/>
  <c r="P45" i="13"/>
  <c r="P19" i="13"/>
  <c r="P39" i="13"/>
  <c r="P56" i="13"/>
  <c r="P23" i="13"/>
  <c r="P32" i="13"/>
  <c r="P61" i="13"/>
  <c r="P35" i="13"/>
  <c r="P15" i="13"/>
  <c r="P46" i="13"/>
  <c r="P24" i="13"/>
  <c r="P34" i="13"/>
  <c r="P77" i="13"/>
  <c r="P51" i="13"/>
  <c r="P72" i="13"/>
  <c r="P63" i="13"/>
  <c r="P25" i="13"/>
  <c r="P27" i="13"/>
  <c r="P93" i="13"/>
  <c r="P67" i="13"/>
  <c r="P16" i="13"/>
  <c r="P64" i="13"/>
  <c r="P95" i="13"/>
  <c r="P78" i="13"/>
  <c r="P57" i="13"/>
  <c r="P97" i="13"/>
  <c r="P99" i="13"/>
  <c r="P48" i="13"/>
  <c r="P38" i="13"/>
  <c r="P91" i="13"/>
  <c r="P62" i="13"/>
  <c r="P96" i="13"/>
  <c r="P7" i="13"/>
  <c r="P53" i="13"/>
  <c r="P9" i="13"/>
  <c r="P85" i="13"/>
  <c r="P88" i="13"/>
  <c r="P42" i="13"/>
  <c r="P59" i="13"/>
  <c r="P29" i="13"/>
  <c r="P40" i="13"/>
  <c r="P89" i="13"/>
  <c r="P49" i="13"/>
  <c r="P21" i="13"/>
  <c r="P41" i="13"/>
  <c r="P54" i="13"/>
  <c r="P70" i="13"/>
  <c r="P43" i="13"/>
  <c r="P30" i="13"/>
  <c r="P79" i="13"/>
  <c r="P90" i="13"/>
  <c r="P83" i="13"/>
  <c r="P17" i="13"/>
  <c r="P65" i="13"/>
  <c r="P66" i="13"/>
  <c r="P80" i="13"/>
  <c r="P22" i="13"/>
  <c r="P31" i="13"/>
  <c r="P75" i="13"/>
  <c r="P73" i="13"/>
  <c r="P11" i="13"/>
  <c r="P5" i="13"/>
  <c r="P3" i="13"/>
  <c r="AO427" i="12"/>
  <c r="AO509" i="12"/>
  <c r="AO510" i="12"/>
  <c r="AO358" i="12"/>
  <c r="AO357" i="12"/>
  <c r="BC10" i="12" a="1"/>
  <c r="BC10" i="12" s="1"/>
  <c r="BC11" i="12" s="1" a="1"/>
  <c r="BC11" i="12" s="1"/>
  <c r="BA10" i="12" a="1"/>
  <c r="BA10" i="12" s="1"/>
  <c r="BA11" i="12" s="1" a="1"/>
  <c r="BA11" i="12" s="1"/>
  <c r="AZ9" i="12" a="1"/>
  <c r="AZ9" i="12" s="1"/>
  <c r="AZ10" i="12" s="1" a="1"/>
  <c r="AZ10" i="12" s="1"/>
  <c r="BD12" i="12" a="1"/>
  <c r="BD12" i="12" s="1"/>
  <c r="BD13" i="12" s="1" a="1"/>
  <c r="BD13" i="12" s="1"/>
  <c r="BE10" i="12" a="1"/>
  <c r="BE10" i="12" s="1"/>
  <c r="BE11" i="12" s="1" a="1"/>
  <c r="BE11" i="12" s="1"/>
  <c r="EM478" i="13"/>
  <c r="H69" i="20"/>
  <c r="L69" i="20"/>
  <c r="K69" i="20"/>
  <c r="EM477" i="13"/>
  <c r="F69" i="20"/>
  <c r="G69" i="20"/>
  <c r="AO558" i="12"/>
  <c r="AO559" i="12"/>
  <c r="AO560" i="12"/>
  <c r="AO6" i="12"/>
  <c r="Y501" i="13" l="1"/>
  <c r="Q1" i="13"/>
  <c r="BC12" i="12" a="1"/>
  <c r="BC12" i="12" s="1"/>
  <c r="BC13" i="12" s="1" a="1"/>
  <c r="BC13" i="12" s="1"/>
  <c r="AZ11" i="12" a="1"/>
  <c r="AZ11" i="12" s="1"/>
  <c r="BA12" i="12" a="1"/>
  <c r="BA12" i="12" s="1"/>
  <c r="BD14" i="12" a="1"/>
  <c r="BD14" i="12" s="1"/>
  <c r="O5" i="12"/>
  <c r="Y593" i="13" l="1"/>
  <c r="Y562" i="13"/>
  <c r="Y517" i="13"/>
  <c r="Y524" i="13"/>
  <c r="Y523" i="13"/>
  <c r="Y551" i="13"/>
  <c r="Y584" i="13"/>
  <c r="Y600" i="13"/>
  <c r="Y580" i="13"/>
  <c r="Y558" i="13"/>
  <c r="Y592" i="13"/>
  <c r="Y578" i="13"/>
  <c r="Y533" i="13"/>
  <c r="Y540" i="13"/>
  <c r="Y520" i="13"/>
  <c r="Y590" i="13"/>
  <c r="Y535" i="13"/>
  <c r="Y534" i="13"/>
  <c r="Y528" i="13"/>
  <c r="Y544" i="13"/>
  <c r="Y560" i="13"/>
  <c r="Y538" i="13"/>
  <c r="Y576" i="13"/>
  <c r="Y574" i="13"/>
  <c r="Y594" i="13"/>
  <c r="Y549" i="13"/>
  <c r="Y556" i="13"/>
  <c r="Y518" i="13"/>
  <c r="Y575" i="13"/>
  <c r="Y557" i="13"/>
  <c r="Y571" i="13"/>
  <c r="Y539" i="13"/>
  <c r="Y522" i="13"/>
  <c r="Y550" i="13"/>
  <c r="Y519" i="13"/>
  <c r="Y531" i="13"/>
  <c r="Y570" i="13"/>
  <c r="Y547" i="13"/>
  <c r="Y599" i="13"/>
  <c r="Y521" i="13"/>
  <c r="Y559" i="13"/>
  <c r="Y553" i="13"/>
  <c r="Y548" i="13"/>
  <c r="Y529" i="13"/>
  <c r="Y564" i="13"/>
  <c r="Y566" i="13"/>
  <c r="Y579" i="13"/>
  <c r="Y582" i="13"/>
  <c r="Y591" i="13"/>
  <c r="Y552" i="13"/>
  <c r="Y587" i="13"/>
  <c r="Y563" i="13"/>
  <c r="Y536" i="13"/>
  <c r="Y554" i="13"/>
  <c r="Y532" i="13"/>
  <c r="Y583" i="13"/>
  <c r="Y589" i="13"/>
  <c r="Y530" i="13"/>
  <c r="Y546" i="13"/>
  <c r="Y565" i="13"/>
  <c r="Y526" i="13"/>
  <c r="Y585" i="13"/>
  <c r="Y567" i="13"/>
  <c r="Y595" i="13"/>
  <c r="Y568" i="13"/>
  <c r="Y586" i="13"/>
  <c r="Y543" i="13"/>
  <c r="Y588" i="13"/>
  <c r="Y525" i="13"/>
  <c r="Y541" i="13"/>
  <c r="Y573" i="13"/>
  <c r="Y561" i="13"/>
  <c r="Y527" i="13"/>
  <c r="Y596" i="13"/>
  <c r="Y537" i="13"/>
  <c r="Y598" i="13"/>
  <c r="Y545" i="13"/>
  <c r="Y542" i="13"/>
  <c r="Y572" i="13"/>
  <c r="Y597" i="13"/>
  <c r="Y577" i="13"/>
  <c r="Y581" i="13"/>
  <c r="Y555" i="13"/>
  <c r="Y601" i="13"/>
  <c r="Y569" i="13"/>
  <c r="BC14" i="12" a="1"/>
  <c r="BC14" i="12" s="1"/>
  <c r="BC15" i="12" s="1" a="1"/>
  <c r="BC15" i="12" s="1"/>
  <c r="AZ12" i="12" a="1"/>
  <c r="AZ12" i="12" s="1"/>
  <c r="AZ13" i="12" s="1" a="1"/>
  <c r="AZ13" i="12" s="1"/>
  <c r="AZ14" i="12" s="1" a="1"/>
  <c r="AZ14" i="12" s="1"/>
  <c r="AZ15" i="12" s="1" a="1"/>
  <c r="AZ15" i="12" s="1"/>
  <c r="AZ16" i="12" s="1" a="1"/>
  <c r="AZ16" i="12" s="1"/>
  <c r="AZ17" i="12" s="1" a="1"/>
  <c r="AZ17" i="12" s="1"/>
  <c r="AZ18" i="12" s="1" a="1"/>
  <c r="AZ18" i="12" s="1"/>
  <c r="AZ19" i="12" s="1" a="1"/>
  <c r="AZ19" i="12" s="1"/>
  <c r="AZ20" i="12" s="1" a="1"/>
  <c r="AZ20" i="12" s="1"/>
  <c r="AZ21" i="12" s="1" a="1"/>
  <c r="AZ21" i="12" s="1"/>
  <c r="AZ22" i="12" s="1" a="1"/>
  <c r="AZ22" i="12" s="1"/>
  <c r="AZ23" i="12" s="1" a="1"/>
  <c r="AZ23" i="12" s="1"/>
  <c r="AZ24" i="12" s="1" a="1"/>
  <c r="AZ24" i="12" s="1"/>
  <c r="BA13" i="12" a="1"/>
  <c r="BA13" i="12" s="1"/>
  <c r="BD15" i="12" a="1"/>
  <c r="BD15" i="12" s="1"/>
  <c r="Q12" i="6" a="1"/>
  <c r="Q12" i="6" s="1"/>
  <c r="Q11" i="6" a="1"/>
  <c r="Q11" i="6" s="1"/>
  <c r="Q10" i="6" a="1"/>
  <c r="Q10" i="6" s="1"/>
  <c r="Q9" i="6" a="1"/>
  <c r="Q9" i="6" s="1"/>
  <c r="Q8" i="6" a="1"/>
  <c r="Q8" i="6" s="1"/>
  <c r="AV534" i="12"/>
  <c r="H534" i="12"/>
  <c r="F534" i="12"/>
  <c r="G534" i="12" s="1"/>
  <c r="K11" i="2"/>
  <c r="BD1" i="12"/>
  <c r="BD2" i="12"/>
  <c r="AV255" i="12"/>
  <c r="AV256" i="12"/>
  <c r="Z549" i="13" a="1"/>
  <c r="Z587" i="13" a="1"/>
  <c r="Z576" i="13" a="1"/>
  <c r="Z529" i="13" a="1"/>
  <c r="Z559" i="13" a="1"/>
  <c r="Z539" i="13" a="1"/>
  <c r="Z566" i="13" a="1"/>
  <c r="Z555" i="13" a="1"/>
  <c r="Z577" i="13" a="1"/>
  <c r="Z558" i="13" a="1"/>
  <c r="Z535" i="13" a="1"/>
  <c r="Z583" i="13" a="1"/>
  <c r="Z569" i="13" a="1"/>
  <c r="Z557" i="13" a="1"/>
  <c r="Z526" i="13" a="1"/>
  <c r="Z523" i="13" a="1"/>
  <c r="Z570" i="13" a="1"/>
  <c r="Z579" i="13" a="1"/>
  <c r="Z572" i="13" a="1"/>
  <c r="Z518" i="13" a="1"/>
  <c r="Z584" i="13" a="1"/>
  <c r="Z581" i="13" a="1"/>
  <c r="Z548" i="13" a="1"/>
  <c r="Z552" i="13" a="1"/>
  <c r="Z528" i="13" a="1"/>
  <c r="Z562" i="13" a="1"/>
  <c r="Z536" i="13" a="1"/>
  <c r="Z573" i="13" a="1"/>
  <c r="Z530" i="13" a="1"/>
  <c r="Z520" i="13" a="1"/>
  <c r="Z527" i="13" a="1"/>
  <c r="Z532" i="13" a="1"/>
  <c r="Z565" i="13" a="1"/>
  <c r="Z578" i="13" a="1"/>
  <c r="Z521" i="13" a="1"/>
  <c r="Z600" i="13" a="1"/>
  <c r="Z592" i="13" a="1"/>
  <c r="Z574" i="13" a="1"/>
  <c r="Z546" i="13" a="1"/>
  <c r="Z575" i="13" a="1"/>
  <c r="Z550" i="13" a="1"/>
  <c r="Z542" i="13" a="1"/>
  <c r="Z591" i="13" a="1"/>
  <c r="Z533" i="13" a="1"/>
  <c r="Z593" i="13" a="1"/>
  <c r="Z554" i="13" a="1"/>
  <c r="Z589" i="13" a="1"/>
  <c r="Z567" i="13" a="1"/>
  <c r="Z547" i="13" a="1"/>
  <c r="Z582" i="13" a="1"/>
  <c r="Z534" i="13" a="1"/>
  <c r="Z585" i="13" a="1"/>
  <c r="Z531" i="13" a="1"/>
  <c r="Z594" i="13" a="1"/>
  <c r="Z564" i="13" a="1"/>
  <c r="Z519" i="13" a="1"/>
  <c r="Z586" i="13" a="1"/>
  <c r="Z599" i="13" a="1"/>
  <c r="Z525" i="13" a="1"/>
  <c r="Z560" i="13" a="1"/>
  <c r="Z522" i="13" a="1"/>
  <c r="Z588" i="13" a="1"/>
  <c r="Z595" i="13" a="1"/>
  <c r="Z543" i="13" a="1"/>
  <c r="Z524" i="13" a="1"/>
  <c r="Z597" i="13" a="1"/>
  <c r="Z538" i="13" a="1"/>
  <c r="Z590" i="13" a="1"/>
  <c r="Z551" i="13" a="1"/>
  <c r="Z541" i="13" a="1"/>
  <c r="Z563" i="13" a="1"/>
  <c r="Z568" i="13" a="1"/>
  <c r="Z571" i="13" a="1"/>
  <c r="Z601" i="13" a="1"/>
  <c r="Z596" i="13" a="1"/>
  <c r="Z556" i="13" a="1"/>
  <c r="Z580" i="13" a="1"/>
  <c r="Z540" i="13" a="1"/>
  <c r="Z537" i="13" a="1"/>
  <c r="Z553" i="13" a="1"/>
  <c r="Z598" i="13" a="1"/>
  <c r="Z545" i="13" a="1"/>
  <c r="Z517" i="13" a="1"/>
  <c r="Z544" i="13" a="1"/>
  <c r="Z561" i="13" a="1"/>
  <c r="Z597" i="13" l="1"/>
  <c r="AA597" i="13" s="1"/>
  <c r="AB597" i="13" s="1"/>
  <c r="Z572" i="13"/>
  <c r="AA572" i="13" s="1"/>
  <c r="AB572" i="13" s="1"/>
  <c r="Z542" i="13"/>
  <c r="AA542" i="13" s="1"/>
  <c r="AB542" i="13" s="1"/>
  <c r="Z585" i="13"/>
  <c r="AA585" i="13" s="1"/>
  <c r="AB585" i="13" s="1"/>
  <c r="Z566" i="13"/>
  <c r="AA566" i="13" s="1"/>
  <c r="AB566" i="13" s="1"/>
  <c r="Z557" i="13"/>
  <c r="AA557" i="13" s="1"/>
  <c r="AB557" i="13" s="1"/>
  <c r="Z540" i="13"/>
  <c r="AA540" i="13" s="1"/>
  <c r="AB540" i="13" s="1"/>
  <c r="Z545" i="13"/>
  <c r="AA545" i="13" s="1"/>
  <c r="AB545" i="13" s="1"/>
  <c r="Z526" i="13"/>
  <c r="AA526" i="13" s="1"/>
  <c r="AB526" i="13" s="1"/>
  <c r="Z564" i="13"/>
  <c r="AA564" i="13" s="1"/>
  <c r="AB564" i="13" s="1"/>
  <c r="Z575" i="13"/>
  <c r="AA575" i="13" s="1"/>
  <c r="AB575" i="13" s="1"/>
  <c r="Z533" i="13"/>
  <c r="AA533" i="13" s="1"/>
  <c r="AB533" i="13" s="1"/>
  <c r="Z590" i="13"/>
  <c r="AA590" i="13" s="1"/>
  <c r="AB590" i="13" s="1"/>
  <c r="Z565" i="13"/>
  <c r="AA565" i="13" s="1"/>
  <c r="AB565" i="13" s="1"/>
  <c r="Z529" i="13"/>
  <c r="AA529" i="13" s="1"/>
  <c r="AB529" i="13" s="1"/>
  <c r="Z518" i="13"/>
  <c r="AA518" i="13" s="1"/>
  <c r="AB518" i="13" s="1"/>
  <c r="Z578" i="13"/>
  <c r="AA578" i="13" s="1"/>
  <c r="AB578" i="13" s="1"/>
  <c r="Z595" i="13"/>
  <c r="AA595" i="13" s="1"/>
  <c r="AB595" i="13" s="1"/>
  <c r="Z579" i="13"/>
  <c r="AA579" i="13" s="1"/>
  <c r="AB579" i="13" s="1"/>
  <c r="Z537" i="13"/>
  <c r="AA537" i="13" s="1"/>
  <c r="AB537" i="13" s="1"/>
  <c r="Z546" i="13"/>
  <c r="AA546" i="13" s="1"/>
  <c r="AB546" i="13" s="1"/>
  <c r="Z548" i="13"/>
  <c r="AA548" i="13" s="1"/>
  <c r="AB548" i="13" s="1"/>
  <c r="Z556" i="13"/>
  <c r="AA556" i="13" s="1"/>
  <c r="AB556" i="13" s="1"/>
  <c r="Z592" i="13"/>
  <c r="AA592" i="13" s="1"/>
  <c r="AB592" i="13" s="1"/>
  <c r="Z582" i="13"/>
  <c r="AA582" i="13" s="1"/>
  <c r="AB582" i="13" s="1"/>
  <c r="Z596" i="13"/>
  <c r="AA596" i="13" s="1"/>
  <c r="AB596" i="13" s="1"/>
  <c r="Z530" i="13"/>
  <c r="AA530" i="13" s="1"/>
  <c r="AB530" i="13" s="1"/>
  <c r="Z553" i="13"/>
  <c r="AA553" i="13" s="1"/>
  <c r="AB553" i="13" s="1"/>
  <c r="Z549" i="13"/>
  <c r="AA549" i="13" s="1"/>
  <c r="AB549" i="13" s="1"/>
  <c r="Z558" i="13"/>
  <c r="AA558" i="13" s="1"/>
  <c r="AB558" i="13" s="1"/>
  <c r="Z539" i="13"/>
  <c r="AA539" i="13" s="1"/>
  <c r="AB539" i="13" s="1"/>
  <c r="Z598" i="13"/>
  <c r="AA598" i="13" s="1"/>
  <c r="AB598" i="13" s="1"/>
  <c r="Z589" i="13"/>
  <c r="AA589" i="13" s="1"/>
  <c r="AB589" i="13" s="1"/>
  <c r="Z559" i="13"/>
  <c r="AA559" i="13" s="1"/>
  <c r="AB559" i="13" s="1"/>
  <c r="Z594" i="13"/>
  <c r="AA594" i="13" s="1"/>
  <c r="AB594" i="13" s="1"/>
  <c r="Z580" i="13"/>
  <c r="AA580" i="13" s="1"/>
  <c r="AB580" i="13" s="1"/>
  <c r="Z574" i="13"/>
  <c r="AA574" i="13" s="1"/>
  <c r="AB574" i="13" s="1"/>
  <c r="Z600" i="13"/>
  <c r="AA600" i="13" s="1"/>
  <c r="AB600" i="13" s="1"/>
  <c r="Z571" i="13"/>
  <c r="AA571" i="13" s="1"/>
  <c r="AB571" i="13" s="1"/>
  <c r="Z583" i="13"/>
  <c r="AA583" i="13" s="1"/>
  <c r="AB583" i="13" s="1"/>
  <c r="Z573" i="13"/>
  <c r="AA573" i="13" s="1"/>
  <c r="AB573" i="13" s="1"/>
  <c r="Z532" i="13"/>
  <c r="AA532" i="13" s="1"/>
  <c r="AB532" i="13" s="1"/>
  <c r="Z599" i="13"/>
  <c r="AA599" i="13" s="1"/>
  <c r="AB599" i="13" s="1"/>
  <c r="Z576" i="13"/>
  <c r="AA576" i="13" s="1"/>
  <c r="AB576" i="13" s="1"/>
  <c r="Z584" i="13"/>
  <c r="AA584" i="13" s="1"/>
  <c r="AB584" i="13" s="1"/>
  <c r="Z521" i="13"/>
  <c r="AA521" i="13" s="1"/>
  <c r="AB521" i="13" s="1"/>
  <c r="Z541" i="13"/>
  <c r="AA541" i="13" s="1"/>
  <c r="AB541" i="13" s="1"/>
  <c r="Z554" i="13"/>
  <c r="AA554" i="13" s="1"/>
  <c r="AB554" i="13" s="1"/>
  <c r="Z547" i="13"/>
  <c r="AA547" i="13" s="1"/>
  <c r="AB547" i="13" s="1"/>
  <c r="Z538" i="13"/>
  <c r="AA538" i="13" s="1"/>
  <c r="AB538" i="13" s="1"/>
  <c r="Z551" i="13"/>
  <c r="AA551" i="13" s="1"/>
  <c r="AB551" i="13" s="1"/>
  <c r="Z569" i="13"/>
  <c r="AA569" i="13" s="1"/>
  <c r="AB569" i="13" s="1"/>
  <c r="Z570" i="13"/>
  <c r="AA570" i="13" s="1"/>
  <c r="AB570" i="13" s="1"/>
  <c r="Z560" i="13"/>
  <c r="AA560" i="13" s="1"/>
  <c r="AB560" i="13" s="1"/>
  <c r="Z523" i="13"/>
  <c r="AA523" i="13" s="1"/>
  <c r="AB523" i="13" s="1"/>
  <c r="Z561" i="13"/>
  <c r="AA561" i="13" s="1"/>
  <c r="AB561" i="13" s="1"/>
  <c r="Z601" i="13"/>
  <c r="AA601" i="13" s="1"/>
  <c r="AB601" i="13" s="1"/>
  <c r="Z588" i="13"/>
  <c r="AA588" i="13" s="1"/>
  <c r="AB588" i="13" s="1"/>
  <c r="Z563" i="13"/>
  <c r="AA563" i="13" s="1"/>
  <c r="AB563" i="13" s="1"/>
  <c r="Z531" i="13"/>
  <c r="AA531" i="13" s="1"/>
  <c r="AB531" i="13" s="1"/>
  <c r="Z544" i="13"/>
  <c r="AA544" i="13" s="1"/>
  <c r="AB544" i="13" s="1"/>
  <c r="Z524" i="13"/>
  <c r="AA524" i="13" s="1"/>
  <c r="AB524" i="13" s="1"/>
  <c r="Z567" i="13"/>
  <c r="AA567" i="13" s="1"/>
  <c r="AB567" i="13" s="1"/>
  <c r="Z527" i="13"/>
  <c r="AA527" i="13" s="1"/>
  <c r="AB527" i="13" s="1"/>
  <c r="Z536" i="13"/>
  <c r="AA536" i="13" s="1"/>
  <c r="AB536" i="13" s="1"/>
  <c r="Z543" i="13"/>
  <c r="AA543" i="13" s="1"/>
  <c r="AB543" i="13" s="1"/>
  <c r="Z587" i="13"/>
  <c r="AA587" i="13" s="1"/>
  <c r="AB587" i="13" s="1"/>
  <c r="Z519" i="13"/>
  <c r="AA519" i="13" s="1"/>
  <c r="AB519" i="13" s="1"/>
  <c r="Z528" i="13"/>
  <c r="AA528" i="13" s="1"/>
  <c r="AB528" i="13" s="1"/>
  <c r="Z517" i="13"/>
  <c r="AA517" i="13" s="1"/>
  <c r="AB517" i="13" s="1"/>
  <c r="Z581" i="13"/>
  <c r="AA581" i="13" s="1"/>
  <c r="AB581" i="13" s="1"/>
  <c r="Z586" i="13"/>
  <c r="AA586" i="13" s="1"/>
  <c r="AB586" i="13" s="1"/>
  <c r="Z552" i="13"/>
  <c r="AA552" i="13" s="1"/>
  <c r="AB552" i="13" s="1"/>
  <c r="Z550" i="13"/>
  <c r="AA550" i="13" s="1"/>
  <c r="AB550" i="13" s="1"/>
  <c r="Z534" i="13"/>
  <c r="AA534" i="13" s="1"/>
  <c r="AB534" i="13" s="1"/>
  <c r="Z562" i="13"/>
  <c r="AA562" i="13" s="1"/>
  <c r="AB562" i="13" s="1"/>
  <c r="Z520" i="13"/>
  <c r="AA520" i="13" s="1"/>
  <c r="AB520" i="13" s="1"/>
  <c r="Z525" i="13"/>
  <c r="AA525" i="13" s="1"/>
  <c r="AB525" i="13" s="1"/>
  <c r="Z555" i="13"/>
  <c r="AA555" i="13" s="1"/>
  <c r="AB555" i="13" s="1"/>
  <c r="Z577" i="13"/>
  <c r="AA577" i="13" s="1"/>
  <c r="AB577" i="13" s="1"/>
  <c r="Z568" i="13"/>
  <c r="AA568" i="13" s="1"/>
  <c r="AB568" i="13" s="1"/>
  <c r="Z591" i="13"/>
  <c r="AA591" i="13" s="1"/>
  <c r="AB591" i="13" s="1"/>
  <c r="Z522" i="13"/>
  <c r="AA522" i="13" s="1"/>
  <c r="AB522" i="13" s="1"/>
  <c r="Z535" i="13"/>
  <c r="AA535" i="13" s="1"/>
  <c r="AB535" i="13" s="1"/>
  <c r="Z593" i="13"/>
  <c r="AA593" i="13" s="1"/>
  <c r="AB593" i="13" s="1"/>
  <c r="BC16" i="12" a="1"/>
  <c r="BC16" i="12" s="1"/>
  <c r="I534" i="12"/>
  <c r="BD16" i="12" a="1"/>
  <c r="BD16" i="12" s="1"/>
  <c r="BD17" i="12" s="1" a="1"/>
  <c r="BD17" i="12" s="1"/>
  <c r="BD18" i="12" s="1" a="1"/>
  <c r="BD18" i="12" s="1"/>
  <c r="BD19" i="12" s="1" a="1"/>
  <c r="BD19" i="12" s="1"/>
  <c r="BD20" i="12" s="1" a="1"/>
  <c r="BD20" i="12" s="1"/>
  <c r="BD21" i="12" s="1" a="1"/>
  <c r="BD21" i="12" s="1"/>
  <c r="BD22" i="12" s="1" a="1"/>
  <c r="BD22" i="12" s="1"/>
  <c r="BD23" i="12" s="1" a="1"/>
  <c r="BD23" i="12" s="1"/>
  <c r="BD24" i="12" s="1" a="1"/>
  <c r="BD24" i="12" s="1"/>
  <c r="BD25" i="12" s="1" a="1"/>
  <c r="BD25" i="12" s="1"/>
  <c r="BD26" i="12" s="1" a="1"/>
  <c r="BD26" i="12" s="1"/>
  <c r="BA14" i="12" a="1"/>
  <c r="BA14" i="12" s="1"/>
  <c r="A331" i="12"/>
  <c r="O331" i="12" s="1"/>
  <c r="I557" i="12"/>
  <c r="H557" i="12"/>
  <c r="W562" i="13" l="1"/>
  <c r="W601" i="13"/>
  <c r="W588" i="13"/>
  <c r="W577" i="13"/>
  <c r="W582" i="13"/>
  <c r="W544" i="13"/>
  <c r="W576" i="13"/>
  <c r="W554" i="13"/>
  <c r="W558" i="13"/>
  <c r="W553" i="13"/>
  <c r="W563" i="13"/>
  <c r="W573" i="13"/>
  <c r="W535" i="13"/>
  <c r="W556" i="13"/>
  <c r="W549" i="13"/>
  <c r="W591" i="13"/>
  <c r="W584" i="13"/>
  <c r="W552" i="13"/>
  <c r="W555" i="13"/>
  <c r="W594" i="13"/>
  <c r="W596" i="13"/>
  <c r="W567" i="13"/>
  <c r="W541" i="13"/>
  <c r="W599" i="13"/>
  <c r="W561" i="13"/>
  <c r="W581" i="13"/>
  <c r="W595" i="13"/>
  <c r="W598" i="13"/>
  <c r="W539" i="13"/>
  <c r="W575" i="13"/>
  <c r="W600" i="13"/>
  <c r="W548" i="13"/>
  <c r="W574" i="13"/>
  <c r="W580" i="13"/>
  <c r="W587" i="13"/>
  <c r="W565" i="13"/>
  <c r="W590" i="13"/>
  <c r="W533" i="13"/>
  <c r="W534" i="13"/>
  <c r="W550" i="13"/>
  <c r="W564" i="13"/>
  <c r="W586" i="13"/>
  <c r="W583" i="13"/>
  <c r="W592" i="13"/>
  <c r="W545" i="13"/>
  <c r="W571" i="13"/>
  <c r="W540" i="13"/>
  <c r="W557" i="13"/>
  <c r="W593" i="13"/>
  <c r="W546" i="13"/>
  <c r="W566" i="13"/>
  <c r="W569" i="13"/>
  <c r="W537" i="13"/>
  <c r="W585" i="13"/>
  <c r="W551" i="13"/>
  <c r="W579" i="13"/>
  <c r="W542" i="13"/>
  <c r="W543" i="13"/>
  <c r="W538" i="13"/>
  <c r="W559" i="13"/>
  <c r="W572" i="13"/>
  <c r="W560" i="13"/>
  <c r="W570" i="13"/>
  <c r="W568" i="13"/>
  <c r="W536" i="13"/>
  <c r="W547" i="13"/>
  <c r="W589" i="13"/>
  <c r="W578" i="13"/>
  <c r="W597" i="13"/>
  <c r="AO331" i="12"/>
  <c r="BA15" i="12" a="1"/>
  <c r="BA15" i="12" s="1"/>
  <c r="BA16" i="12" s="1" a="1"/>
  <c r="BA16" i="12" s="1"/>
  <c r="BA17" i="12" s="1" a="1"/>
  <c r="BA17" i="12" s="1"/>
  <c r="BA18" i="12" s="1" a="1"/>
  <c r="BA18" i="12" s="1"/>
  <c r="BA19" i="12" s="1" a="1"/>
  <c r="BA19" i="12" s="1"/>
  <c r="BA20" i="12" s="1" a="1"/>
  <c r="BA20" i="12" s="1"/>
  <c r="BA21" i="12" s="1" a="1"/>
  <c r="BA21" i="12" s="1"/>
  <c r="BA22" i="12" s="1" a="1"/>
  <c r="BA22" i="12" s="1"/>
  <c r="BA23" i="12" s="1" a="1"/>
  <c r="BA23" i="12" s="1"/>
  <c r="BA24" i="12" s="1" a="1"/>
  <c r="BA24" i="12" s="1"/>
  <c r="BA25" i="12" s="1" a="1"/>
  <c r="BA25" i="12" s="1"/>
  <c r="BA26" i="12" s="1" a="1"/>
  <c r="BA26" i="12" s="1"/>
  <c r="BA27" i="12" s="1" a="1"/>
  <c r="BA27" i="12" s="1"/>
  <c r="BA28" i="12" s="1" a="1"/>
  <c r="BA28" i="12" s="1"/>
  <c r="BA29" i="12" s="1" a="1"/>
  <c r="BA29" i="12" s="1"/>
  <c r="BA30" i="12" s="1" a="1"/>
  <c r="BA30" i="12" s="1"/>
  <c r="BA31" i="12" s="1" a="1"/>
  <c r="BA31" i="12" s="1"/>
  <c r="BA32" i="12" s="1" a="1"/>
  <c r="BA32" i="12" s="1"/>
  <c r="BD27" i="12" a="1"/>
  <c r="BD27" i="12" s="1"/>
  <c r="BD28" i="12" s="1" a="1"/>
  <c r="BD28" i="12" s="1"/>
  <c r="BD29" i="12" s="1" a="1"/>
  <c r="BD29" i="12" s="1"/>
  <c r="BD30" i="12" s="1" a="1"/>
  <c r="BD30" i="12" s="1"/>
  <c r="BD31" i="12" s="1" a="1"/>
  <c r="BD31" i="12" s="1"/>
  <c r="BD32" i="12" s="1" a="1"/>
  <c r="BD32" i="12" s="1"/>
  <c r="BD33" i="12" s="1" a="1"/>
  <c r="BD33" i="12" s="1"/>
  <c r="BD34" i="12" s="1" a="1"/>
  <c r="BD34" i="12" s="1"/>
  <c r="BD35" i="12" s="1" a="1"/>
  <c r="BD35" i="12" s="1"/>
  <c r="A327" i="12"/>
  <c r="O327" i="12" s="1"/>
  <c r="A323" i="12"/>
  <c r="O323" i="12" s="1"/>
  <c r="A530" i="12"/>
  <c r="O530" i="12" s="1"/>
  <c r="A529" i="12"/>
  <c r="O529" i="12" s="1"/>
  <c r="A531" i="12"/>
  <c r="O531" i="12" s="1"/>
  <c r="A532" i="12"/>
  <c r="O532" i="12" s="1"/>
  <c r="BB2" i="12"/>
  <c r="BB3" i="12"/>
  <c r="BB1" i="12"/>
  <c r="AO538" i="12" l="1"/>
  <c r="AO529" i="12"/>
  <c r="AO537" i="12"/>
  <c r="AO530" i="12"/>
  <c r="AO532" i="12"/>
  <c r="AO536" i="12"/>
  <c r="AO534" i="12"/>
  <c r="AO531" i="12"/>
  <c r="AO535" i="12"/>
  <c r="AO323" i="12"/>
  <c r="AO327" i="12"/>
  <c r="BC4" i="12"/>
  <c r="AT244" i="12"/>
  <c r="AT246" i="12"/>
  <c r="AT248" i="12"/>
  <c r="AT250" i="12"/>
  <c r="AT205" i="12"/>
  <c r="AV205" i="12" s="1"/>
  <c r="AT206" i="12"/>
  <c r="AV206" i="12" s="1"/>
  <c r="AT208" i="12"/>
  <c r="AV208" i="12" s="1"/>
  <c r="AT209" i="12"/>
  <c r="AV209" i="12" s="1"/>
  <c r="AT210" i="12"/>
  <c r="AV210" i="12" s="1"/>
  <c r="AT211" i="12"/>
  <c r="AV211" i="12" s="1"/>
  <c r="AT212" i="12"/>
  <c r="AV212" i="12" s="1"/>
  <c r="AT213" i="12"/>
  <c r="AV213" i="12" s="1"/>
  <c r="AT214" i="12"/>
  <c r="AV214" i="12" s="1"/>
  <c r="AT215" i="12"/>
  <c r="AV215" i="12" s="1"/>
  <c r="AT216" i="12"/>
  <c r="AV216" i="12" s="1"/>
  <c r="AT217" i="12"/>
  <c r="AV217" i="12" s="1"/>
  <c r="AT218" i="12"/>
  <c r="AV218" i="12" s="1"/>
  <c r="AT219" i="12"/>
  <c r="AV219" i="12" s="1"/>
  <c r="AT220" i="12"/>
  <c r="AV220" i="12" s="1"/>
  <c r="AT221" i="12"/>
  <c r="AV221" i="12" s="1"/>
  <c r="AT222" i="12"/>
  <c r="AV222" i="12" s="1"/>
  <c r="AT223" i="12"/>
  <c r="AV223" i="12" s="1"/>
  <c r="AT224" i="12"/>
  <c r="AV224" i="12" s="1"/>
  <c r="AT225" i="12"/>
  <c r="AV225" i="12" s="1"/>
  <c r="AT226" i="12"/>
  <c r="AV226" i="12" s="1"/>
  <c r="AT227" i="12"/>
  <c r="AV227" i="12" s="1"/>
  <c r="AT228" i="12"/>
  <c r="AV228" i="12" s="1"/>
  <c r="AT229" i="12"/>
  <c r="AV229" i="12" s="1"/>
  <c r="AT230" i="12"/>
  <c r="AV230" i="12" s="1"/>
  <c r="AT231" i="12"/>
  <c r="AV231" i="12" s="1"/>
  <c r="AT232" i="12"/>
  <c r="AV232" i="12" s="1"/>
  <c r="AT233" i="12"/>
  <c r="AV233" i="12" s="1"/>
  <c r="AT234" i="12"/>
  <c r="AV234" i="12" s="1"/>
  <c r="AT235" i="12"/>
  <c r="AV235" i="12" s="1"/>
  <c r="AT236" i="12"/>
  <c r="AV236" i="12" s="1"/>
  <c r="AT237" i="12"/>
  <c r="AV237" i="12" s="1"/>
  <c r="AT238" i="12"/>
  <c r="AV238" i="12" s="1"/>
  <c r="AT239" i="12"/>
  <c r="AV239" i="12" s="1"/>
  <c r="AT240" i="12"/>
  <c r="AV240" i="12" s="1"/>
  <c r="AT47" i="12"/>
  <c r="AT48" i="12"/>
  <c r="AT49" i="12"/>
  <c r="AT50" i="12"/>
  <c r="AT51" i="12"/>
  <c r="AT52" i="12"/>
  <c r="AT53" i="12"/>
  <c r="AT54" i="12"/>
  <c r="AV54" i="12" s="1"/>
  <c r="AT55" i="12"/>
  <c r="AT56" i="12"/>
  <c r="AV56" i="12" s="1"/>
  <c r="AT57" i="12"/>
  <c r="AT58" i="12"/>
  <c r="AT59" i="12"/>
  <c r="AT60"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6" i="12"/>
  <c r="AT117" i="12"/>
  <c r="AT118" i="12"/>
  <c r="AT119" i="12"/>
  <c r="AT120" i="12"/>
  <c r="AT121" i="12"/>
  <c r="AT134" i="12"/>
  <c r="AT135" i="12"/>
  <c r="AT136" i="12"/>
  <c r="AT139" i="12"/>
  <c r="AT141" i="12"/>
  <c r="AT142" i="12"/>
  <c r="AT143" i="12"/>
  <c r="AT144" i="12"/>
  <c r="AT145" i="12"/>
  <c r="AT146" i="12"/>
  <c r="AT147" i="12"/>
  <c r="AT148" i="12"/>
  <c r="AT151" i="12"/>
  <c r="AT153" i="12"/>
  <c r="AT154" i="12"/>
  <c r="AT155" i="12"/>
  <c r="AT156" i="12"/>
  <c r="AT157" i="12"/>
  <c r="AT158" i="12"/>
  <c r="AT159" i="12"/>
  <c r="AT160" i="12"/>
  <c r="AT161" i="12"/>
  <c r="AT122" i="12"/>
  <c r="AT123" i="12"/>
  <c r="AT124" i="12"/>
  <c r="AT125" i="12"/>
  <c r="AT126" i="12"/>
  <c r="AT127" i="12"/>
  <c r="AT128" i="12"/>
  <c r="AT129" i="12"/>
  <c r="AT132" i="12"/>
  <c r="AT133" i="12"/>
  <c r="AT162" i="12"/>
  <c r="AT163" i="12"/>
  <c r="AT164" i="12"/>
  <c r="AT165" i="12"/>
  <c r="AT166" i="12"/>
  <c r="AT167" i="12"/>
  <c r="AT168" i="12"/>
  <c r="AT169" i="12"/>
  <c r="AT170" i="12"/>
  <c r="AT171" i="12"/>
  <c r="AT172" i="12"/>
  <c r="AT173" i="12"/>
  <c r="AT174" i="12"/>
  <c r="AT175" i="12"/>
  <c r="AT176" i="12"/>
  <c r="AT177" i="12"/>
  <c r="AT178" i="12"/>
  <c r="AT179" i="12"/>
  <c r="AT180" i="12"/>
  <c r="AT181" i="12"/>
  <c r="AT182" i="12"/>
  <c r="AT183" i="12"/>
  <c r="AT184" i="12"/>
  <c r="AT185" i="12"/>
  <c r="AT186" i="12"/>
  <c r="AT187" i="12"/>
  <c r="AT188" i="12"/>
  <c r="AT189" i="12"/>
  <c r="AT190" i="12"/>
  <c r="AT191" i="12"/>
  <c r="AT192" i="12"/>
  <c r="AT193" i="12"/>
  <c r="AT194" i="12"/>
  <c r="AT195" i="12"/>
  <c r="AT196" i="12"/>
  <c r="AT197" i="12"/>
  <c r="AT198" i="12"/>
  <c r="AT199" i="12"/>
  <c r="AT200" i="12"/>
  <c r="AT201" i="12"/>
  <c r="AT202" i="12"/>
  <c r="AT46" i="12"/>
  <c r="AT7" i="12"/>
  <c r="AT8" i="12"/>
  <c r="AT9" i="12"/>
  <c r="AT10" i="12"/>
  <c r="AT11" i="12"/>
  <c r="AT12" i="12"/>
  <c r="AT13" i="12"/>
  <c r="AT14" i="12"/>
  <c r="AT15" i="12"/>
  <c r="AT16" i="12"/>
  <c r="AT17" i="12"/>
  <c r="AT18" i="12"/>
  <c r="AT19" i="12"/>
  <c r="AT20" i="12"/>
  <c r="AT21" i="12"/>
  <c r="AV21" i="12" s="1"/>
  <c r="AT22" i="12"/>
  <c r="AV22" i="12" s="1"/>
  <c r="AT23" i="12"/>
  <c r="AV23" i="12" s="1"/>
  <c r="AT24" i="12"/>
  <c r="AV24" i="12" s="1"/>
  <c r="AT25" i="12"/>
  <c r="AT26" i="12"/>
  <c r="AT27" i="12"/>
  <c r="AT28" i="12"/>
  <c r="AT29" i="12"/>
  <c r="AT30" i="12"/>
  <c r="AT31" i="12"/>
  <c r="AT32" i="12"/>
  <c r="AT33" i="12"/>
  <c r="AT34" i="12"/>
  <c r="AT35" i="12"/>
  <c r="AT36" i="12"/>
  <c r="AT37" i="12"/>
  <c r="AT38" i="12"/>
  <c r="AT39" i="12"/>
  <c r="AT40" i="12"/>
  <c r="AT41" i="12"/>
  <c r="AT42" i="12"/>
  <c r="AT43" i="12"/>
  <c r="AT44" i="12"/>
  <c r="AT45" i="12"/>
  <c r="AT6" i="12"/>
  <c r="F56" i="12"/>
  <c r="G56" i="12" s="1"/>
  <c r="H56" i="12"/>
  <c r="J56" i="12"/>
  <c r="F54" i="12"/>
  <c r="G54" i="12" s="1"/>
  <c r="H54" i="12"/>
  <c r="J54" i="12"/>
  <c r="AU3" i="12"/>
  <c r="AV203" i="12"/>
  <c r="AV204" i="12"/>
  <c r="AV241" i="12"/>
  <c r="AV265" i="12"/>
  <c r="AV266" i="12"/>
  <c r="AV267" i="12"/>
  <c r="AV268" i="12"/>
  <c r="AV269" i="12"/>
  <c r="AV270" i="12"/>
  <c r="AV271" i="12"/>
  <c r="AV272" i="12"/>
  <c r="AV273" i="12"/>
  <c r="AV274" i="12"/>
  <c r="AV275" i="12"/>
  <c r="AV276" i="12"/>
  <c r="AV277" i="12"/>
  <c r="AV278" i="12"/>
  <c r="AV279" i="12"/>
  <c r="AV280" i="12"/>
  <c r="AV281" i="12"/>
  <c r="AV282" i="12"/>
  <c r="AV283" i="12"/>
  <c r="AV284" i="12"/>
  <c r="AV285" i="12"/>
  <c r="AV286" i="12"/>
  <c r="AV287" i="12"/>
  <c r="AV288" i="12"/>
  <c r="AV289" i="12"/>
  <c r="AV290" i="12"/>
  <c r="AV291" i="12"/>
  <c r="AV292" i="12"/>
  <c r="AV293" i="12"/>
  <c r="AV294" i="12"/>
  <c r="AV295" i="12"/>
  <c r="AV296" i="12"/>
  <c r="AV297" i="12"/>
  <c r="AV298" i="12"/>
  <c r="AV299" i="12"/>
  <c r="AV300" i="12"/>
  <c r="AV302" i="12"/>
  <c r="AV303" i="12"/>
  <c r="AV304" i="12"/>
  <c r="AV305" i="12"/>
  <c r="AV306" i="12"/>
  <c r="AV307" i="12"/>
  <c r="AV308" i="12"/>
  <c r="AV309" i="12"/>
  <c r="AV310" i="12"/>
  <c r="AV311" i="12"/>
  <c r="AV312" i="12"/>
  <c r="AV313" i="12"/>
  <c r="AV314" i="12"/>
  <c r="AV315" i="12"/>
  <c r="AV316" i="12"/>
  <c r="AV318" i="12"/>
  <c r="AV319" i="12"/>
  <c r="AV320" i="12"/>
  <c r="AV321" i="12"/>
  <c r="AV322" i="12"/>
  <c r="AV323" i="12"/>
  <c r="AV324" i="12"/>
  <c r="AV327" i="12"/>
  <c r="AV331" i="12"/>
  <c r="AV332" i="12"/>
  <c r="AV333" i="12"/>
  <c r="AV334" i="12"/>
  <c r="AV335" i="12"/>
  <c r="AV336" i="12"/>
  <c r="AV337" i="12"/>
  <c r="AV338" i="12"/>
  <c r="AV339" i="12"/>
  <c r="AV340" i="12"/>
  <c r="AV341" i="12"/>
  <c r="AV342" i="12"/>
  <c r="AV343" i="12"/>
  <c r="AV344" i="12"/>
  <c r="AV345" i="12"/>
  <c r="AV346" i="12"/>
  <c r="AV347" i="12"/>
  <c r="AV348" i="12"/>
  <c r="AV349" i="12"/>
  <c r="AV350" i="12"/>
  <c r="AV351" i="12"/>
  <c r="AV352" i="12"/>
  <c r="AV353" i="12"/>
  <c r="AV354" i="12"/>
  <c r="AV355" i="12"/>
  <c r="AV356" i="12"/>
  <c r="AV357" i="12"/>
  <c r="AV358" i="12"/>
  <c r="AV359" i="12"/>
  <c r="AV360" i="12"/>
  <c r="AV361" i="12"/>
  <c r="AV362" i="12"/>
  <c r="AV363" i="12"/>
  <c r="AV364" i="12"/>
  <c r="AV365" i="12"/>
  <c r="AV366" i="12"/>
  <c r="AV367" i="12"/>
  <c r="AV368" i="12"/>
  <c r="AV369" i="12"/>
  <c r="AV370" i="12"/>
  <c r="AV371" i="12"/>
  <c r="AV372" i="12"/>
  <c r="AV373" i="12"/>
  <c r="AV374" i="12"/>
  <c r="AV375" i="12"/>
  <c r="AV376" i="12"/>
  <c r="AV377" i="12"/>
  <c r="AV378" i="12"/>
  <c r="AV379" i="12"/>
  <c r="AV380" i="12"/>
  <c r="AV381" i="12"/>
  <c r="AV382" i="12"/>
  <c r="AV383" i="12"/>
  <c r="AV384" i="12"/>
  <c r="AV385" i="12"/>
  <c r="AV386" i="12"/>
  <c r="AV387" i="12"/>
  <c r="AV389" i="12"/>
  <c r="AV392" i="12"/>
  <c r="AV393" i="12"/>
  <c r="AV394" i="12"/>
  <c r="AV395" i="12"/>
  <c r="AV396" i="12"/>
  <c r="AV397" i="12"/>
  <c r="AV398" i="12"/>
  <c r="AV399" i="12"/>
  <c r="AV400" i="12"/>
  <c r="AV401" i="12"/>
  <c r="AV402" i="12"/>
  <c r="AV403" i="12"/>
  <c r="AV404" i="12"/>
  <c r="AV405" i="12"/>
  <c r="AV406" i="12"/>
  <c r="AV407" i="12"/>
  <c r="AV408" i="12"/>
  <c r="AV409" i="12"/>
  <c r="AV410" i="12"/>
  <c r="AV411" i="12"/>
  <c r="AV412" i="12"/>
  <c r="AV413" i="12"/>
  <c r="AV414" i="12"/>
  <c r="AV417" i="12"/>
  <c r="AV421" i="12"/>
  <c r="AV422" i="12"/>
  <c r="AV423" i="12"/>
  <c r="AV424" i="12"/>
  <c r="AV425" i="12"/>
  <c r="AV426" i="12"/>
  <c r="AV427" i="12"/>
  <c r="AV428" i="12"/>
  <c r="AV429" i="12"/>
  <c r="AV430" i="12"/>
  <c r="AV431" i="12"/>
  <c r="AV432" i="12"/>
  <c r="AV433" i="12"/>
  <c r="AV434" i="12"/>
  <c r="AV435" i="12"/>
  <c r="AV436" i="12"/>
  <c r="AV437" i="12"/>
  <c r="AV438" i="12"/>
  <c r="AV441" i="12"/>
  <c r="AV442" i="12"/>
  <c r="AV443" i="12"/>
  <c r="AV444" i="12"/>
  <c r="AV445" i="12"/>
  <c r="AV446" i="12"/>
  <c r="AV447" i="12"/>
  <c r="AV449" i="12"/>
  <c r="AV450" i="12"/>
  <c r="AV451" i="12"/>
  <c r="AV452" i="12"/>
  <c r="AV453" i="12"/>
  <c r="AV454" i="12"/>
  <c r="AV455" i="12"/>
  <c r="AV456" i="12"/>
  <c r="AV457" i="12"/>
  <c r="AV458" i="12"/>
  <c r="AV459" i="12"/>
  <c r="AV460" i="12"/>
  <c r="AV461" i="12"/>
  <c r="AV462" i="12"/>
  <c r="AV463" i="12"/>
  <c r="AV464" i="12"/>
  <c r="AV465" i="12"/>
  <c r="AV466" i="12"/>
  <c r="AV467" i="12"/>
  <c r="AV468" i="12"/>
  <c r="AV469" i="12"/>
  <c r="AV470" i="12"/>
  <c r="AV471" i="12"/>
  <c r="AV473" i="12"/>
  <c r="AV476" i="12"/>
  <c r="AV477" i="12"/>
  <c r="AV478" i="12"/>
  <c r="AV479" i="12"/>
  <c r="AV480" i="12"/>
  <c r="AV481" i="12"/>
  <c r="AV482" i="12"/>
  <c r="AV483" i="12"/>
  <c r="AV486" i="12"/>
  <c r="AV487" i="12"/>
  <c r="AV488" i="12"/>
  <c r="AV492" i="12"/>
  <c r="AV493" i="12"/>
  <c r="AV494" i="12"/>
  <c r="AV495" i="12"/>
  <c r="AV496" i="12"/>
  <c r="AV497" i="12"/>
  <c r="AV498" i="12"/>
  <c r="AV499" i="12"/>
  <c r="AV500" i="12"/>
  <c r="AV501" i="12"/>
  <c r="AV502" i="12"/>
  <c r="AV503" i="12"/>
  <c r="AV504" i="12"/>
  <c r="AV505" i="12"/>
  <c r="AV506" i="12"/>
  <c r="AV507" i="12"/>
  <c r="AV508" i="12"/>
  <c r="AV509" i="12"/>
  <c r="AV510" i="12"/>
  <c r="AV511" i="12"/>
  <c r="AV512" i="12"/>
  <c r="AV513" i="12"/>
  <c r="AV514" i="12"/>
  <c r="AV515" i="12"/>
  <c r="AV516" i="12"/>
  <c r="AV517" i="12"/>
  <c r="AV518" i="12"/>
  <c r="AV519" i="12"/>
  <c r="AV520" i="12"/>
  <c r="AV521" i="12"/>
  <c r="AV522" i="12"/>
  <c r="AV523" i="12"/>
  <c r="AV524" i="12"/>
  <c r="AV525" i="12"/>
  <c r="AV526" i="12"/>
  <c r="AV527" i="12"/>
  <c r="AV528" i="12"/>
  <c r="AV529" i="12"/>
  <c r="AV530" i="12"/>
  <c r="AV531" i="12"/>
  <c r="AV532" i="12"/>
  <c r="AV535" i="12"/>
  <c r="AV536" i="12"/>
  <c r="AV537" i="12"/>
  <c r="AV538" i="12"/>
  <c r="AV539" i="12"/>
  <c r="AV540" i="12"/>
  <c r="AV541" i="12"/>
  <c r="AV542" i="12"/>
  <c r="AV543" i="12"/>
  <c r="AV544" i="12"/>
  <c r="AV545" i="12"/>
  <c r="AV546" i="12"/>
  <c r="AV547" i="12"/>
  <c r="AV548" i="12"/>
  <c r="AV549" i="12"/>
  <c r="AV550" i="12"/>
  <c r="AV551" i="12"/>
  <c r="AV552" i="12"/>
  <c r="AV553" i="12"/>
  <c r="AV554" i="12"/>
  <c r="AV555" i="12"/>
  <c r="AV556" i="12"/>
  <c r="AV557" i="12"/>
  <c r="AV558" i="12"/>
  <c r="AV559" i="12"/>
  <c r="AV560" i="12"/>
  <c r="J55" i="12"/>
  <c r="J57" i="12"/>
  <c r="J58" i="12"/>
  <c r="J59" i="12"/>
  <c r="J60"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6" i="12"/>
  <c r="J117" i="12"/>
  <c r="J118" i="12"/>
  <c r="J119" i="12"/>
  <c r="J120" i="12"/>
  <c r="J121" i="12"/>
  <c r="J134" i="12"/>
  <c r="J135" i="12"/>
  <c r="J136" i="12"/>
  <c r="J139" i="12"/>
  <c r="J141" i="12"/>
  <c r="J142" i="12"/>
  <c r="J143" i="12"/>
  <c r="J144" i="12"/>
  <c r="J122" i="12"/>
  <c r="J123" i="12"/>
  <c r="J124" i="12"/>
  <c r="J125" i="12"/>
  <c r="J126" i="12"/>
  <c r="J127" i="12"/>
  <c r="J128" i="12"/>
  <c r="J129" i="12"/>
  <c r="J132" i="12"/>
  <c r="J133" i="12"/>
  <c r="I56" i="12" l="1"/>
  <c r="L56" i="12"/>
  <c r="I54" i="12"/>
  <c r="L54" i="12"/>
  <c r="BD4" i="12"/>
  <c r="BD3" i="12"/>
  <c r="BA4" i="12" s="1"/>
  <c r="AV250" i="12"/>
  <c r="AS250" i="12"/>
  <c r="AV248" i="12"/>
  <c r="AS248" i="12"/>
  <c r="AV246" i="12"/>
  <c r="AS246" i="12"/>
  <c r="AV244" i="12"/>
  <c r="AS244" i="12"/>
  <c r="AV20" i="12"/>
  <c r="AV19" i="12"/>
  <c r="AV18" i="12"/>
  <c r="AV17" i="12"/>
  <c r="AV16" i="12"/>
  <c r="AV15" i="12"/>
  <c r="AV14" i="12"/>
  <c r="AV13" i="12"/>
  <c r="AV12" i="12"/>
  <c r="AV11" i="12"/>
  <c r="AV10" i="12"/>
  <c r="AV9" i="12"/>
  <c r="AV8" i="12"/>
  <c r="AV7" i="12"/>
  <c r="AV6" i="12"/>
  <c r="AV25" i="12"/>
  <c r="AV26" i="12"/>
  <c r="AV27" i="12"/>
  <c r="AV28" i="12"/>
  <c r="AV29" i="12"/>
  <c r="AV30" i="12"/>
  <c r="AV31" i="12"/>
  <c r="AV32" i="12"/>
  <c r="AV33" i="12"/>
  <c r="AV34" i="12"/>
  <c r="AV35" i="12"/>
  <c r="AV36" i="12"/>
  <c r="AV47" i="12"/>
  <c r="AV48" i="12"/>
  <c r="AV37" i="12"/>
  <c r="AV38" i="12"/>
  <c r="AV39" i="12"/>
  <c r="AV40" i="12"/>
  <c r="AV41" i="12"/>
  <c r="AV42" i="12"/>
  <c r="AV43" i="12"/>
  <c r="AV44" i="12"/>
  <c r="AV49" i="12"/>
  <c r="AV50" i="12"/>
  <c r="AV55" i="12"/>
  <c r="AV51" i="12"/>
  <c r="AV52" i="12"/>
  <c r="AV53" i="12"/>
  <c r="AV45" i="12"/>
  <c r="AV57" i="12"/>
  <c r="AV58" i="12"/>
  <c r="AV59" i="12"/>
  <c r="AV60" i="12"/>
  <c r="AV62" i="12"/>
  <c r="AV63" i="12"/>
  <c r="AV64" i="12"/>
  <c r="AV65" i="12"/>
  <c r="AV66"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7" i="12"/>
  <c r="AV98" i="12"/>
  <c r="AV99" i="12"/>
  <c r="AV100" i="12"/>
  <c r="AV101" i="12"/>
  <c r="AV102" i="12"/>
  <c r="AV103" i="12"/>
  <c r="AV104" i="12"/>
  <c r="AV105" i="12"/>
  <c r="AV106" i="12"/>
  <c r="AV107" i="12"/>
  <c r="AV108" i="12"/>
  <c r="AV109" i="12"/>
  <c r="AV110" i="12"/>
  <c r="AV111" i="12"/>
  <c r="AV112" i="12"/>
  <c r="AV113" i="12"/>
  <c r="AV114" i="12"/>
  <c r="AV116" i="12"/>
  <c r="AV117" i="12"/>
  <c r="AV118" i="12"/>
  <c r="AV119" i="12"/>
  <c r="AV120" i="12"/>
  <c r="AV121" i="12"/>
  <c r="AV134" i="12"/>
  <c r="AV135" i="12"/>
  <c r="AV136" i="12"/>
  <c r="AV139" i="12"/>
  <c r="AV141" i="12"/>
  <c r="AV142" i="12"/>
  <c r="AV143" i="12"/>
  <c r="AV144" i="12"/>
  <c r="AV145" i="12"/>
  <c r="AV146" i="12"/>
  <c r="AV147" i="12"/>
  <c r="AV148" i="12"/>
  <c r="AV151" i="12"/>
  <c r="AV153" i="12"/>
  <c r="AV154" i="12"/>
  <c r="AV155" i="12"/>
  <c r="AV156" i="12"/>
  <c r="AV157" i="12"/>
  <c r="AV158" i="12"/>
  <c r="AV159" i="12"/>
  <c r="AV160" i="12"/>
  <c r="AV161" i="12"/>
  <c r="AV122" i="12"/>
  <c r="AV123" i="12"/>
  <c r="AV124" i="12"/>
  <c r="AV125" i="12"/>
  <c r="AV126" i="12"/>
  <c r="AV127" i="12"/>
  <c r="AV128" i="12"/>
  <c r="AV129" i="12"/>
  <c r="AV132" i="12"/>
  <c r="AV133" i="12"/>
  <c r="AV162" i="12"/>
  <c r="AV163" i="12"/>
  <c r="AV164" i="12"/>
  <c r="AV165" i="12"/>
  <c r="AV166" i="12"/>
  <c r="AV167" i="12"/>
  <c r="AV168" i="12"/>
  <c r="AV169" i="12"/>
  <c r="AV170" i="12"/>
  <c r="AV171" i="12"/>
  <c r="AV172" i="12"/>
  <c r="AV173" i="12"/>
  <c r="AV174" i="12"/>
  <c r="AV175" i="12"/>
  <c r="AV176" i="12"/>
  <c r="AV177" i="12"/>
  <c r="AV178" i="12"/>
  <c r="AV179" i="12"/>
  <c r="AV180" i="12"/>
  <c r="AV181" i="12"/>
  <c r="AV182" i="12"/>
  <c r="AV183" i="12"/>
  <c r="AV184" i="12"/>
  <c r="AV185" i="12"/>
  <c r="AV186" i="12"/>
  <c r="AV187" i="12"/>
  <c r="AV188" i="12"/>
  <c r="AV189" i="12"/>
  <c r="AV190" i="12"/>
  <c r="AV191" i="12"/>
  <c r="AV192" i="12"/>
  <c r="AV193" i="12"/>
  <c r="AV194" i="12"/>
  <c r="AV195" i="12"/>
  <c r="AV196" i="12"/>
  <c r="AV197" i="12"/>
  <c r="AV198" i="12"/>
  <c r="AV199" i="12"/>
  <c r="AV200" i="12"/>
  <c r="AV201" i="12"/>
  <c r="AV202" i="12"/>
  <c r="F248" i="12"/>
  <c r="G248" i="12" s="1"/>
  <c r="H248" i="12"/>
  <c r="F249" i="12"/>
  <c r="G249" i="12" s="1"/>
  <c r="H249" i="12"/>
  <c r="F250" i="12"/>
  <c r="G250" i="12" s="1"/>
  <c r="H250" i="12"/>
  <c r="F251" i="12"/>
  <c r="G251" i="12" s="1"/>
  <c r="H251" i="12"/>
  <c r="F245" i="12"/>
  <c r="G245" i="12" s="1"/>
  <c r="H245" i="12"/>
  <c r="F246" i="12"/>
  <c r="G246" i="12" s="1"/>
  <c r="H246" i="12"/>
  <c r="F218" i="12"/>
  <c r="G218" i="12" s="1"/>
  <c r="H218" i="12"/>
  <c r="F219" i="12"/>
  <c r="G219" i="12" s="1"/>
  <c r="H219" i="12"/>
  <c r="L219" i="12" s="1"/>
  <c r="H217" i="12"/>
  <c r="F217" i="12"/>
  <c r="G217" i="12" s="1"/>
  <c r="H215" i="12"/>
  <c r="F215" i="12"/>
  <c r="G215" i="12" s="1"/>
  <c r="F74" i="12"/>
  <c r="G74" i="12" s="1"/>
  <c r="F496" i="12"/>
  <c r="G496" i="12" s="1"/>
  <c r="H496" i="12"/>
  <c r="F497" i="12"/>
  <c r="G497" i="12" s="1"/>
  <c r="H497" i="12"/>
  <c r="F87" i="12"/>
  <c r="G87" i="12" s="1"/>
  <c r="H87" i="12"/>
  <c r="F88" i="12"/>
  <c r="G88" i="12" s="1"/>
  <c r="H88" i="12"/>
  <c r="F89" i="12"/>
  <c r="G89" i="12" s="1"/>
  <c r="H89" i="12"/>
  <c r="F90" i="12"/>
  <c r="G90" i="12" s="1"/>
  <c r="H90" i="12"/>
  <c r="F91" i="12"/>
  <c r="G91" i="12" s="1"/>
  <c r="H91" i="12"/>
  <c r="F92" i="12"/>
  <c r="G92" i="12" s="1"/>
  <c r="H92" i="12"/>
  <c r="F93" i="12"/>
  <c r="G93" i="12" s="1"/>
  <c r="H93" i="12"/>
  <c r="F94" i="12"/>
  <c r="G94" i="12" s="1"/>
  <c r="H94" i="12"/>
  <c r="L94" i="12" s="1"/>
  <c r="F95" i="12"/>
  <c r="G95" i="12" s="1"/>
  <c r="H95" i="12"/>
  <c r="F96" i="12"/>
  <c r="G96" i="12" s="1"/>
  <c r="H96" i="12"/>
  <c r="F97" i="12"/>
  <c r="G97" i="12" s="1"/>
  <c r="H97" i="12"/>
  <c r="F98" i="12"/>
  <c r="G98" i="12" s="1"/>
  <c r="H98" i="12"/>
  <c r="F99" i="12"/>
  <c r="G99" i="12" s="1"/>
  <c r="H99" i="12"/>
  <c r="F100" i="12"/>
  <c r="G100" i="12" s="1"/>
  <c r="H100" i="12"/>
  <c r="F78" i="12"/>
  <c r="G78" i="12" s="1"/>
  <c r="H78" i="12"/>
  <c r="F79" i="12"/>
  <c r="G79" i="12" s="1"/>
  <c r="H79" i="12"/>
  <c r="F80" i="12"/>
  <c r="G80" i="12" s="1"/>
  <c r="H80" i="12"/>
  <c r="F81" i="12"/>
  <c r="G81" i="12" s="1"/>
  <c r="H81" i="12"/>
  <c r="F82" i="12"/>
  <c r="G82" i="12" s="1"/>
  <c r="H82" i="12"/>
  <c r="F83" i="12"/>
  <c r="G83" i="12" s="1"/>
  <c r="H83" i="12"/>
  <c r="H86" i="12"/>
  <c r="F86" i="12"/>
  <c r="G86" i="12" s="1"/>
  <c r="H77" i="12"/>
  <c r="F77" i="12"/>
  <c r="G77" i="12" s="1"/>
  <c r="O69" i="20"/>
  <c r="O57" i="20"/>
  <c r="M41" i="20"/>
  <c r="M39" i="20"/>
  <c r="N25" i="20"/>
  <c r="M25" i="20"/>
  <c r="L25" i="20"/>
  <c r="L90" i="20" s="1"/>
  <c r="K25" i="20"/>
  <c r="J25" i="20"/>
  <c r="I25" i="20"/>
  <c r="H25" i="20"/>
  <c r="G25" i="20"/>
  <c r="F25" i="20"/>
  <c r="E25" i="20"/>
  <c r="D25" i="20"/>
  <c r="M23" i="20"/>
  <c r="M27" i="20" s="1"/>
  <c r="M35" i="20" s="1"/>
  <c r="O21" i="20"/>
  <c r="O20" i="20"/>
  <c r="O19" i="20"/>
  <c r="N11" i="20"/>
  <c r="N13" i="20" s="1"/>
  <c r="N15" i="20" s="1"/>
  <c r="O15" i="20" s="1"/>
  <c r="L11" i="20"/>
  <c r="L13" i="20" s="1"/>
  <c r="L15" i="20" s="1"/>
  <c r="K11" i="20"/>
  <c r="K13" i="20" s="1"/>
  <c r="K15" i="20" s="1"/>
  <c r="I11" i="20"/>
  <c r="I13" i="20" s="1"/>
  <c r="O9" i="20"/>
  <c r="B3" i="20"/>
  <c r="N2" i="20"/>
  <c r="M76" i="20" l="1" a="1"/>
  <c r="M76" i="20" s="1"/>
  <c r="M77" i="20" a="1"/>
  <c r="M77" i="20" s="1"/>
  <c r="M80" i="20" a="1"/>
  <c r="M80" i="20" s="1"/>
  <c r="O11" i="20"/>
  <c r="L250" i="12"/>
  <c r="L93" i="12"/>
  <c r="L92" i="12"/>
  <c r="L82" i="12"/>
  <c r="L97" i="12"/>
  <c r="L89" i="12"/>
  <c r="L249" i="12"/>
  <c r="L91" i="12"/>
  <c r="L96" i="12"/>
  <c r="L248" i="12"/>
  <c r="L98" i="12"/>
  <c r="L217" i="12"/>
  <c r="L80" i="12"/>
  <c r="L95" i="12"/>
  <c r="L87" i="12"/>
  <c r="L79" i="12"/>
  <c r="L100" i="12"/>
  <c r="L245" i="12"/>
  <c r="L83" i="12"/>
  <c r="L90" i="12"/>
  <c r="L78" i="12"/>
  <c r="L246" i="12"/>
  <c r="L218" i="12"/>
  <c r="L86" i="12"/>
  <c r="L77" i="12"/>
  <c r="L99" i="12"/>
  <c r="L215" i="12"/>
  <c r="L251" i="12"/>
  <c r="L81" i="12"/>
  <c r="L88" i="12"/>
  <c r="AT245" i="12"/>
  <c r="AV245" i="12" s="1"/>
  <c r="AT249" i="12"/>
  <c r="AV249" i="12" s="1"/>
  <c r="AT251" i="12"/>
  <c r="AT242" i="12"/>
  <c r="AT243" i="12"/>
  <c r="AT252" i="12"/>
  <c r="AT254" i="12"/>
  <c r="I98" i="12"/>
  <c r="I249" i="12"/>
  <c r="I80" i="12"/>
  <c r="I87" i="12"/>
  <c r="I217" i="12"/>
  <c r="I245" i="12"/>
  <c r="I92" i="12"/>
  <c r="I219" i="12"/>
  <c r="I215" i="12"/>
  <c r="I97" i="12"/>
  <c r="I248" i="12"/>
  <c r="I77" i="12"/>
  <c r="I79" i="12"/>
  <c r="I497" i="12"/>
  <c r="I251" i="12"/>
  <c r="I91" i="12"/>
  <c r="I218" i="12"/>
  <c r="I93" i="12"/>
  <c r="I96" i="12"/>
  <c r="I86" i="12"/>
  <c r="I78" i="12"/>
  <c r="I496" i="12"/>
  <c r="I250" i="12"/>
  <c r="I83" i="12"/>
  <c r="I90" i="12"/>
  <c r="I95" i="12"/>
  <c r="I88" i="12"/>
  <c r="I100" i="12"/>
  <c r="I82" i="12"/>
  <c r="I89" i="12"/>
  <c r="I246" i="12"/>
  <c r="I94" i="12"/>
  <c r="I81" i="12"/>
  <c r="I99" i="12"/>
  <c r="AX6" i="12"/>
  <c r="M89" i="20"/>
  <c r="M88" i="20"/>
  <c r="I41" i="20"/>
  <c r="I15" i="20"/>
  <c r="I17" i="20"/>
  <c r="M47" i="20"/>
  <c r="M48" i="20"/>
  <c r="K41" i="20"/>
  <c r="O13" i="20"/>
  <c r="L41" i="20"/>
  <c r="D90" i="20"/>
  <c r="O25" i="20"/>
  <c r="E90" i="20"/>
  <c r="M92" i="20"/>
  <c r="F90" i="20"/>
  <c r="K17" i="20"/>
  <c r="M31" i="20"/>
  <c r="G90" i="20"/>
  <c r="L17" i="20"/>
  <c r="H90" i="20"/>
  <c r="N17" i="20"/>
  <c r="I90" i="20"/>
  <c r="M91" i="20"/>
  <c r="J90" i="20"/>
  <c r="M29" i="20"/>
  <c r="M33" i="20" s="1"/>
  <c r="K90" i="20"/>
  <c r="M90" i="20"/>
  <c r="N90" i="20"/>
  <c r="O90" i="20" s="1"/>
  <c r="AS245" i="12" l="1"/>
  <c r="AS249" i="12"/>
  <c r="AV251" i="12"/>
  <c r="AS251" i="12"/>
  <c r="AV243" i="12"/>
  <c r="AS243" i="12"/>
  <c r="AS242" i="12"/>
  <c r="AV242" i="12"/>
  <c r="AV254" i="12"/>
  <c r="AS254" i="12"/>
  <c r="AS252" i="12"/>
  <c r="AV252" i="12"/>
  <c r="M103" i="20"/>
  <c r="M94" i="20"/>
  <c r="M34" i="20"/>
  <c r="M99" i="20"/>
  <c r="M78" i="20"/>
  <c r="M98" i="20"/>
  <c r="M75" i="20" a="1"/>
  <c r="M75" i="20" s="1"/>
  <c r="M84" i="20" a="1"/>
  <c r="M84" i="20" s="1"/>
  <c r="M100" i="20"/>
  <c r="M97" i="20"/>
  <c r="M96" i="20"/>
  <c r="M95" i="20"/>
  <c r="M102" i="20"/>
  <c r="M101" i="20"/>
  <c r="M79" i="20"/>
  <c r="I39" i="20"/>
  <c r="I27" i="20"/>
  <c r="K39" i="20"/>
  <c r="K27" i="20"/>
  <c r="N39" i="20"/>
  <c r="O39" i="20" s="1"/>
  <c r="O17" i="20"/>
  <c r="N23" i="20"/>
  <c r="N41" i="20"/>
  <c r="O41" i="20" s="1"/>
  <c r="M43" i="20"/>
  <c r="L39" i="20"/>
  <c r="L27" i="20"/>
  <c r="K77" i="20" l="1" a="1"/>
  <c r="K77" i="20" s="1"/>
  <c r="K76" i="20" a="1"/>
  <c r="K76" i="20" s="1"/>
  <c r="L76" i="20" a="1"/>
  <c r="L76" i="20" s="1"/>
  <c r="L77" i="20" a="1"/>
  <c r="L77" i="20" s="1"/>
  <c r="I76" i="20" a="1"/>
  <c r="I76" i="20" s="1"/>
  <c r="I77" i="20" a="1"/>
  <c r="I77" i="20" s="1"/>
  <c r="BB4" i="12"/>
  <c r="L80" i="20" a="1"/>
  <c r="L80" i="20" s="1"/>
  <c r="L35" i="20"/>
  <c r="K80" i="20" a="1"/>
  <c r="K80" i="20" s="1"/>
  <c r="K35" i="20"/>
  <c r="I80" i="20" a="1"/>
  <c r="I80" i="20" s="1"/>
  <c r="I35" i="20"/>
  <c r="M45" i="20"/>
  <c r="M85" i="20"/>
  <c r="I29" i="20"/>
  <c r="K29" i="20"/>
  <c r="L29" i="20"/>
  <c r="O23" i="20"/>
  <c r="N27" i="20"/>
  <c r="N77" i="20" l="1" a="1"/>
  <c r="N77" i="20" s="1"/>
  <c r="O77" i="20" s="1"/>
  <c r="N76" i="20" a="1"/>
  <c r="N76" i="20" s="1"/>
  <c r="AT262" i="12"/>
  <c r="AV262" i="12" s="1"/>
  <c r="AT264" i="12"/>
  <c r="AV264" i="12" s="1"/>
  <c r="AT258" i="12"/>
  <c r="AV258" i="12" s="1"/>
  <c r="AT260" i="12"/>
  <c r="AV260" i="12" s="1"/>
  <c r="AT257" i="12"/>
  <c r="AV257" i="12" s="1"/>
  <c r="AT261" i="12"/>
  <c r="AV261" i="12" s="1"/>
  <c r="AT259" i="12"/>
  <c r="AV259" i="12" s="1"/>
  <c r="AT263" i="12"/>
  <c r="AV263" i="12" s="1"/>
  <c r="BH4" i="12"/>
  <c r="BI4" i="12" s="1"/>
  <c r="BF3" i="12"/>
  <c r="BJ3" i="12" s="1"/>
  <c r="K101" i="20"/>
  <c r="K75" i="20" a="1"/>
  <c r="K75" i="20" s="1"/>
  <c r="K78" i="20" s="1"/>
  <c r="K98" i="20"/>
  <c r="K103" i="20"/>
  <c r="K79" i="20"/>
  <c r="K34" i="20"/>
  <c r="K99" i="20"/>
  <c r="K100" i="20"/>
  <c r="L98" i="20"/>
  <c r="L79" i="20"/>
  <c r="L103" i="20"/>
  <c r="L34" i="20"/>
  <c r="L75" i="20" a="1"/>
  <c r="L75" i="20" s="1"/>
  <c r="L78" i="20" s="1"/>
  <c r="L99" i="20"/>
  <c r="L101" i="20"/>
  <c r="L100" i="20"/>
  <c r="I79" i="20"/>
  <c r="I101" i="20"/>
  <c r="I75" i="20" a="1"/>
  <c r="I75" i="20" s="1"/>
  <c r="I78" i="20" s="1"/>
  <c r="I94" i="20" s="1"/>
  <c r="I95" i="20" s="1"/>
  <c r="I98" i="20"/>
  <c r="I103" i="20"/>
  <c r="I34" i="20"/>
  <c r="I99" i="20"/>
  <c r="I100" i="20"/>
  <c r="N80" i="20" a="1"/>
  <c r="N80" i="20" s="1"/>
  <c r="N35" i="20"/>
  <c r="O35" i="20" s="1"/>
  <c r="O76" i="20"/>
  <c r="O27" i="20"/>
  <c r="N29" i="20"/>
  <c r="I81" i="20" l="1" a="1"/>
  <c r="I81" i="20" s="1"/>
  <c r="I82" i="20" s="1" a="1"/>
  <c r="I82" i="20" s="1"/>
  <c r="O80" i="20"/>
  <c r="N81" i="20" a="1"/>
  <c r="N81" i="20" s="1"/>
  <c r="BI3" i="12"/>
  <c r="BJ4" i="12"/>
  <c r="AV3" i="12"/>
  <c r="AT3" i="12"/>
  <c r="N103" i="20"/>
  <c r="O103" i="20" s="1"/>
  <c r="N34" i="20"/>
  <c r="O34" i="20" s="1"/>
  <c r="N99" i="20"/>
  <c r="O99" i="20" s="1"/>
  <c r="N100" i="20"/>
  <c r="O100" i="20" s="1"/>
  <c r="N98" i="20"/>
  <c r="O98" i="20" s="1"/>
  <c r="N79" i="20"/>
  <c r="O79" i="20" s="1"/>
  <c r="N101" i="20"/>
  <c r="O101" i="20" s="1"/>
  <c r="N75" i="20" a="1"/>
  <c r="N75" i="20" s="1"/>
  <c r="N78" i="20" s="1"/>
  <c r="L94" i="20"/>
  <c r="L81" i="20" s="1" a="1"/>
  <c r="L81" i="20" s="1"/>
  <c r="K94" i="20"/>
  <c r="L85" i="20"/>
  <c r="L89" i="20" s="1"/>
  <c r="K85" i="20"/>
  <c r="K89" i="20" s="1"/>
  <c r="I85" i="20"/>
  <c r="I89" i="20" s="1"/>
  <c r="O29" i="20"/>
  <c r="K81" i="20" l="1" a="1"/>
  <c r="K81" i="20" s="1"/>
  <c r="K95" i="20" s="1"/>
  <c r="K82" i="20" s="1" a="1"/>
  <c r="K82" i="20" s="1"/>
  <c r="K96" i="20" s="1"/>
  <c r="K83" i="20" s="1" a="1"/>
  <c r="K83" i="20" s="1"/>
  <c r="O75" i="20"/>
  <c r="BK4" i="12"/>
  <c r="BG4" i="12"/>
  <c r="BG3" i="12" s="1"/>
  <c r="N94" i="20"/>
  <c r="N95" i="20" s="1"/>
  <c r="L95" i="20"/>
  <c r="N82" i="20" l="1" a="1"/>
  <c r="N82" i="20" s="1"/>
  <c r="L82" i="20" a="1"/>
  <c r="L82" i="20" s="1"/>
  <c r="L96" i="20" s="1"/>
  <c r="L83" i="20" s="1" a="1"/>
  <c r="L83" i="20" s="1"/>
  <c r="K88" i="20"/>
  <c r="K91" i="20" s="1"/>
  <c r="K92" i="20" s="1"/>
  <c r="K97" i="20"/>
  <c r="I96" i="20"/>
  <c r="I83" i="20" s="1" a="1"/>
  <c r="I83" i="20" s="1"/>
  <c r="N85" i="20"/>
  <c r="N89" i="20" s="1"/>
  <c r="O78" i="20"/>
  <c r="L88" i="20" l="1"/>
  <c r="L91" i="20" s="1"/>
  <c r="L92" i="20" s="1"/>
  <c r="L97" i="20"/>
  <c r="I88" i="20"/>
  <c r="I91" i="20" s="1"/>
  <c r="I92" i="20" s="1"/>
  <c r="I84" i="20" s="1" a="1"/>
  <c r="I84" i="20" s="1"/>
  <c r="I97" i="20"/>
  <c r="O84" i="20"/>
  <c r="K33" i="20"/>
  <c r="K31" i="20" s="1"/>
  <c r="O94" i="20"/>
  <c r="O89" i="20"/>
  <c r="O85" i="20"/>
  <c r="I102" i="20" l="1"/>
  <c r="I33" i="20"/>
  <c r="I31" i="20" s="1"/>
  <c r="I45" i="20"/>
  <c r="L45" i="20"/>
  <c r="L48" i="20" s="1"/>
  <c r="L102" i="20"/>
  <c r="O102" i="20" s="1"/>
  <c r="L33" i="20"/>
  <c r="K45" i="20"/>
  <c r="K47" i="20" s="1"/>
  <c r="K102" i="20"/>
  <c r="O81" i="20"/>
  <c r="N96" i="20"/>
  <c r="N83" i="20" s="1" a="1"/>
  <c r="N83" i="20" s="1"/>
  <c r="L47" i="20" l="1"/>
  <c r="I43" i="20"/>
  <c r="A374" i="12"/>
  <c r="O374" i="12" s="1"/>
  <c r="A373" i="12"/>
  <c r="O373" i="12" s="1"/>
  <c r="A372" i="12"/>
  <c r="O372" i="12" s="1"/>
  <c r="A371" i="12"/>
  <c r="O371" i="12" s="1"/>
  <c r="I48" i="20"/>
  <c r="K48" i="20"/>
  <c r="K43" i="20"/>
  <c r="I47" i="20"/>
  <c r="L43" i="20"/>
  <c r="O43" i="20" s="1"/>
  <c r="L31" i="20"/>
  <c r="O31" i="20" s="1"/>
  <c r="O45" i="20"/>
  <c r="O33" i="20"/>
  <c r="O95" i="20"/>
  <c r="AO371" i="12" l="1"/>
  <c r="AO374" i="12"/>
  <c r="AO372" i="12"/>
  <c r="AO373" i="12"/>
  <c r="O82" i="20"/>
  <c r="N97" i="20" l="1"/>
  <c r="N88" i="20"/>
  <c r="O96" i="20"/>
  <c r="O83" i="20" l="1"/>
  <c r="O97" i="20"/>
  <c r="O88" i="20" l="1"/>
  <c r="N91" i="20"/>
  <c r="O91" i="20" l="1"/>
  <c r="N92" i="20"/>
  <c r="N84" i="20" s="1" a="1"/>
  <c r="N84" i="20" s="1"/>
  <c r="N102" i="20" s="1"/>
  <c r="O92" i="20" l="1"/>
  <c r="N33" i="20"/>
  <c r="N31" i="20" l="1"/>
  <c r="N45" i="20"/>
  <c r="N47" i="20" l="1"/>
  <c r="N48" i="20"/>
  <c r="N43" i="20"/>
  <c r="G684" i="12" l="1"/>
  <c r="E684" i="12"/>
  <c r="G683" i="12"/>
  <c r="E683" i="12"/>
  <c r="G682" i="12"/>
  <c r="E682" i="12"/>
  <c r="G681" i="12"/>
  <c r="E681" i="12"/>
  <c r="G680" i="12"/>
  <c r="E680" i="12"/>
  <c r="G679" i="12"/>
  <c r="E679" i="12"/>
  <c r="G678" i="12"/>
  <c r="E678" i="12"/>
  <c r="G677" i="12"/>
  <c r="E677" i="12"/>
  <c r="G676" i="12"/>
  <c r="E676" i="12"/>
  <c r="G675" i="12"/>
  <c r="E675" i="12"/>
  <c r="G674" i="12"/>
  <c r="E674" i="12"/>
  <c r="G673" i="12"/>
  <c r="E673" i="12"/>
  <c r="G672" i="12"/>
  <c r="E672" i="12"/>
  <c r="G671" i="12"/>
  <c r="E671" i="12"/>
  <c r="G670" i="12"/>
  <c r="E670" i="12"/>
  <c r="G669" i="12"/>
  <c r="E669" i="12"/>
  <c r="G668" i="12"/>
  <c r="E668" i="12"/>
  <c r="G667" i="12"/>
  <c r="E667" i="12"/>
  <c r="G666" i="12"/>
  <c r="E666" i="12"/>
  <c r="G665" i="12"/>
  <c r="E665" i="12"/>
  <c r="G664" i="12"/>
  <c r="E664" i="12"/>
  <c r="G663" i="12"/>
  <c r="E663" i="12"/>
  <c r="G662" i="12"/>
  <c r="E662" i="12"/>
  <c r="G661" i="12"/>
  <c r="E661" i="12"/>
  <c r="G660" i="12"/>
  <c r="E660" i="12"/>
  <c r="G659" i="12"/>
  <c r="E659" i="12"/>
  <c r="G658" i="12"/>
  <c r="E658" i="12"/>
  <c r="G657" i="12"/>
  <c r="E657" i="12"/>
  <c r="G656" i="12"/>
  <c r="E656" i="12"/>
  <c r="G655" i="12"/>
  <c r="E655" i="12"/>
  <c r="G654" i="12"/>
  <c r="E654" i="12"/>
  <c r="G653" i="12"/>
  <c r="E653" i="12"/>
  <c r="G652" i="12"/>
  <c r="E652" i="12"/>
  <c r="G651" i="12"/>
  <c r="E651" i="12"/>
  <c r="G650" i="12"/>
  <c r="E650" i="12"/>
  <c r="G649" i="12"/>
  <c r="E649" i="12"/>
  <c r="G648" i="12"/>
  <c r="E648" i="12"/>
  <c r="G647" i="12"/>
  <c r="E647" i="12"/>
  <c r="G646" i="12"/>
  <c r="E646" i="12"/>
  <c r="G645" i="12"/>
  <c r="E645" i="12"/>
  <c r="G644" i="12"/>
  <c r="E644" i="12"/>
  <c r="G643" i="12"/>
  <c r="E643" i="12"/>
  <c r="G642" i="12"/>
  <c r="E642" i="12"/>
  <c r="G641" i="12"/>
  <c r="E641" i="12"/>
  <c r="G640" i="12"/>
  <c r="E640" i="12"/>
  <c r="G639" i="12"/>
  <c r="E639" i="12"/>
  <c r="G638" i="12"/>
  <c r="E638" i="12"/>
  <c r="G637" i="12"/>
  <c r="E637" i="12"/>
  <c r="G636" i="12"/>
  <c r="E636" i="12"/>
  <c r="G635" i="12"/>
  <c r="E635" i="12"/>
  <c r="G634" i="12"/>
  <c r="E634" i="12"/>
  <c r="G633" i="12"/>
  <c r="E633" i="12"/>
  <c r="I632" i="12"/>
  <c r="G632" i="12"/>
  <c r="E632" i="12"/>
  <c r="I631" i="12"/>
  <c r="G631" i="12"/>
  <c r="E631" i="12"/>
  <c r="I630" i="12"/>
  <c r="G630" i="12"/>
  <c r="E630" i="12"/>
  <c r="I629" i="12"/>
  <c r="G629" i="12"/>
  <c r="E629" i="12"/>
  <c r="I628" i="12"/>
  <c r="G628" i="12"/>
  <c r="E628" i="12"/>
  <c r="I627" i="12"/>
  <c r="G627" i="12"/>
  <c r="E627" i="12"/>
  <c r="I626" i="12"/>
  <c r="G626" i="12"/>
  <c r="E626" i="12"/>
  <c r="I625" i="12"/>
  <c r="G625" i="12"/>
  <c r="E625" i="12"/>
  <c r="I624" i="12"/>
  <c r="G624" i="12"/>
  <c r="E624" i="12"/>
  <c r="I623" i="12"/>
  <c r="G623" i="12"/>
  <c r="E623" i="12"/>
  <c r="I622" i="12"/>
  <c r="G622" i="12"/>
  <c r="E622" i="12"/>
  <c r="I621" i="12"/>
  <c r="G621" i="12"/>
  <c r="E621" i="12"/>
  <c r="I620" i="12"/>
  <c r="G620" i="12"/>
  <c r="E620" i="12"/>
  <c r="I619" i="12"/>
  <c r="G619" i="12"/>
  <c r="E619" i="12"/>
  <c r="I618" i="12"/>
  <c r="G618" i="12"/>
  <c r="E618" i="12"/>
  <c r="I617" i="12"/>
  <c r="G617" i="12"/>
  <c r="E617" i="12"/>
  <c r="I616" i="12"/>
  <c r="G616" i="12"/>
  <c r="E616" i="12"/>
  <c r="I615" i="12"/>
  <c r="G615" i="12"/>
  <c r="E615" i="12"/>
  <c r="I614" i="12"/>
  <c r="G614" i="12"/>
  <c r="E614" i="12"/>
  <c r="I613" i="12"/>
  <c r="G613" i="12"/>
  <c r="E613" i="12"/>
  <c r="I612" i="12"/>
  <c r="G612" i="12"/>
  <c r="E612" i="12"/>
  <c r="I611" i="12"/>
  <c r="G611" i="12"/>
  <c r="E611" i="12"/>
  <c r="I610" i="12"/>
  <c r="G610" i="12"/>
  <c r="E610" i="12"/>
  <c r="I609" i="12"/>
  <c r="G609" i="12"/>
  <c r="E609" i="12"/>
  <c r="I608" i="12"/>
  <c r="G608" i="12"/>
  <c r="E608" i="12"/>
  <c r="I607" i="12"/>
  <c r="G607" i="12"/>
  <c r="E607" i="12"/>
  <c r="I606" i="12"/>
  <c r="G606" i="12"/>
  <c r="E606" i="12"/>
  <c r="I605" i="12"/>
  <c r="G605" i="12"/>
  <c r="E605" i="12"/>
  <c r="I604" i="12"/>
  <c r="G604" i="12"/>
  <c r="E604" i="12"/>
  <c r="I603" i="12"/>
  <c r="G603" i="12"/>
  <c r="E603" i="12"/>
  <c r="I602" i="12"/>
  <c r="G602" i="12"/>
  <c r="E602" i="12"/>
  <c r="I601" i="12"/>
  <c r="G601" i="12"/>
  <c r="E601" i="12"/>
  <c r="I600" i="12"/>
  <c r="G600" i="12"/>
  <c r="E600" i="12"/>
  <c r="I599" i="12"/>
  <c r="G599" i="12"/>
  <c r="E599" i="12"/>
  <c r="I598" i="12"/>
  <c r="G598" i="12"/>
  <c r="E598" i="12"/>
  <c r="I597" i="12"/>
  <c r="G597" i="12"/>
  <c r="E597" i="12"/>
  <c r="I596" i="12"/>
  <c r="G596" i="12"/>
  <c r="E596" i="12"/>
  <c r="I595" i="12"/>
  <c r="G595" i="12"/>
  <c r="E595" i="12"/>
  <c r="I594" i="12"/>
  <c r="G594" i="12"/>
  <c r="E594" i="12"/>
  <c r="I593" i="12"/>
  <c r="G593" i="12"/>
  <c r="E593" i="12"/>
  <c r="I592" i="12"/>
  <c r="G592" i="12"/>
  <c r="E592" i="12"/>
  <c r="I591" i="12"/>
  <c r="G591" i="12"/>
  <c r="E591" i="12"/>
  <c r="I590" i="12"/>
  <c r="G590" i="12"/>
  <c r="E590" i="12"/>
  <c r="I589" i="12"/>
  <c r="G589" i="12"/>
  <c r="E589" i="12"/>
  <c r="I588" i="12"/>
  <c r="G588" i="12"/>
  <c r="E588" i="12"/>
  <c r="I587" i="12"/>
  <c r="G587" i="12"/>
  <c r="E587" i="12"/>
  <c r="I586" i="12"/>
  <c r="G586" i="12"/>
  <c r="E586" i="12"/>
  <c r="I585" i="12"/>
  <c r="G585" i="12"/>
  <c r="E585" i="12"/>
  <c r="I584" i="12"/>
  <c r="G584" i="12"/>
  <c r="E584" i="12"/>
  <c r="I583" i="12"/>
  <c r="G583" i="12"/>
  <c r="E583" i="12"/>
  <c r="I582" i="12"/>
  <c r="G582" i="12"/>
  <c r="E582" i="12"/>
  <c r="I581" i="12"/>
  <c r="G581" i="12"/>
  <c r="E581" i="12"/>
  <c r="I580" i="12"/>
  <c r="G580" i="12"/>
  <c r="E580" i="12"/>
  <c r="I579" i="12"/>
  <c r="G579" i="12"/>
  <c r="E579" i="12"/>
  <c r="I578" i="12"/>
  <c r="G578" i="12"/>
  <c r="E578" i="12"/>
  <c r="I577" i="12"/>
  <c r="G577" i="12"/>
  <c r="E577" i="12"/>
  <c r="I576" i="12"/>
  <c r="G576" i="12"/>
  <c r="E576" i="12"/>
  <c r="I575" i="12"/>
  <c r="G575" i="12"/>
  <c r="E575" i="12"/>
  <c r="I574" i="12"/>
  <c r="G574" i="12"/>
  <c r="E574" i="12"/>
  <c r="I573" i="12"/>
  <c r="G573" i="12"/>
  <c r="E573" i="12"/>
  <c r="I572" i="12"/>
  <c r="G572" i="12"/>
  <c r="E572" i="12"/>
  <c r="I571" i="12"/>
  <c r="G571" i="12"/>
  <c r="E571" i="12"/>
  <c r="I570" i="12"/>
  <c r="G570" i="12"/>
  <c r="E570" i="12"/>
  <c r="I569" i="12"/>
  <c r="G569" i="12"/>
  <c r="E569" i="12"/>
  <c r="I568" i="12"/>
  <c r="G568" i="12"/>
  <c r="E568" i="12"/>
  <c r="I567" i="12"/>
  <c r="G567" i="12"/>
  <c r="E567" i="12"/>
  <c r="I566" i="12"/>
  <c r="G566" i="12"/>
  <c r="E566" i="12"/>
  <c r="I565" i="12"/>
  <c r="G565" i="12"/>
  <c r="E565" i="12"/>
  <c r="I564" i="12"/>
  <c r="G564" i="12"/>
  <c r="E564" i="12"/>
  <c r="I563" i="12"/>
  <c r="G563" i="12"/>
  <c r="E563" i="12"/>
  <c r="I562" i="12"/>
  <c r="G562" i="12"/>
  <c r="E562" i="12"/>
  <c r="I561" i="12"/>
  <c r="G561" i="12"/>
  <c r="E561" i="12"/>
  <c r="I558" i="12"/>
  <c r="G558" i="12"/>
  <c r="H552" i="12"/>
  <c r="L552" i="12" s="1"/>
  <c r="F552" i="12"/>
  <c r="I549" i="12"/>
  <c r="G549" i="12"/>
  <c r="H547" i="12"/>
  <c r="F547" i="12"/>
  <c r="G547" i="12" s="1"/>
  <c r="H546" i="12"/>
  <c r="L546" i="12" s="1"/>
  <c r="F546" i="12"/>
  <c r="G546" i="12" s="1"/>
  <c r="I545" i="12"/>
  <c r="G545" i="12"/>
  <c r="H543" i="12"/>
  <c r="F543" i="12"/>
  <c r="G543" i="12" s="1"/>
  <c r="H538" i="12"/>
  <c r="F538" i="12"/>
  <c r="G538" i="12" s="1"/>
  <c r="H537" i="12"/>
  <c r="F537" i="12"/>
  <c r="G537" i="12" s="1"/>
  <c r="H536" i="12"/>
  <c r="F536" i="12"/>
  <c r="G536" i="12" s="1"/>
  <c r="H535" i="12"/>
  <c r="F535" i="12"/>
  <c r="G535" i="12" s="1"/>
  <c r="H532" i="12"/>
  <c r="F532" i="12"/>
  <c r="H531" i="12"/>
  <c r="F531" i="12"/>
  <c r="G531" i="12" s="1"/>
  <c r="H530" i="12"/>
  <c r="F530" i="12"/>
  <c r="G530" i="12" s="1"/>
  <c r="H529" i="12"/>
  <c r="F529" i="12"/>
  <c r="G529" i="12" s="1"/>
  <c r="H527" i="12"/>
  <c r="L527" i="12" s="1"/>
  <c r="F527" i="12"/>
  <c r="G527" i="12" s="1"/>
  <c r="H526" i="12"/>
  <c r="F526" i="12"/>
  <c r="G526" i="12" s="1"/>
  <c r="H525" i="12"/>
  <c r="F525" i="12"/>
  <c r="G525" i="12" s="1"/>
  <c r="H524" i="12"/>
  <c r="F524" i="12"/>
  <c r="G524" i="12" s="1"/>
  <c r="H523" i="12"/>
  <c r="F523" i="12"/>
  <c r="G523" i="12" s="1"/>
  <c r="H522" i="12"/>
  <c r="F522" i="12"/>
  <c r="G522" i="12" s="1"/>
  <c r="H521" i="12"/>
  <c r="F521" i="12"/>
  <c r="G521" i="12" s="1"/>
  <c r="H520" i="12"/>
  <c r="H519" i="12"/>
  <c r="F519" i="12"/>
  <c r="G519" i="12" s="1"/>
  <c r="H518" i="12"/>
  <c r="F518" i="12"/>
  <c r="G518" i="12" s="1"/>
  <c r="H517" i="12"/>
  <c r="F517" i="12"/>
  <c r="G517" i="12" s="1"/>
  <c r="H516" i="12"/>
  <c r="F516" i="12"/>
  <c r="G516" i="12" s="1"/>
  <c r="H515" i="12"/>
  <c r="F515" i="12"/>
  <c r="G515" i="12" s="1"/>
  <c r="H514" i="12"/>
  <c r="F514" i="12"/>
  <c r="G514" i="12" s="1"/>
  <c r="H513" i="12"/>
  <c r="F513" i="12"/>
  <c r="G513" i="12" s="1"/>
  <c r="I512" i="12"/>
  <c r="G512" i="12"/>
  <c r="I508" i="12"/>
  <c r="G508" i="12"/>
  <c r="H507" i="12"/>
  <c r="H506" i="12"/>
  <c r="F506" i="12"/>
  <c r="G506" i="12" s="1"/>
  <c r="H505" i="12"/>
  <c r="L505" i="12" s="1"/>
  <c r="F505" i="12"/>
  <c r="G505" i="12" s="1"/>
  <c r="I504" i="12"/>
  <c r="G504" i="12"/>
  <c r="H502" i="12"/>
  <c r="F502" i="12"/>
  <c r="G502" i="12" s="1"/>
  <c r="H501" i="12"/>
  <c r="F501" i="12"/>
  <c r="G501" i="12" s="1"/>
  <c r="H500" i="12"/>
  <c r="F500" i="12"/>
  <c r="G500" i="12" s="1"/>
  <c r="H499" i="12"/>
  <c r="F499" i="12"/>
  <c r="H498" i="12"/>
  <c r="F498" i="12"/>
  <c r="G498" i="12" s="1"/>
  <c r="H495" i="12"/>
  <c r="F495" i="12"/>
  <c r="G495" i="12" s="1"/>
  <c r="H494" i="12"/>
  <c r="L494" i="12" s="1"/>
  <c r="F494" i="12"/>
  <c r="H493" i="12"/>
  <c r="L493" i="12" s="1"/>
  <c r="F493" i="12"/>
  <c r="H492" i="12"/>
  <c r="F492" i="12"/>
  <c r="G492" i="12" s="1"/>
  <c r="H488" i="12"/>
  <c r="F488" i="12"/>
  <c r="G488" i="12" s="1"/>
  <c r="H487" i="12"/>
  <c r="F487" i="12"/>
  <c r="G487" i="12" s="1"/>
  <c r="H486" i="12"/>
  <c r="F486" i="12"/>
  <c r="G486" i="12" s="1"/>
  <c r="H483" i="12"/>
  <c r="F483" i="12"/>
  <c r="G483" i="12" s="1"/>
  <c r="H482" i="12"/>
  <c r="F482" i="12"/>
  <c r="G482" i="12" s="1"/>
  <c r="H481" i="12"/>
  <c r="F481" i="12"/>
  <c r="G481" i="12" s="1"/>
  <c r="H480" i="12"/>
  <c r="F480" i="12"/>
  <c r="G480" i="12" s="1"/>
  <c r="H479" i="12"/>
  <c r="F479" i="12"/>
  <c r="G479" i="12" s="1"/>
  <c r="H478" i="12"/>
  <c r="F478" i="12"/>
  <c r="G478" i="12" s="1"/>
  <c r="F477" i="12"/>
  <c r="G477" i="12" s="1"/>
  <c r="F476" i="12"/>
  <c r="G476" i="12" s="1"/>
  <c r="H473" i="12"/>
  <c r="F473" i="12"/>
  <c r="G473" i="12" s="1"/>
  <c r="H471" i="12"/>
  <c r="F471" i="12"/>
  <c r="G471" i="12" s="1"/>
  <c r="H470" i="12"/>
  <c r="F470" i="12"/>
  <c r="G470" i="12" s="1"/>
  <c r="H469" i="12"/>
  <c r="F469" i="12"/>
  <c r="G469" i="12" s="1"/>
  <c r="H468" i="12"/>
  <c r="F468" i="12"/>
  <c r="G468" i="12" s="1"/>
  <c r="H467" i="12"/>
  <c r="F467" i="12"/>
  <c r="G467" i="12" s="1"/>
  <c r="H466" i="12"/>
  <c r="F466" i="12"/>
  <c r="H465" i="12"/>
  <c r="F465" i="12"/>
  <c r="G465" i="12" s="1"/>
  <c r="H464" i="12"/>
  <c r="F464" i="12"/>
  <c r="G464" i="12" s="1"/>
  <c r="H463" i="12"/>
  <c r="F463" i="12"/>
  <c r="G463" i="12" s="1"/>
  <c r="H462" i="12"/>
  <c r="F462" i="12"/>
  <c r="H461" i="12"/>
  <c r="F461" i="12"/>
  <c r="G461" i="12" s="1"/>
  <c r="H460" i="12"/>
  <c r="F460" i="12"/>
  <c r="G460" i="12" s="1"/>
  <c r="H459" i="12"/>
  <c r="F459" i="12"/>
  <c r="G459" i="12" s="1"/>
  <c r="H458" i="12"/>
  <c r="F458" i="12"/>
  <c r="H457" i="12"/>
  <c r="F457" i="12"/>
  <c r="G457" i="12" s="1"/>
  <c r="H456" i="12"/>
  <c r="F456" i="12"/>
  <c r="G456" i="12" s="1"/>
  <c r="H455" i="12"/>
  <c r="F455" i="12"/>
  <c r="G455" i="12" s="1"/>
  <c r="H453" i="12"/>
  <c r="F453" i="12"/>
  <c r="G453" i="12" s="1"/>
  <c r="H452" i="12"/>
  <c r="F452" i="12"/>
  <c r="G452" i="12" s="1"/>
  <c r="H434" i="12"/>
  <c r="F434" i="12"/>
  <c r="G434" i="12" s="1"/>
  <c r="H433" i="12"/>
  <c r="F433" i="12"/>
  <c r="G433" i="12" s="1"/>
  <c r="H432" i="12"/>
  <c r="F432" i="12"/>
  <c r="G432" i="12" s="1"/>
  <c r="H431" i="12"/>
  <c r="F431" i="12"/>
  <c r="G431" i="12" s="1"/>
  <c r="H430" i="12"/>
  <c r="F430" i="12"/>
  <c r="G430" i="12" s="1"/>
  <c r="H429" i="12"/>
  <c r="F429" i="12"/>
  <c r="H428" i="12"/>
  <c r="F428" i="12"/>
  <c r="G428" i="12" s="1"/>
  <c r="H427" i="12"/>
  <c r="F427" i="12"/>
  <c r="G427" i="12" s="1"/>
  <c r="H426" i="12"/>
  <c r="F426" i="12"/>
  <c r="G426" i="12" s="1"/>
  <c r="H425" i="12"/>
  <c r="F425" i="12"/>
  <c r="G425" i="12" s="1"/>
  <c r="H424" i="12"/>
  <c r="F424" i="12"/>
  <c r="G424" i="12" s="1"/>
  <c r="H423" i="12"/>
  <c r="F423" i="12"/>
  <c r="G423" i="12" s="1"/>
  <c r="H414" i="12"/>
  <c r="F414" i="12"/>
  <c r="G414" i="12" s="1"/>
  <c r="H413" i="12"/>
  <c r="F413" i="12"/>
  <c r="G413" i="12" s="1"/>
  <c r="H412" i="12"/>
  <c r="F412" i="12"/>
  <c r="G412" i="12" s="1"/>
  <c r="H411" i="12"/>
  <c r="F411" i="12"/>
  <c r="G411" i="12" s="1"/>
  <c r="H410" i="12"/>
  <c r="F410" i="12"/>
  <c r="G410" i="12" s="1"/>
  <c r="H409" i="12"/>
  <c r="F409" i="12"/>
  <c r="G409" i="12" s="1"/>
  <c r="H408" i="12"/>
  <c r="F408" i="12"/>
  <c r="G408" i="12" s="1"/>
  <c r="H407" i="12"/>
  <c r="F407" i="12"/>
  <c r="G407" i="12" s="1"/>
  <c r="H406" i="12"/>
  <c r="F406" i="12"/>
  <c r="G406" i="12" s="1"/>
  <c r="H404" i="12"/>
  <c r="F404" i="12"/>
  <c r="G404" i="12" s="1"/>
  <c r="H403" i="12"/>
  <c r="F403" i="12"/>
  <c r="G403" i="12" s="1"/>
  <c r="H402" i="12"/>
  <c r="F402" i="12"/>
  <c r="G402" i="12" s="1"/>
  <c r="H401" i="12"/>
  <c r="F401" i="12"/>
  <c r="G401" i="12" s="1"/>
  <c r="H399" i="12"/>
  <c r="F399" i="12"/>
  <c r="G399" i="12" s="1"/>
  <c r="H398" i="12"/>
  <c r="F398" i="12"/>
  <c r="G398" i="12" s="1"/>
  <c r="H397" i="12"/>
  <c r="F397" i="12"/>
  <c r="G397" i="12" s="1"/>
  <c r="H396" i="12"/>
  <c r="F396" i="12"/>
  <c r="G396" i="12" s="1"/>
  <c r="H395" i="12"/>
  <c r="F395" i="12"/>
  <c r="G395" i="12" s="1"/>
  <c r="H394" i="12"/>
  <c r="F394" i="12"/>
  <c r="G394" i="12" s="1"/>
  <c r="H393" i="12"/>
  <c r="F393" i="12"/>
  <c r="G393" i="12" s="1"/>
  <c r="H392" i="12"/>
  <c r="F392" i="12"/>
  <c r="G392" i="12" s="1"/>
  <c r="H389" i="12"/>
  <c r="F389" i="12"/>
  <c r="G389" i="12" s="1"/>
  <c r="H387" i="12"/>
  <c r="F387" i="12"/>
  <c r="G387" i="12" s="1"/>
  <c r="H386" i="12"/>
  <c r="F386" i="12"/>
  <c r="G386" i="12" s="1"/>
  <c r="H385" i="12"/>
  <c r="F385" i="12"/>
  <c r="G385" i="12" s="1"/>
  <c r="H384" i="12"/>
  <c r="F384" i="12"/>
  <c r="G384" i="12" s="1"/>
  <c r="H383" i="12"/>
  <c r="F383" i="12"/>
  <c r="G383" i="12" s="1"/>
  <c r="H382" i="12"/>
  <c r="F382" i="12"/>
  <c r="G382" i="12" s="1"/>
  <c r="H381" i="12"/>
  <c r="F381" i="12"/>
  <c r="G381" i="12" s="1"/>
  <c r="H380" i="12"/>
  <c r="F380" i="12"/>
  <c r="G380" i="12" s="1"/>
  <c r="H379" i="12"/>
  <c r="F379" i="12"/>
  <c r="G379" i="12" s="1"/>
  <c r="H378" i="12"/>
  <c r="F378" i="12"/>
  <c r="G378" i="12" s="1"/>
  <c r="H377" i="12"/>
  <c r="F377" i="12"/>
  <c r="G377" i="12" s="1"/>
  <c r="H376" i="12"/>
  <c r="F376" i="12"/>
  <c r="G376" i="12" s="1"/>
  <c r="H375" i="12"/>
  <c r="F375" i="12"/>
  <c r="H374" i="12"/>
  <c r="F374" i="12"/>
  <c r="G374" i="12" s="1"/>
  <c r="H373" i="12"/>
  <c r="F373" i="12"/>
  <c r="G373" i="12" s="1"/>
  <c r="H372" i="12"/>
  <c r="F372" i="12"/>
  <c r="G372" i="12" s="1"/>
  <c r="H371" i="12"/>
  <c r="F371" i="12"/>
  <c r="G371" i="12" s="1"/>
  <c r="H370" i="12"/>
  <c r="F370" i="12"/>
  <c r="G370" i="12" s="1"/>
  <c r="H369" i="12"/>
  <c r="F369" i="12"/>
  <c r="G369" i="12" s="1"/>
  <c r="H368" i="12"/>
  <c r="F368" i="12"/>
  <c r="G368" i="12" s="1"/>
  <c r="H367" i="12"/>
  <c r="F367" i="12"/>
  <c r="G367" i="12" s="1"/>
  <c r="H366" i="12"/>
  <c r="F366" i="12"/>
  <c r="G366" i="12" s="1"/>
  <c r="H365" i="12"/>
  <c r="F365" i="12"/>
  <c r="G365" i="12" s="1"/>
  <c r="H363" i="12"/>
  <c r="F363" i="12"/>
  <c r="G363" i="12" s="1"/>
  <c r="H362" i="12"/>
  <c r="F362" i="12"/>
  <c r="G362" i="12" s="1"/>
  <c r="H361" i="12"/>
  <c r="F361" i="12"/>
  <c r="G361" i="12" s="1"/>
  <c r="H360" i="12"/>
  <c r="F360" i="12"/>
  <c r="G360" i="12" s="1"/>
  <c r="H359" i="12"/>
  <c r="F359" i="12"/>
  <c r="G359" i="12" s="1"/>
  <c r="H358" i="12"/>
  <c r="F358" i="12"/>
  <c r="G358" i="12" s="1"/>
  <c r="H357" i="12"/>
  <c r="F357" i="12"/>
  <c r="G357" i="12" s="1"/>
  <c r="H356" i="12"/>
  <c r="F356" i="12"/>
  <c r="H355" i="12"/>
  <c r="F355" i="12"/>
  <c r="G355" i="12" s="1"/>
  <c r="H354" i="12"/>
  <c r="F354" i="12"/>
  <c r="G354" i="12" s="1"/>
  <c r="H353" i="12"/>
  <c r="F353" i="12"/>
  <c r="G353" i="12" s="1"/>
  <c r="H352" i="12"/>
  <c r="F352" i="12"/>
  <c r="G352" i="12" s="1"/>
  <c r="H351" i="12"/>
  <c r="F351" i="12"/>
  <c r="H350" i="12"/>
  <c r="F350" i="12"/>
  <c r="G350" i="12" s="1"/>
  <c r="H349" i="12"/>
  <c r="F349" i="12"/>
  <c r="G349" i="12" s="1"/>
  <c r="H348" i="12"/>
  <c r="F348" i="12"/>
  <c r="G348" i="12" s="1"/>
  <c r="H347" i="12"/>
  <c r="F347" i="12"/>
  <c r="G347" i="12" s="1"/>
  <c r="H346" i="12"/>
  <c r="F346" i="12"/>
  <c r="G346" i="12" s="1"/>
  <c r="H345" i="12"/>
  <c r="F345" i="12"/>
  <c r="G345" i="12" s="1"/>
  <c r="H344" i="12"/>
  <c r="F344" i="12"/>
  <c r="G344" i="12" s="1"/>
  <c r="H343" i="12"/>
  <c r="F343" i="12"/>
  <c r="G343" i="12" s="1"/>
  <c r="H342" i="12"/>
  <c r="F342" i="12"/>
  <c r="G342" i="12" s="1"/>
  <c r="H341" i="12"/>
  <c r="F341" i="12"/>
  <c r="G341" i="12" s="1"/>
  <c r="H340" i="12"/>
  <c r="F340" i="12"/>
  <c r="G340" i="12" s="1"/>
  <c r="H339" i="12"/>
  <c r="F339" i="12"/>
  <c r="G339" i="12" s="1"/>
  <c r="H338" i="12"/>
  <c r="F338" i="12"/>
  <c r="G338" i="12" s="1"/>
  <c r="H337" i="12"/>
  <c r="F337" i="12"/>
  <c r="H336" i="12"/>
  <c r="F336" i="12"/>
  <c r="G336" i="12" s="1"/>
  <c r="H335" i="12"/>
  <c r="F335" i="12"/>
  <c r="G335" i="12" s="1"/>
  <c r="H334" i="12"/>
  <c r="F334" i="12"/>
  <c r="G334" i="12" s="1"/>
  <c r="H333" i="12"/>
  <c r="F333" i="12"/>
  <c r="G333" i="12" s="1"/>
  <c r="H324" i="12"/>
  <c r="F324" i="12"/>
  <c r="G324" i="12" s="1"/>
  <c r="H323" i="12"/>
  <c r="F323" i="12"/>
  <c r="G323" i="12" s="1"/>
  <c r="H321" i="12"/>
  <c r="F321" i="12"/>
  <c r="G321" i="12" s="1"/>
  <c r="H320" i="12"/>
  <c r="F320" i="12"/>
  <c r="H318" i="12"/>
  <c r="F318" i="12"/>
  <c r="G318" i="12" s="1"/>
  <c r="H316" i="12"/>
  <c r="F316" i="12"/>
  <c r="G316" i="12" s="1"/>
  <c r="H315" i="12"/>
  <c r="F315" i="12"/>
  <c r="G315" i="12" s="1"/>
  <c r="H314" i="12"/>
  <c r="F314" i="12"/>
  <c r="G314" i="12" s="1"/>
  <c r="H313" i="12"/>
  <c r="F313" i="12"/>
  <c r="H312" i="12"/>
  <c r="F312" i="12"/>
  <c r="G312" i="12" s="1"/>
  <c r="H311" i="12"/>
  <c r="F311" i="12"/>
  <c r="G311" i="12" s="1"/>
  <c r="H310" i="12"/>
  <c r="F310" i="12"/>
  <c r="G310" i="12" s="1"/>
  <c r="H309" i="12"/>
  <c r="F309" i="12"/>
  <c r="G309" i="12" s="1"/>
  <c r="H298" i="12"/>
  <c r="F298" i="12"/>
  <c r="H297" i="12"/>
  <c r="F297" i="12"/>
  <c r="G297" i="12" s="1"/>
  <c r="H296" i="12"/>
  <c r="F296" i="12"/>
  <c r="H295" i="12"/>
  <c r="F295" i="12"/>
  <c r="G295" i="12" s="1"/>
  <c r="H294" i="12"/>
  <c r="F294" i="12"/>
  <c r="G294" i="12" s="1"/>
  <c r="H293" i="12"/>
  <c r="F293" i="12"/>
  <c r="H292" i="12"/>
  <c r="F292" i="12"/>
  <c r="G292" i="12" s="1"/>
  <c r="H291" i="12"/>
  <c r="F291" i="12"/>
  <c r="G291" i="12" s="1"/>
  <c r="H289" i="12"/>
  <c r="F289" i="12"/>
  <c r="G289" i="12" s="1"/>
  <c r="H288" i="12"/>
  <c r="F288" i="12"/>
  <c r="G288" i="12" s="1"/>
  <c r="H287" i="12"/>
  <c r="F287" i="12"/>
  <c r="G287" i="12" s="1"/>
  <c r="H286" i="12"/>
  <c r="F286" i="12"/>
  <c r="G286" i="12" s="1"/>
  <c r="H285" i="12"/>
  <c r="F285" i="12"/>
  <c r="H284" i="12"/>
  <c r="F284" i="12"/>
  <c r="H283" i="12"/>
  <c r="F283" i="12"/>
  <c r="G283" i="12" s="1"/>
  <c r="H282" i="12"/>
  <c r="F282" i="12"/>
  <c r="G282" i="12" s="1"/>
  <c r="H281" i="12"/>
  <c r="F281" i="12"/>
  <c r="G281" i="12" s="1"/>
  <c r="H280" i="12"/>
  <c r="F280" i="12"/>
  <c r="H279" i="12"/>
  <c r="F279" i="12"/>
  <c r="H278" i="12"/>
  <c r="F278" i="12"/>
  <c r="G278" i="12" s="1"/>
  <c r="H277" i="12"/>
  <c r="F277" i="12"/>
  <c r="H276" i="12"/>
  <c r="F276" i="12"/>
  <c r="G276" i="12" s="1"/>
  <c r="H275" i="12"/>
  <c r="F275" i="12"/>
  <c r="G275" i="12" s="1"/>
  <c r="H274" i="12"/>
  <c r="F274" i="12"/>
  <c r="H273" i="12"/>
  <c r="F273" i="12"/>
  <c r="G273" i="12" s="1"/>
  <c r="H272" i="12"/>
  <c r="F272" i="12"/>
  <c r="G272" i="12" s="1"/>
  <c r="H271" i="12"/>
  <c r="F271" i="12"/>
  <c r="G271" i="12" s="1"/>
  <c r="H270" i="12"/>
  <c r="F270" i="12"/>
  <c r="G270" i="12" s="1"/>
  <c r="H269" i="12"/>
  <c r="F269" i="12"/>
  <c r="G269" i="12" s="1"/>
  <c r="H268" i="12"/>
  <c r="F268" i="12"/>
  <c r="G268" i="12" s="1"/>
  <c r="H267" i="12"/>
  <c r="F267" i="12"/>
  <c r="H266" i="12"/>
  <c r="F266" i="12"/>
  <c r="G266" i="12" s="1"/>
  <c r="H265" i="12"/>
  <c r="F265" i="12"/>
  <c r="G265" i="12" s="1"/>
  <c r="H264" i="12"/>
  <c r="F264" i="12"/>
  <c r="G264" i="12" s="1"/>
  <c r="H263" i="12"/>
  <c r="F263" i="12"/>
  <c r="G263" i="12" s="1"/>
  <c r="H262" i="12"/>
  <c r="F262" i="12"/>
  <c r="G262" i="12" s="1"/>
  <c r="H261" i="12"/>
  <c r="F261" i="12"/>
  <c r="G261" i="12" s="1"/>
  <c r="H260" i="12"/>
  <c r="F260" i="12"/>
  <c r="G260" i="12" s="1"/>
  <c r="H259" i="12"/>
  <c r="F259" i="12"/>
  <c r="H258" i="12"/>
  <c r="F258" i="12"/>
  <c r="G258" i="12" s="1"/>
  <c r="H257" i="12"/>
  <c r="F257" i="12"/>
  <c r="H256" i="12"/>
  <c r="F256" i="12"/>
  <c r="G256" i="12" s="1"/>
  <c r="H252" i="12"/>
  <c r="F252" i="12"/>
  <c r="G252" i="12" s="1"/>
  <c r="H243" i="12"/>
  <c r="F243" i="12"/>
  <c r="G243" i="12" s="1"/>
  <c r="H242" i="12"/>
  <c r="F242" i="12"/>
  <c r="H241" i="12"/>
  <c r="F241" i="12"/>
  <c r="G241" i="12" s="1"/>
  <c r="H240" i="12"/>
  <c r="F240" i="12"/>
  <c r="H239" i="12"/>
  <c r="F239" i="12"/>
  <c r="G239" i="12" s="1"/>
  <c r="H238" i="12"/>
  <c r="F238" i="12"/>
  <c r="H237" i="12"/>
  <c r="F237" i="12"/>
  <c r="H236" i="12"/>
  <c r="F236" i="12"/>
  <c r="G236" i="12" s="1"/>
  <c r="H235" i="12"/>
  <c r="F235" i="12"/>
  <c r="G235" i="12" s="1"/>
  <c r="H234" i="12"/>
  <c r="F234" i="12"/>
  <c r="G234" i="12" s="1"/>
  <c r="H233" i="12"/>
  <c r="F233" i="12"/>
  <c r="G233" i="12" s="1"/>
  <c r="H232" i="12"/>
  <c r="F232" i="12"/>
  <c r="G232" i="12" s="1"/>
  <c r="H231" i="12"/>
  <c r="F231" i="12"/>
  <c r="G231" i="12" s="1"/>
  <c r="H230" i="12"/>
  <c r="F230" i="12"/>
  <c r="G230" i="12" s="1"/>
  <c r="H229" i="12"/>
  <c r="F229" i="12"/>
  <c r="G229" i="12" s="1"/>
  <c r="H228" i="12"/>
  <c r="F228" i="12"/>
  <c r="G228" i="12" s="1"/>
  <c r="H227" i="12"/>
  <c r="F227" i="12"/>
  <c r="G227" i="12" s="1"/>
  <c r="H226" i="12"/>
  <c r="F226" i="12"/>
  <c r="G226" i="12" s="1"/>
  <c r="H225" i="12"/>
  <c r="F225" i="12"/>
  <c r="H224" i="12"/>
  <c r="F224" i="12"/>
  <c r="H223" i="12"/>
  <c r="F223" i="12"/>
  <c r="G223" i="12" s="1"/>
  <c r="H222" i="12"/>
  <c r="F222" i="12"/>
  <c r="G222" i="12" s="1"/>
  <c r="H221" i="12"/>
  <c r="F221" i="12"/>
  <c r="G221" i="12" s="1"/>
  <c r="H214" i="12"/>
  <c r="F214" i="12"/>
  <c r="G214" i="12" s="1"/>
  <c r="H213" i="12"/>
  <c r="F213" i="12"/>
  <c r="G213" i="12" s="1"/>
  <c r="H212" i="12"/>
  <c r="F212" i="12"/>
  <c r="G212" i="12" s="1"/>
  <c r="H211" i="12"/>
  <c r="F211" i="12"/>
  <c r="G211" i="12" s="1"/>
  <c r="H210" i="12"/>
  <c r="F210" i="12"/>
  <c r="G210" i="12" s="1"/>
  <c r="H209" i="12"/>
  <c r="F209" i="12"/>
  <c r="G209" i="12" s="1"/>
  <c r="H208" i="12"/>
  <c r="F208" i="12"/>
  <c r="G208" i="12" s="1"/>
  <c r="H206" i="12"/>
  <c r="F206" i="12"/>
  <c r="G206" i="12" s="1"/>
  <c r="H205" i="12"/>
  <c r="F205" i="12"/>
  <c r="G205" i="12" s="1"/>
  <c r="H204" i="12"/>
  <c r="F204" i="12"/>
  <c r="G204" i="12" s="1"/>
  <c r="H202" i="12"/>
  <c r="F202" i="12"/>
  <c r="G202" i="12" s="1"/>
  <c r="H201" i="12"/>
  <c r="F201" i="12"/>
  <c r="G201" i="12" s="1"/>
  <c r="H200" i="12"/>
  <c r="F200" i="12"/>
  <c r="G200" i="12" s="1"/>
  <c r="H199" i="12"/>
  <c r="F199" i="12"/>
  <c r="G199" i="12" s="1"/>
  <c r="H198" i="12"/>
  <c r="F198" i="12"/>
  <c r="G198" i="12" s="1"/>
  <c r="H197" i="12"/>
  <c r="F197" i="12"/>
  <c r="G197" i="12" s="1"/>
  <c r="H196" i="12"/>
  <c r="F196" i="12"/>
  <c r="G196" i="12" s="1"/>
  <c r="H195" i="12"/>
  <c r="F195" i="12"/>
  <c r="G195" i="12" s="1"/>
  <c r="H194" i="12"/>
  <c r="F194" i="12"/>
  <c r="G194" i="12" s="1"/>
  <c r="H193" i="12"/>
  <c r="F193" i="12"/>
  <c r="G193" i="12" s="1"/>
  <c r="H192" i="12"/>
  <c r="F192" i="12"/>
  <c r="G192" i="12" s="1"/>
  <c r="H191" i="12"/>
  <c r="F191" i="12"/>
  <c r="G191" i="12" s="1"/>
  <c r="H190" i="12"/>
  <c r="F190" i="12"/>
  <c r="G190" i="12" s="1"/>
  <c r="H189" i="12"/>
  <c r="F189" i="12"/>
  <c r="G189" i="12" s="1"/>
  <c r="H188" i="12"/>
  <c r="F188" i="12"/>
  <c r="G188" i="12" s="1"/>
  <c r="H187" i="12"/>
  <c r="F187" i="12"/>
  <c r="H186" i="12"/>
  <c r="F186" i="12"/>
  <c r="G186" i="12" s="1"/>
  <c r="H185" i="12"/>
  <c r="F185" i="12"/>
  <c r="G185" i="12" s="1"/>
  <c r="H184" i="12"/>
  <c r="F184" i="12"/>
  <c r="G184" i="12" s="1"/>
  <c r="H183" i="12"/>
  <c r="F183" i="12"/>
  <c r="G183" i="12" s="1"/>
  <c r="H182" i="12"/>
  <c r="F182" i="12"/>
  <c r="G182" i="12" s="1"/>
  <c r="H181" i="12"/>
  <c r="F181" i="12"/>
  <c r="G181" i="12" s="1"/>
  <c r="H180" i="12"/>
  <c r="F180" i="12"/>
  <c r="G180" i="12" s="1"/>
  <c r="H179" i="12"/>
  <c r="F179" i="12"/>
  <c r="G179" i="12" s="1"/>
  <c r="H178" i="12"/>
  <c r="F178" i="12"/>
  <c r="G178" i="12" s="1"/>
  <c r="H177" i="12"/>
  <c r="F177" i="12"/>
  <c r="G177" i="12" s="1"/>
  <c r="H176" i="12"/>
  <c r="F176" i="12"/>
  <c r="G176" i="12" s="1"/>
  <c r="H175" i="12"/>
  <c r="F175" i="12"/>
  <c r="G175" i="12" s="1"/>
  <c r="H174" i="12"/>
  <c r="F174" i="12"/>
  <c r="G174" i="12" s="1"/>
  <c r="H173" i="12"/>
  <c r="F173" i="12"/>
  <c r="G173" i="12" s="1"/>
  <c r="H172" i="12"/>
  <c r="F172" i="12"/>
  <c r="G172" i="12" s="1"/>
  <c r="H171" i="12"/>
  <c r="F171" i="12"/>
  <c r="G171" i="12" s="1"/>
  <c r="H170" i="12"/>
  <c r="F170" i="12"/>
  <c r="G170" i="12" s="1"/>
  <c r="H169" i="12"/>
  <c r="F169" i="12"/>
  <c r="G169" i="12" s="1"/>
  <c r="H168" i="12"/>
  <c r="F168" i="12"/>
  <c r="G168" i="12" s="1"/>
  <c r="H167" i="12"/>
  <c r="F167" i="12"/>
  <c r="G167" i="12" s="1"/>
  <c r="H166" i="12"/>
  <c r="F166" i="12"/>
  <c r="G166" i="12" s="1"/>
  <c r="H165" i="12"/>
  <c r="F165" i="12"/>
  <c r="G165" i="12" s="1"/>
  <c r="H164" i="12"/>
  <c r="F164" i="12"/>
  <c r="G164" i="12" s="1"/>
  <c r="H163" i="12"/>
  <c r="F163" i="12"/>
  <c r="G163" i="12" s="1"/>
  <c r="H162" i="12"/>
  <c r="F162" i="12"/>
  <c r="G162" i="12" s="1"/>
  <c r="H133" i="12"/>
  <c r="F133" i="12"/>
  <c r="G133" i="12" s="1"/>
  <c r="H129" i="12"/>
  <c r="F129" i="12"/>
  <c r="G129" i="12" s="1"/>
  <c r="H128" i="12"/>
  <c r="F128" i="12"/>
  <c r="G128" i="12" s="1"/>
  <c r="H127" i="12"/>
  <c r="F127" i="12"/>
  <c r="G127" i="12" s="1"/>
  <c r="H126" i="12"/>
  <c r="F126" i="12"/>
  <c r="G126" i="12" s="1"/>
  <c r="H125" i="12"/>
  <c r="F125" i="12"/>
  <c r="G125" i="12" s="1"/>
  <c r="H124" i="12"/>
  <c r="F124" i="12"/>
  <c r="G124" i="12" s="1"/>
  <c r="H123" i="12"/>
  <c r="F123" i="12"/>
  <c r="G123" i="12" s="1"/>
  <c r="H122" i="12"/>
  <c r="F122" i="12"/>
  <c r="G122" i="12" s="1"/>
  <c r="H161" i="12"/>
  <c r="F161" i="12"/>
  <c r="G161" i="12" s="1"/>
  <c r="H160" i="12"/>
  <c r="F160" i="12"/>
  <c r="G160" i="12" s="1"/>
  <c r="H159" i="12"/>
  <c r="F159" i="12"/>
  <c r="G159" i="12" s="1"/>
  <c r="H158" i="12"/>
  <c r="F158" i="12"/>
  <c r="G158" i="12" s="1"/>
  <c r="H157" i="12"/>
  <c r="F157" i="12"/>
  <c r="G157" i="12" s="1"/>
  <c r="H156" i="12"/>
  <c r="F156" i="12"/>
  <c r="G156" i="12" s="1"/>
  <c r="H155" i="12"/>
  <c r="F155" i="12"/>
  <c r="G155" i="12" s="1"/>
  <c r="H154" i="12"/>
  <c r="F154" i="12"/>
  <c r="G154" i="12" s="1"/>
  <c r="H153" i="12"/>
  <c r="F153" i="12"/>
  <c r="G153" i="12" s="1"/>
  <c r="H148" i="12"/>
  <c r="F148" i="12"/>
  <c r="G148" i="12" s="1"/>
  <c r="H147" i="12"/>
  <c r="F147" i="12"/>
  <c r="G147" i="12" s="1"/>
  <c r="H146" i="12"/>
  <c r="F146" i="12"/>
  <c r="G146" i="12" s="1"/>
  <c r="H145" i="12"/>
  <c r="F145" i="12"/>
  <c r="G145" i="12" s="1"/>
  <c r="H144" i="12"/>
  <c r="F144" i="12"/>
  <c r="G144" i="12" s="1"/>
  <c r="H143" i="12"/>
  <c r="F143" i="12"/>
  <c r="G143" i="12" s="1"/>
  <c r="H142" i="12"/>
  <c r="F142" i="12"/>
  <c r="G142" i="12" s="1"/>
  <c r="H136" i="12"/>
  <c r="F136" i="12"/>
  <c r="H134" i="12"/>
  <c r="F134" i="12"/>
  <c r="G134" i="12" s="1"/>
  <c r="H121" i="12"/>
  <c r="F121" i="12"/>
  <c r="G121" i="12" s="1"/>
  <c r="H120" i="12"/>
  <c r="F120" i="12"/>
  <c r="G120" i="12" s="1"/>
  <c r="H119" i="12"/>
  <c r="F119" i="12"/>
  <c r="G119" i="12" s="1"/>
  <c r="H118" i="12"/>
  <c r="F118" i="12"/>
  <c r="G118" i="12" s="1"/>
  <c r="H117" i="12"/>
  <c r="F117" i="12"/>
  <c r="G117" i="12" s="1"/>
  <c r="H106" i="12"/>
  <c r="F106" i="12"/>
  <c r="G106" i="12" s="1"/>
  <c r="H102" i="12"/>
  <c r="F102" i="12"/>
  <c r="H74" i="12"/>
  <c r="L74" i="12" s="1"/>
  <c r="H73" i="12"/>
  <c r="H72" i="12"/>
  <c r="F72" i="12"/>
  <c r="G72" i="12" s="1"/>
  <c r="H71" i="12"/>
  <c r="F71" i="12"/>
  <c r="G71" i="12" s="1"/>
  <c r="H70" i="12"/>
  <c r="F70" i="12"/>
  <c r="G70" i="12" s="1"/>
  <c r="H69" i="12"/>
  <c r="F69" i="12"/>
  <c r="G69" i="12" s="1"/>
  <c r="H66" i="12"/>
  <c r="F66" i="12"/>
  <c r="G66" i="12" s="1"/>
  <c r="H65" i="12"/>
  <c r="F65" i="12"/>
  <c r="G65" i="12" s="1"/>
  <c r="H64" i="12"/>
  <c r="F64" i="12"/>
  <c r="G64" i="12" s="1"/>
  <c r="H60" i="12"/>
  <c r="F60" i="12"/>
  <c r="G60" i="12" s="1"/>
  <c r="H59" i="12"/>
  <c r="F59" i="12"/>
  <c r="G59" i="12" s="1"/>
  <c r="H58" i="12"/>
  <c r="F58" i="12"/>
  <c r="G58" i="12" s="1"/>
  <c r="H57" i="12"/>
  <c r="F57" i="12"/>
  <c r="H45" i="12"/>
  <c r="F45" i="12"/>
  <c r="G45" i="12" s="1"/>
  <c r="H53" i="12"/>
  <c r="F53" i="12"/>
  <c r="G53" i="12" s="1"/>
  <c r="H52" i="12"/>
  <c r="F52" i="12"/>
  <c r="G52" i="12" s="1"/>
  <c r="H51" i="12"/>
  <c r="F51" i="12"/>
  <c r="G51" i="12" s="1"/>
  <c r="H55" i="12"/>
  <c r="F55" i="12"/>
  <c r="G55" i="12" s="1"/>
  <c r="H50" i="12"/>
  <c r="F50" i="12"/>
  <c r="G50" i="12" s="1"/>
  <c r="H49" i="12"/>
  <c r="F49" i="12"/>
  <c r="H44" i="12"/>
  <c r="F44" i="12"/>
  <c r="G44" i="12" s="1"/>
  <c r="H43" i="12"/>
  <c r="F43" i="12"/>
  <c r="G43" i="12" s="1"/>
  <c r="H42" i="12"/>
  <c r="F42" i="12"/>
  <c r="G42" i="12" s="1"/>
  <c r="H41" i="12"/>
  <c r="F41" i="12"/>
  <c r="G41" i="12" s="1"/>
  <c r="H40" i="12"/>
  <c r="F40" i="12"/>
  <c r="H39" i="12"/>
  <c r="F39" i="12"/>
  <c r="G39" i="12" s="1"/>
  <c r="H38" i="12"/>
  <c r="F38" i="12"/>
  <c r="G38" i="12" s="1"/>
  <c r="H37" i="12"/>
  <c r="F37" i="12"/>
  <c r="G37" i="12" s="1"/>
  <c r="H48" i="12"/>
  <c r="F48" i="12"/>
  <c r="G48" i="12" s="1"/>
  <c r="H47" i="12"/>
  <c r="F47" i="12"/>
  <c r="G47" i="12" s="1"/>
  <c r="H36" i="12"/>
  <c r="F36" i="12"/>
  <c r="G36" i="12" s="1"/>
  <c r="H35" i="12"/>
  <c r="F35" i="12"/>
  <c r="G35" i="12" s="1"/>
  <c r="H34" i="12"/>
  <c r="F34" i="12"/>
  <c r="G34" i="12" s="1"/>
  <c r="H33" i="12"/>
  <c r="F33" i="12"/>
  <c r="G33" i="12" s="1"/>
  <c r="H32" i="12"/>
  <c r="F32" i="12"/>
  <c r="G32" i="12" s="1"/>
  <c r="H31" i="12"/>
  <c r="F31" i="12"/>
  <c r="H30" i="12"/>
  <c r="I30" i="12" s="1"/>
  <c r="F30" i="12"/>
  <c r="G30" i="12" s="1"/>
  <c r="H29" i="12"/>
  <c r="I29" i="12" s="1"/>
  <c r="F29" i="12"/>
  <c r="G29" i="12" s="1"/>
  <c r="H28" i="12"/>
  <c r="I28" i="12" s="1"/>
  <c r="F28" i="12"/>
  <c r="G28" i="12" s="1"/>
  <c r="H27" i="12"/>
  <c r="I27" i="12" s="1"/>
  <c r="F27" i="12"/>
  <c r="G27" i="12" s="1"/>
  <c r="H26" i="12"/>
  <c r="I26" i="12" s="1"/>
  <c r="F26" i="12"/>
  <c r="G26" i="12" s="1"/>
  <c r="H25" i="12"/>
  <c r="I25" i="12" s="1"/>
  <c r="F25" i="12"/>
  <c r="G25" i="12" s="1"/>
  <c r="H24" i="12"/>
  <c r="I24" i="12" s="1"/>
  <c r="F24" i="12"/>
  <c r="G24" i="12" s="1"/>
  <c r="H23" i="12"/>
  <c r="I23" i="12" s="1"/>
  <c r="F23" i="12"/>
  <c r="G23" i="12" s="1"/>
  <c r="H22" i="12"/>
  <c r="I22" i="12" s="1"/>
  <c r="F22" i="12"/>
  <c r="G22" i="12" s="1"/>
  <c r="H21" i="12"/>
  <c r="I21" i="12" s="1"/>
  <c r="F21" i="12"/>
  <c r="G21" i="12" s="1"/>
  <c r="H20" i="12"/>
  <c r="I20" i="12" s="1"/>
  <c r="F20" i="12"/>
  <c r="G20" i="12" s="1"/>
  <c r="H19" i="12"/>
  <c r="I19" i="12" s="1"/>
  <c r="F19" i="12"/>
  <c r="G19" i="12" s="1"/>
  <c r="H18" i="12"/>
  <c r="I18" i="12" s="1"/>
  <c r="F18" i="12"/>
  <c r="G18" i="12" s="1"/>
  <c r="H17" i="12"/>
  <c r="I17" i="12" s="1"/>
  <c r="F17" i="12"/>
  <c r="G17" i="12" s="1"/>
  <c r="H16" i="12"/>
  <c r="I16" i="12" s="1"/>
  <c r="F16" i="12"/>
  <c r="G16" i="12" s="1"/>
  <c r="H15" i="12"/>
  <c r="I15" i="12" s="1"/>
  <c r="F15" i="12"/>
  <c r="G15" i="12" s="1"/>
  <c r="H14" i="12"/>
  <c r="I14" i="12" s="1"/>
  <c r="F14" i="12"/>
  <c r="G14" i="12" s="1"/>
  <c r="H13" i="12"/>
  <c r="I13" i="12" s="1"/>
  <c r="F13" i="12"/>
  <c r="G13" i="12" s="1"/>
  <c r="H12" i="12"/>
  <c r="I12" i="12" s="1"/>
  <c r="F12" i="12"/>
  <c r="G12" i="12" s="1"/>
  <c r="H11" i="12"/>
  <c r="I11" i="12" s="1"/>
  <c r="F11" i="12"/>
  <c r="G11" i="12" s="1"/>
  <c r="H10" i="12"/>
  <c r="I10" i="12" s="1"/>
  <c r="F10" i="12"/>
  <c r="G10" i="12" s="1"/>
  <c r="H9" i="12"/>
  <c r="I9" i="12" s="1"/>
  <c r="F9" i="12"/>
  <c r="G9" i="12" s="1"/>
  <c r="H8" i="12"/>
  <c r="I8" i="12" s="1"/>
  <c r="F8" i="12"/>
  <c r="G8" i="12" s="1"/>
  <c r="H7" i="12"/>
  <c r="I7" i="12" s="1"/>
  <c r="F7" i="12"/>
  <c r="G7" i="12" s="1"/>
  <c r="H6" i="12"/>
  <c r="I6" i="12" s="1"/>
  <c r="F6" i="12"/>
  <c r="G6" i="12" s="1"/>
  <c r="L513" i="12" l="1"/>
  <c r="L547" i="12"/>
  <c r="L495" i="12"/>
  <c r="L506" i="12"/>
  <c r="F400" i="12"/>
  <c r="D400" i="12" s="1"/>
  <c r="H400" i="12"/>
  <c r="L269" i="12"/>
  <c r="L119" i="12"/>
  <c r="L71" i="12"/>
  <c r="L162" i="12"/>
  <c r="L178" i="12"/>
  <c r="L193" i="12"/>
  <c r="L210" i="12"/>
  <c r="L232" i="12"/>
  <c r="L258" i="12"/>
  <c r="L128" i="12"/>
  <c r="L175" i="12"/>
  <c r="L190" i="12"/>
  <c r="L206" i="12"/>
  <c r="L229" i="12"/>
  <c r="L254" i="12"/>
  <c r="L278" i="12"/>
  <c r="L117" i="12"/>
  <c r="L133" i="12"/>
  <c r="L177" i="12"/>
  <c r="L192" i="12"/>
  <c r="L209" i="12"/>
  <c r="L231" i="12"/>
  <c r="L257" i="12"/>
  <c r="L296" i="12"/>
  <c r="L268" i="12"/>
  <c r="L40" i="12"/>
  <c r="L151" i="12"/>
  <c r="L59" i="12"/>
  <c r="L293" i="12"/>
  <c r="L66" i="12"/>
  <c r="L294" i="12"/>
  <c r="L45" i="12"/>
  <c r="L167" i="12"/>
  <c r="L183" i="12"/>
  <c r="L197" i="12"/>
  <c r="L221" i="12"/>
  <c r="L237" i="12"/>
  <c r="L262" i="12"/>
  <c r="L272" i="12"/>
  <c r="L284" i="12"/>
  <c r="L154" i="12"/>
  <c r="L279" i="12"/>
  <c r="L295" i="12"/>
  <c r="L42" i="12"/>
  <c r="L63" i="12"/>
  <c r="L112" i="12"/>
  <c r="L146" i="12"/>
  <c r="L125" i="12"/>
  <c r="L172" i="12"/>
  <c r="L187" i="12"/>
  <c r="L202" i="12"/>
  <c r="L226" i="12"/>
  <c r="L242" i="12"/>
  <c r="L265" i="12"/>
  <c r="L276" i="12"/>
  <c r="L289" i="12"/>
  <c r="L134" i="12"/>
  <c r="L157" i="12"/>
  <c r="L164" i="12"/>
  <c r="L180" i="12"/>
  <c r="L195" i="12"/>
  <c r="L212" i="12"/>
  <c r="L234" i="12"/>
  <c r="L281" i="12"/>
  <c r="L298" i="12"/>
  <c r="L160" i="12"/>
  <c r="L55" i="12"/>
  <c r="L107" i="12"/>
  <c r="L141" i="12"/>
  <c r="L188" i="12"/>
  <c r="L204" i="12"/>
  <c r="L227" i="12"/>
  <c r="L243" i="12"/>
  <c r="L266" i="12"/>
  <c r="L277" i="12"/>
  <c r="L291" i="12"/>
  <c r="L120" i="12"/>
  <c r="L51" i="12"/>
  <c r="L72" i="12"/>
  <c r="L108" i="12"/>
  <c r="L142" i="12"/>
  <c r="L161" i="12"/>
  <c r="L168" i="12"/>
  <c r="L184" i="12"/>
  <c r="L198" i="12"/>
  <c r="L222" i="12"/>
  <c r="L238" i="12"/>
  <c r="L263" i="12"/>
  <c r="L285" i="12"/>
  <c r="L155" i="12"/>
  <c r="L38" i="12"/>
  <c r="L147" i="12"/>
  <c r="L65" i="12"/>
  <c r="L179" i="12"/>
  <c r="L194" i="12"/>
  <c r="L211" i="12"/>
  <c r="L233" i="12"/>
  <c r="L259" i="12"/>
  <c r="L270" i="12"/>
  <c r="L280" i="12"/>
  <c r="L297" i="12"/>
  <c r="L121" i="12"/>
  <c r="L163" i="12"/>
  <c r="L39" i="12"/>
  <c r="L58" i="12"/>
  <c r="L116" i="12"/>
  <c r="L148" i="12"/>
  <c r="L127" i="12"/>
  <c r="L174" i="12"/>
  <c r="L189" i="12"/>
  <c r="L205" i="12"/>
  <c r="L228" i="12"/>
  <c r="L252" i="12"/>
  <c r="L267" i="12"/>
  <c r="L292" i="12"/>
  <c r="L44" i="12"/>
  <c r="L156" i="12"/>
  <c r="L52" i="12"/>
  <c r="L109" i="12"/>
  <c r="L143" i="12"/>
  <c r="L122" i="12"/>
  <c r="L169" i="12"/>
  <c r="L185" i="12"/>
  <c r="L199" i="12"/>
  <c r="L223" i="12"/>
  <c r="L239" i="12"/>
  <c r="L273" i="12"/>
  <c r="L286" i="12"/>
  <c r="L64" i="12"/>
  <c r="L126" i="12"/>
  <c r="L57" i="12"/>
  <c r="L47" i="12"/>
  <c r="L53" i="12"/>
  <c r="L110" i="12"/>
  <c r="L144" i="12"/>
  <c r="L123" i="12"/>
  <c r="L170" i="12"/>
  <c r="L200" i="12"/>
  <c r="L224" i="12"/>
  <c r="L240" i="12"/>
  <c r="L264" i="12"/>
  <c r="L274" i="12"/>
  <c r="L287" i="12"/>
  <c r="L69" i="12"/>
  <c r="L102" i="12"/>
  <c r="L136" i="12"/>
  <c r="L158" i="12"/>
  <c r="L165" i="12"/>
  <c r="L181" i="12"/>
  <c r="L213" i="12"/>
  <c r="L235" i="12"/>
  <c r="L260" i="12"/>
  <c r="L271" i="12"/>
  <c r="L282" i="12"/>
  <c r="L43" i="12"/>
  <c r="L60" i="12"/>
  <c r="L118" i="12"/>
  <c r="L153" i="12"/>
  <c r="L129" i="12"/>
  <c r="L176" i="12"/>
  <c r="L191" i="12"/>
  <c r="L208" i="12"/>
  <c r="L230" i="12"/>
  <c r="L256" i="12"/>
  <c r="L173" i="12"/>
  <c r="L49" i="12"/>
  <c r="L48" i="12"/>
  <c r="L111" i="12"/>
  <c r="L145" i="12"/>
  <c r="L124" i="12"/>
  <c r="L171" i="12"/>
  <c r="L186" i="12"/>
  <c r="L201" i="12"/>
  <c r="L225" i="12"/>
  <c r="L241" i="12"/>
  <c r="L275" i="12"/>
  <c r="L288" i="12"/>
  <c r="L113" i="12"/>
  <c r="L41" i="12"/>
  <c r="L50" i="12"/>
  <c r="L70" i="12"/>
  <c r="L106" i="12"/>
  <c r="L139" i="12"/>
  <c r="L159" i="12"/>
  <c r="L166" i="12"/>
  <c r="L182" i="12"/>
  <c r="L196" i="12"/>
  <c r="L214" i="12"/>
  <c r="L236" i="12"/>
  <c r="L261" i="12"/>
  <c r="L283" i="12"/>
  <c r="I473" i="12"/>
  <c r="G298" i="12"/>
  <c r="D552" i="12"/>
  <c r="J552" i="12" s="1"/>
  <c r="F520" i="12"/>
  <c r="G520" i="12" s="1"/>
  <c r="G242" i="12"/>
  <c r="F507" i="12"/>
  <c r="G507" i="12" s="1"/>
  <c r="I492" i="12"/>
  <c r="I42" i="12"/>
  <c r="I157" i="12"/>
  <c r="I162" i="12"/>
  <c r="I178" i="12"/>
  <c r="I192" i="12"/>
  <c r="I230" i="12"/>
  <c r="I234" i="12"/>
  <c r="I259" i="12"/>
  <c r="I270" i="12"/>
  <c r="I280" i="12"/>
  <c r="I295" i="12"/>
  <c r="I318" i="12"/>
  <c r="I339" i="12"/>
  <c r="I355" i="12"/>
  <c r="I383" i="12"/>
  <c r="I402" i="12"/>
  <c r="I407" i="12"/>
  <c r="I463" i="12"/>
  <c r="I482" i="12"/>
  <c r="I521" i="12"/>
  <c r="I537" i="12"/>
  <c r="I360" i="12"/>
  <c r="I526" i="12"/>
  <c r="I33" i="12"/>
  <c r="I127" i="12"/>
  <c r="I173" i="12"/>
  <c r="I187" i="12"/>
  <c r="I201" i="12"/>
  <c r="I211" i="12"/>
  <c r="I238" i="12"/>
  <c r="I241" i="12"/>
  <c r="I267" i="12"/>
  <c r="I350" i="12"/>
  <c r="I378" i="12"/>
  <c r="I397" i="12"/>
  <c r="I411" i="12"/>
  <c r="I453" i="12"/>
  <c r="I458" i="12"/>
  <c r="I498" i="12"/>
  <c r="I516" i="12"/>
  <c r="I531" i="12"/>
  <c r="I182" i="12"/>
  <c r="I324" i="12"/>
  <c r="I58" i="12"/>
  <c r="I144" i="12"/>
  <c r="I206" i="12"/>
  <c r="I273" i="12"/>
  <c r="I286" i="12"/>
  <c r="I298" i="12"/>
  <c r="I345" i="12"/>
  <c r="I361" i="12"/>
  <c r="I373" i="12"/>
  <c r="I392" i="12"/>
  <c r="I408" i="12"/>
  <c r="I469" i="12"/>
  <c r="I507" i="12"/>
  <c r="I122" i="12"/>
  <c r="I183" i="12"/>
  <c r="I43" i="12"/>
  <c r="I65" i="12"/>
  <c r="I136" i="12"/>
  <c r="I158" i="12"/>
  <c r="I163" i="12"/>
  <c r="I179" i="12"/>
  <c r="I193" i="12"/>
  <c r="I214" i="12"/>
  <c r="I281" i="12"/>
  <c r="I296" i="12"/>
  <c r="I340" i="12"/>
  <c r="I356" i="12"/>
  <c r="I368" i="12"/>
  <c r="I384" i="12"/>
  <c r="I403" i="12"/>
  <c r="I423" i="12"/>
  <c r="I431" i="12"/>
  <c r="I464" i="12"/>
  <c r="I483" i="12"/>
  <c r="I522" i="12"/>
  <c r="I538" i="12"/>
  <c r="I546" i="12"/>
  <c r="I47" i="12"/>
  <c r="I161" i="12"/>
  <c r="I50" i="12"/>
  <c r="I69" i="12"/>
  <c r="I168" i="12"/>
  <c r="I197" i="12"/>
  <c r="I224" i="12"/>
  <c r="I34" i="12"/>
  <c r="I38" i="12"/>
  <c r="I45" i="12"/>
  <c r="I120" i="12"/>
  <c r="I153" i="12"/>
  <c r="I128" i="12"/>
  <c r="I174" i="12"/>
  <c r="I188" i="12"/>
  <c r="I202" i="12"/>
  <c r="I231" i="12"/>
  <c r="I239" i="12"/>
  <c r="I268" i="12"/>
  <c r="I335" i="12"/>
  <c r="I351" i="12"/>
  <c r="I379" i="12"/>
  <c r="I398" i="12"/>
  <c r="I412" i="12"/>
  <c r="I459" i="12"/>
  <c r="I478" i="12"/>
  <c r="I499" i="12"/>
  <c r="I517" i="12"/>
  <c r="I532" i="12"/>
  <c r="I57" i="12"/>
  <c r="I143" i="12"/>
  <c r="I145" i="12"/>
  <c r="I169" i="12"/>
  <c r="I225" i="12"/>
  <c r="I274" i="12"/>
  <c r="I44" i="12"/>
  <c r="I66" i="12"/>
  <c r="I159" i="12"/>
  <c r="I164" i="12"/>
  <c r="I180" i="12"/>
  <c r="I194" i="12"/>
  <c r="I235" i="12"/>
  <c r="I271" i="12"/>
  <c r="I282" i="12"/>
  <c r="I321" i="12"/>
  <c r="I341" i="12"/>
  <c r="I357" i="12"/>
  <c r="I369" i="12"/>
  <c r="I385" i="12"/>
  <c r="I424" i="12"/>
  <c r="I432" i="12"/>
  <c r="I465" i="12"/>
  <c r="I486" i="12"/>
  <c r="I505" i="12"/>
  <c r="I523" i="12"/>
  <c r="I389" i="12"/>
  <c r="I48" i="12"/>
  <c r="I184" i="12"/>
  <c r="I433" i="12"/>
  <c r="I35" i="12"/>
  <c r="I39" i="12"/>
  <c r="I129" i="12"/>
  <c r="I175" i="12"/>
  <c r="I189" i="12"/>
  <c r="I228" i="12"/>
  <c r="I314" i="12"/>
  <c r="I336" i="12"/>
  <c r="I352" i="12"/>
  <c r="I363" i="12"/>
  <c r="I380" i="12"/>
  <c r="I399" i="12"/>
  <c r="I413" i="12"/>
  <c r="I460" i="12"/>
  <c r="I479" i="12"/>
  <c r="I500" i="12"/>
  <c r="I518" i="12"/>
  <c r="I543" i="12"/>
  <c r="I287" i="12"/>
  <c r="I51" i="12"/>
  <c r="I60" i="12"/>
  <c r="I71" i="12"/>
  <c r="I117" i="12"/>
  <c r="I146" i="12"/>
  <c r="I124" i="12"/>
  <c r="I170" i="12"/>
  <c r="I185" i="12"/>
  <c r="I199" i="12"/>
  <c r="I209" i="12"/>
  <c r="I226" i="12"/>
  <c r="I275" i="12"/>
  <c r="I288" i="12"/>
  <c r="I347" i="12"/>
  <c r="I394" i="12"/>
  <c r="I428" i="12"/>
  <c r="I455" i="12"/>
  <c r="I471" i="12"/>
  <c r="I513" i="12"/>
  <c r="I223" i="12"/>
  <c r="I55" i="12"/>
  <c r="I123" i="12"/>
  <c r="I427" i="12"/>
  <c r="I470" i="12"/>
  <c r="I160" i="12"/>
  <c r="I165" i="12"/>
  <c r="I195" i="12"/>
  <c r="I221" i="12"/>
  <c r="I232" i="12"/>
  <c r="I261" i="12"/>
  <c r="I283" i="12"/>
  <c r="I342" i="12"/>
  <c r="I358" i="12"/>
  <c r="I370" i="12"/>
  <c r="I386" i="12"/>
  <c r="I466" i="12"/>
  <c r="I487" i="12"/>
  <c r="I506" i="12"/>
  <c r="I524" i="12"/>
  <c r="I547" i="12"/>
  <c r="I297" i="12"/>
  <c r="I344" i="12"/>
  <c r="I291" i="12"/>
  <c r="I40" i="12"/>
  <c r="I106" i="12"/>
  <c r="I121" i="12"/>
  <c r="I155" i="12"/>
  <c r="I176" i="12"/>
  <c r="I190" i="12"/>
  <c r="I212" i="12"/>
  <c r="I229" i="12"/>
  <c r="I243" i="12"/>
  <c r="I257" i="12"/>
  <c r="I269" i="12"/>
  <c r="I279" i="12"/>
  <c r="I293" i="12"/>
  <c r="I315" i="12"/>
  <c r="I337" i="12"/>
  <c r="I353" i="12"/>
  <c r="I365" i="12"/>
  <c r="I381" i="12"/>
  <c r="I414" i="12"/>
  <c r="I461" i="12"/>
  <c r="I480" i="12"/>
  <c r="I501" i="12"/>
  <c r="I519" i="12"/>
  <c r="I535" i="12"/>
  <c r="I372" i="12"/>
  <c r="I468" i="12"/>
  <c r="E552" i="12"/>
  <c r="I374" i="12"/>
  <c r="I31" i="12"/>
  <c r="I52" i="12"/>
  <c r="I72" i="12"/>
  <c r="I74" i="12"/>
  <c r="I118" i="12"/>
  <c r="I147" i="12"/>
  <c r="I125" i="12"/>
  <c r="I171" i="12"/>
  <c r="I210" i="12"/>
  <c r="I227" i="12"/>
  <c r="I276" i="12"/>
  <c r="I289" i="12"/>
  <c r="I310" i="12"/>
  <c r="I333" i="12"/>
  <c r="I348" i="12"/>
  <c r="I376" i="12"/>
  <c r="I395" i="12"/>
  <c r="I410" i="12"/>
  <c r="I429" i="12"/>
  <c r="I434" i="12"/>
  <c r="I456" i="12"/>
  <c r="I494" i="12"/>
  <c r="I514" i="12"/>
  <c r="I167" i="12"/>
  <c r="I240" i="12"/>
  <c r="I263" i="12"/>
  <c r="I49" i="12"/>
  <c r="I166" i="12"/>
  <c r="I181" i="12"/>
  <c r="I222" i="12"/>
  <c r="I233" i="12"/>
  <c r="I236" i="12"/>
  <c r="I262" i="12"/>
  <c r="I272" i="12"/>
  <c r="I284" i="12"/>
  <c r="I343" i="12"/>
  <c r="I359" i="12"/>
  <c r="I387" i="12"/>
  <c r="I425" i="12"/>
  <c r="I467" i="12"/>
  <c r="I488" i="12"/>
  <c r="I525" i="12"/>
  <c r="I196" i="12"/>
  <c r="I205" i="12"/>
  <c r="I59" i="12"/>
  <c r="I208" i="12"/>
  <c r="I346" i="12"/>
  <c r="I36" i="12"/>
  <c r="I41" i="12"/>
  <c r="I64" i="12"/>
  <c r="I73" i="12"/>
  <c r="I134" i="12"/>
  <c r="I156" i="12"/>
  <c r="I133" i="12"/>
  <c r="I177" i="12"/>
  <c r="I191" i="12"/>
  <c r="I213" i="12"/>
  <c r="I294" i="12"/>
  <c r="I316" i="12"/>
  <c r="I338" i="12"/>
  <c r="I354" i="12"/>
  <c r="I366" i="12"/>
  <c r="I382" i="12"/>
  <c r="I406" i="12"/>
  <c r="I462" i="12"/>
  <c r="I481" i="12"/>
  <c r="I502" i="12"/>
  <c r="I520" i="12"/>
  <c r="I536" i="12"/>
  <c r="I70" i="12"/>
  <c r="I198" i="12"/>
  <c r="I362" i="12"/>
  <c r="I32" i="12"/>
  <c r="I53" i="12"/>
  <c r="I102" i="12"/>
  <c r="I119" i="12"/>
  <c r="I148" i="12"/>
  <c r="I126" i="12"/>
  <c r="I172" i="12"/>
  <c r="I186" i="12"/>
  <c r="I200" i="12"/>
  <c r="I204" i="12"/>
  <c r="I252" i="12"/>
  <c r="I266" i="12"/>
  <c r="I277" i="12"/>
  <c r="I311" i="12"/>
  <c r="I334" i="12"/>
  <c r="I349" i="12"/>
  <c r="I377" i="12"/>
  <c r="I430" i="12"/>
  <c r="I452" i="12"/>
  <c r="I495" i="12"/>
  <c r="I515" i="12"/>
  <c r="I530" i="12"/>
  <c r="G102" i="12"/>
  <c r="G259" i="12"/>
  <c r="G279" i="12"/>
  <c r="I265" i="12"/>
  <c r="G429" i="12"/>
  <c r="G356" i="12"/>
  <c r="I312" i="12"/>
  <c r="I260" i="12"/>
  <c r="I309" i="12"/>
  <c r="G40" i="12"/>
  <c r="G57" i="12"/>
  <c r="G267" i="12"/>
  <c r="G458" i="12"/>
  <c r="G225" i="12"/>
  <c r="G296" i="12"/>
  <c r="I396" i="12"/>
  <c r="G284" i="12"/>
  <c r="I367" i="12"/>
  <c r="I426" i="12"/>
  <c r="I256" i="12"/>
  <c r="I258" i="12"/>
  <c r="I278" i="12"/>
  <c r="G293" i="12"/>
  <c r="G240" i="12"/>
  <c r="I529" i="12"/>
  <c r="G552" i="12"/>
  <c r="E557" i="12"/>
  <c r="G257" i="12"/>
  <c r="I242" i="12"/>
  <c r="I37" i="12"/>
  <c r="G31" i="12"/>
  <c r="G187" i="12"/>
  <c r="G136" i="12"/>
  <c r="G49" i="12"/>
  <c r="G351" i="12"/>
  <c r="G224" i="12"/>
  <c r="I264" i="12"/>
  <c r="G280" i="12"/>
  <c r="G499" i="12"/>
  <c r="G238" i="12"/>
  <c r="G277" i="12"/>
  <c r="I323" i="12"/>
  <c r="I292" i="12"/>
  <c r="G274" i="12"/>
  <c r="I409" i="12"/>
  <c r="I371" i="12"/>
  <c r="I457" i="12"/>
  <c r="G466" i="12"/>
  <c r="G337" i="12"/>
  <c r="G532" i="12"/>
  <c r="G494" i="12"/>
  <c r="I552" i="12"/>
  <c r="E400" i="12" l="1"/>
  <c r="L400" i="12"/>
  <c r="J400" i="12"/>
  <c r="L520" i="12"/>
  <c r="F73" i="12"/>
  <c r="L73" i="12" s="1"/>
  <c r="E541" i="12"/>
  <c r="G73" i="12" l="1"/>
  <c r="K59" i="2"/>
  <c r="K58" i="2"/>
  <c r="K57" i="2"/>
  <c r="D541" i="12" l="1"/>
  <c r="J541" i="12" s="1"/>
  <c r="P29" i="12" l="1"/>
  <c r="D9" i="20"/>
  <c r="J9" i="20" l="1"/>
  <c r="J11" i="20" s="1"/>
  <c r="J13" i="20" s="1"/>
  <c r="J41" i="20" s="1"/>
  <c r="D11" i="20"/>
  <c r="D13" i="20" s="1"/>
  <c r="D15" i="20" s="1"/>
  <c r="D17" i="20" s="1"/>
  <c r="J15" i="20" l="1"/>
  <c r="J17" i="20" s="1"/>
  <c r="J39" i="20" s="1"/>
  <c r="J23" i="20"/>
  <c r="D23" i="20"/>
  <c r="D39" i="20"/>
  <c r="D41" i="20"/>
  <c r="J27" i="20" l="1"/>
  <c r="A471" i="12" s="1"/>
  <c r="O471" i="12" s="1"/>
  <c r="J51" i="20"/>
  <c r="A152" i="12"/>
  <c r="A151" i="12"/>
  <c r="A145" i="12"/>
  <c r="A150" i="12"/>
  <c r="A149" i="12"/>
  <c r="A148" i="12"/>
  <c r="A147" i="12"/>
  <c r="A146" i="12"/>
  <c r="A144" i="12"/>
  <c r="A143" i="12"/>
  <c r="A492" i="12"/>
  <c r="O492" i="12" s="1"/>
  <c r="A472" i="12"/>
  <c r="O472" i="12" s="1"/>
  <c r="A468" i="12"/>
  <c r="O468" i="12" s="1"/>
  <c r="A491" i="12"/>
  <c r="O491" i="12" s="1"/>
  <c r="A490" i="12"/>
  <c r="O490" i="12" s="1"/>
  <c r="A470" i="12"/>
  <c r="O470" i="12" s="1"/>
  <c r="A469" i="12"/>
  <c r="O469" i="12" s="1"/>
  <c r="A489" i="12"/>
  <c r="O489" i="12" s="1"/>
  <c r="A488" i="12"/>
  <c r="O488" i="12" s="1"/>
  <c r="A484" i="12"/>
  <c r="O484" i="12" s="1"/>
  <c r="A467" i="12"/>
  <c r="O467" i="12" s="1"/>
  <c r="A483" i="12"/>
  <c r="O483" i="12" s="1"/>
  <c r="A466" i="12"/>
  <c r="O466" i="12" s="1"/>
  <c r="A482" i="12"/>
  <c r="O482" i="12" s="1"/>
  <c r="A481" i="12"/>
  <c r="O481" i="12" s="1"/>
  <c r="A480" i="12"/>
  <c r="O480" i="12" s="1"/>
  <c r="A479" i="12"/>
  <c r="O479" i="12" s="1"/>
  <c r="A478" i="12"/>
  <c r="O478" i="12" s="1"/>
  <c r="A477" i="12"/>
  <c r="O477" i="12" s="1"/>
  <c r="A475" i="12"/>
  <c r="O475" i="12" s="1"/>
  <c r="A474" i="12"/>
  <c r="O474" i="12" s="1"/>
  <c r="A473" i="12"/>
  <c r="O473" i="12" s="1"/>
  <c r="J53" i="20"/>
  <c r="D51" i="20"/>
  <c r="D53" i="20" s="1"/>
  <c r="D27" i="20"/>
  <c r="D62" i="20" s="1"/>
  <c r="A153" i="12" l="1"/>
  <c r="AO483" i="12"/>
  <c r="AO467" i="12"/>
  <c r="AO473" i="12"/>
  <c r="AO474" i="12"/>
  <c r="AO471" i="12"/>
  <c r="AO491" i="12"/>
  <c r="AO489" i="12"/>
  <c r="AO468" i="12"/>
  <c r="AO488" i="12"/>
  <c r="AO472" i="12"/>
  <c r="AO475" i="12"/>
  <c r="AO492" i="12"/>
  <c r="O151" i="12"/>
  <c r="AO151" i="12"/>
  <c r="AO484" i="12"/>
  <c r="AO469" i="12"/>
  <c r="AO490" i="12"/>
  <c r="AO478" i="12"/>
  <c r="AO480" i="12"/>
  <c r="AO482" i="12"/>
  <c r="AO150" i="12"/>
  <c r="O150" i="12"/>
  <c r="AO470" i="12"/>
  <c r="AO477" i="12"/>
  <c r="AO479" i="12"/>
  <c r="AO481" i="12"/>
  <c r="AO466" i="12"/>
  <c r="AO149" i="12"/>
  <c r="O149" i="12"/>
  <c r="J29" i="20"/>
  <c r="J100" i="20" s="1"/>
  <c r="J35" i="20"/>
  <c r="J76" i="20" a="1"/>
  <c r="J76" i="20" s="1"/>
  <c r="J77" i="20" a="1"/>
  <c r="J77" i="20" s="1"/>
  <c r="J80" i="20" a="1"/>
  <c r="J80" i="20" s="1"/>
  <c r="D76" i="20" a="1"/>
  <c r="D76" i="20" s="1"/>
  <c r="D35" i="20"/>
  <c r="D80" i="20" a="1"/>
  <c r="D80" i="20" s="1"/>
  <c r="D29" i="20"/>
  <c r="D100" i="20" s="1"/>
  <c r="D77" i="20" a="1"/>
  <c r="D77" i="20" s="1"/>
  <c r="O143" i="12" l="1"/>
  <c r="AO143" i="12"/>
  <c r="AO146" i="12"/>
  <c r="O146" i="12"/>
  <c r="AO147" i="12"/>
  <c r="O147" i="12"/>
  <c r="O144" i="12"/>
  <c r="AO144" i="12"/>
  <c r="O152" i="12"/>
  <c r="AO152" i="12"/>
  <c r="O153" i="12"/>
  <c r="AO153" i="12"/>
  <c r="AO148" i="12"/>
  <c r="O148" i="12"/>
  <c r="AO145" i="12"/>
  <c r="O145" i="12"/>
  <c r="J101" i="20"/>
  <c r="J98" i="20"/>
  <c r="J103" i="20"/>
  <c r="J34" i="20"/>
  <c r="J75" i="20" a="1"/>
  <c r="J75" i="20" s="1"/>
  <c r="J78" i="20" s="1"/>
  <c r="J79" i="20"/>
  <c r="J99" i="20"/>
  <c r="D79" i="20"/>
  <c r="D34" i="20"/>
  <c r="D103" i="20"/>
  <c r="D99" i="20"/>
  <c r="D75" i="20" a="1"/>
  <c r="D75" i="20" s="1"/>
  <c r="D78" i="20" s="1"/>
  <c r="D98" i="20"/>
  <c r="D101" i="20"/>
  <c r="J69" i="2"/>
  <c r="J85" i="20" l="1"/>
  <c r="J89" i="20" s="1"/>
  <c r="J94" i="20"/>
  <c r="D85" i="20"/>
  <c r="D89" i="20" s="1"/>
  <c r="D94" i="20"/>
  <c r="D81" i="20" s="1" a="1"/>
  <c r="D81" i="20" s="1"/>
  <c r="C13" i="2"/>
  <c r="J67" i="2"/>
  <c r="J68" i="2" s="1"/>
  <c r="C72" i="2"/>
  <c r="C71" i="2"/>
  <c r="C70" i="2"/>
  <c r="C69" i="2"/>
  <c r="C68" i="2"/>
  <c r="C67" i="2"/>
  <c r="K17" i="2"/>
  <c r="G416" i="13"/>
  <c r="K60" i="2"/>
  <c r="K61" i="2"/>
  <c r="K62" i="2"/>
  <c r="K65" i="2"/>
  <c r="J81" i="20" l="1" a="1"/>
  <c r="J81" i="20" s="1"/>
  <c r="J95" i="20" s="1"/>
  <c r="J82" i="20" s="1" a="1"/>
  <c r="J82" i="20" s="1"/>
  <c r="J96" i="20" s="1"/>
  <c r="J83" i="20" s="1" a="1"/>
  <c r="J83" i="20" s="1"/>
  <c r="J88" i="20" s="1"/>
  <c r="J91" i="20" s="1"/>
  <c r="J92" i="20" s="1"/>
  <c r="J84" i="20" s="1" a="1"/>
  <c r="J84" i="20" s="1"/>
  <c r="J33" i="20" s="1"/>
  <c r="J31" i="20" s="1"/>
  <c r="C14" i="2"/>
  <c r="C12" i="2"/>
  <c r="C15" i="2"/>
  <c r="B15" i="2" s="1"/>
  <c r="J97" i="20" l="1"/>
  <c r="A461" i="12"/>
  <c r="O461" i="12" s="1"/>
  <c r="A460" i="12"/>
  <c r="O460" i="12" s="1"/>
  <c r="A459" i="12"/>
  <c r="O459" i="12" s="1"/>
  <c r="A458" i="12"/>
  <c r="O458" i="12" s="1"/>
  <c r="A457" i="12"/>
  <c r="O457" i="12" s="1"/>
  <c r="A456" i="12"/>
  <c r="O456" i="12" s="1"/>
  <c r="J45" i="20"/>
  <c r="J102" i="20"/>
  <c r="AO459" i="12" l="1"/>
  <c r="AO457" i="12"/>
  <c r="AO460" i="12"/>
  <c r="AO456" i="12"/>
  <c r="AO458" i="12"/>
  <c r="AO461" i="12"/>
  <c r="J47" i="20"/>
  <c r="J48" i="20"/>
  <c r="J43" i="20"/>
  <c r="I400" i="12" l="1"/>
  <c r="G400" i="12"/>
  <c r="A505" i="12" l="1"/>
  <c r="O505" i="12" s="1"/>
  <c r="C17" i="2"/>
  <c r="A507" i="12" l="1"/>
  <c r="O507" i="12" s="1"/>
  <c r="E554" i="12"/>
  <c r="H554" i="12" s="1"/>
  <c r="D554" i="12"/>
  <c r="D544" i="12"/>
  <c r="E544" i="12"/>
  <c r="H544" i="12" s="1"/>
  <c r="AO505" i="12"/>
  <c r="BM10" i="12"/>
  <c r="BL9" i="12"/>
  <c r="BL10" i="12"/>
  <c r="BL6" i="12"/>
  <c r="BM9" i="12"/>
  <c r="BM8" i="12"/>
  <c r="BL8" i="12"/>
  <c r="BM6" i="12"/>
  <c r="BM7" i="12"/>
  <c r="BL7" i="12"/>
  <c r="P30" i="12"/>
  <c r="P33" i="12"/>
  <c r="P31" i="12"/>
  <c r="P32" i="12"/>
  <c r="F550" i="12"/>
  <c r="H550" i="12"/>
  <c r="F510" i="12"/>
  <c r="D510" i="12" s="1"/>
  <c r="A170" i="12"/>
  <c r="O170" i="12" s="1"/>
  <c r="A168" i="12"/>
  <c r="O168" i="12" s="1"/>
  <c r="A169" i="12"/>
  <c r="O169" i="12" s="1"/>
  <c r="A167" i="12"/>
  <c r="O167" i="12" s="1"/>
  <c r="A166" i="12"/>
  <c r="O166" i="12" s="1"/>
  <c r="A165" i="12"/>
  <c r="O165" i="12" s="1"/>
  <c r="A163" i="12"/>
  <c r="O163" i="12" s="1"/>
  <c r="A164" i="12"/>
  <c r="O164" i="12" s="1"/>
  <c r="F509" i="12"/>
  <c r="D509" i="12" s="1"/>
  <c r="BM5" i="12"/>
  <c r="BL4" i="12"/>
  <c r="BM4" i="12"/>
  <c r="H509" i="12"/>
  <c r="BL5" i="12"/>
  <c r="H551" i="12"/>
  <c r="H510" i="12"/>
  <c r="F551" i="12"/>
  <c r="J554" i="12" l="1"/>
  <c r="L510" i="12"/>
  <c r="I544" i="12"/>
  <c r="J544" i="12"/>
  <c r="E509" i="12"/>
  <c r="J509" i="12" s="1"/>
  <c r="L509" i="12"/>
  <c r="L551" i="12"/>
  <c r="L550" i="12"/>
  <c r="AO507" i="12"/>
  <c r="E510" i="12"/>
  <c r="J510" i="12" s="1"/>
  <c r="F554" i="12"/>
  <c r="G554" i="12" s="1"/>
  <c r="I554" i="12"/>
  <c r="AO164" i="12"/>
  <c r="AO166" i="12"/>
  <c r="AO165" i="12"/>
  <c r="AO169" i="12"/>
  <c r="AO167" i="12"/>
  <c r="AO168" i="12"/>
  <c r="AO170" i="12"/>
  <c r="AO163" i="12"/>
  <c r="BM12" i="12"/>
  <c r="BO14" i="12" s="1"/>
  <c r="BL12" i="12"/>
  <c r="BN14" i="12" s="1"/>
  <c r="G510" i="12"/>
  <c r="A408" i="12"/>
  <c r="O408" i="12" s="1"/>
  <c r="A178" i="12"/>
  <c r="O178" i="12" s="1"/>
  <c r="A177" i="12"/>
  <c r="O177" i="12" s="1"/>
  <c r="A176" i="12"/>
  <c r="O176" i="12" s="1"/>
  <c r="G550" i="12"/>
  <c r="F553" i="12"/>
  <c r="D550" i="12"/>
  <c r="I509" i="12"/>
  <c r="D551" i="12"/>
  <c r="G551" i="12"/>
  <c r="H553" i="12"/>
  <c r="E550" i="12"/>
  <c r="I550" i="12"/>
  <c r="I510" i="12"/>
  <c r="G509" i="12"/>
  <c r="E551" i="12"/>
  <c r="I551" i="12"/>
  <c r="Z501" i="13" a="1"/>
  <c r="L554" i="12" l="1"/>
  <c r="L553" i="12"/>
  <c r="J551" i="12"/>
  <c r="J550" i="12"/>
  <c r="AO408" i="12"/>
  <c r="AO177" i="12"/>
  <c r="AO176" i="12"/>
  <c r="AO178" i="12"/>
  <c r="BM18" i="12"/>
  <c r="Z501" i="13"/>
  <c r="Y504" i="13"/>
  <c r="Y502" i="13"/>
  <c r="Y511" i="13"/>
  <c r="Y513" i="13"/>
  <c r="Y516" i="13"/>
  <c r="Y515" i="13"/>
  <c r="Y514" i="13"/>
  <c r="Y505" i="13"/>
  <c r="Y503" i="13"/>
  <c r="Y512" i="13"/>
  <c r="Y510" i="13"/>
  <c r="Y508" i="13"/>
  <c r="Y506" i="13"/>
  <c r="Y507" i="13"/>
  <c r="Y509" i="13"/>
  <c r="A403" i="12"/>
  <c r="O403" i="12" s="1"/>
  <c r="A402" i="12"/>
  <c r="O402" i="12" s="1"/>
  <c r="A179" i="12"/>
  <c r="O179" i="12" s="1"/>
  <c r="D553" i="12"/>
  <c r="G553" i="12"/>
  <c r="I553" i="12"/>
  <c r="E553" i="12"/>
  <c r="Z514" i="13" a="1"/>
  <c r="Z509" i="13" a="1"/>
  <c r="Z513" i="13" a="1"/>
  <c r="Z512" i="13" a="1"/>
  <c r="Z506" i="13" a="1"/>
  <c r="Z505" i="13" a="1"/>
  <c r="Z516" i="13" a="1"/>
  <c r="Z515" i="13" a="1"/>
  <c r="Z507" i="13" a="1"/>
  <c r="Z510" i="13" a="1"/>
  <c r="Z502" i="13" a="1"/>
  <c r="Z508" i="13" a="1"/>
  <c r="Z503" i="13" a="1"/>
  <c r="Z511" i="13" a="1"/>
  <c r="Z504" i="13" a="1"/>
  <c r="J553" i="12" l="1"/>
  <c r="AO403" i="12"/>
  <c r="AO402" i="12"/>
  <c r="AO179" i="12"/>
  <c r="AA501" i="13"/>
  <c r="Z510" i="13"/>
  <c r="AA510" i="13" s="1"/>
  <c r="AB510" i="13" s="1"/>
  <c r="W526" i="13" s="1"/>
  <c r="Z512" i="13"/>
  <c r="AA512" i="13" s="1"/>
  <c r="AB512" i="13" s="1"/>
  <c r="W528" i="13" s="1"/>
  <c r="Z503" i="13"/>
  <c r="AA503" i="13" s="1"/>
  <c r="AB503" i="13" s="1"/>
  <c r="W519" i="13" s="1"/>
  <c r="Z509" i="13"/>
  <c r="AA509" i="13" s="1"/>
  <c r="AB509" i="13" s="1"/>
  <c r="W525" i="13" s="1"/>
  <c r="Z505" i="13"/>
  <c r="AA505" i="13" s="1"/>
  <c r="AB505" i="13" s="1"/>
  <c r="W521" i="13" s="1"/>
  <c r="Z514" i="13"/>
  <c r="AA514" i="13" s="1"/>
  <c r="AB514" i="13" s="1"/>
  <c r="W530" i="13" s="1"/>
  <c r="Z506" i="13"/>
  <c r="AA506" i="13" s="1"/>
  <c r="AB506" i="13" s="1"/>
  <c r="W522" i="13" s="1"/>
  <c r="Z515" i="13"/>
  <c r="AA515" i="13" s="1"/>
  <c r="AB515" i="13" s="1"/>
  <c r="W531" i="13" s="1"/>
  <c r="Z508" i="13"/>
  <c r="AA508" i="13" s="1"/>
  <c r="AB508" i="13" s="1"/>
  <c r="W524" i="13" s="1"/>
  <c r="Z516" i="13"/>
  <c r="AA516" i="13" s="1"/>
  <c r="AB516" i="13" s="1"/>
  <c r="W532" i="13" s="1"/>
  <c r="Z513" i="13"/>
  <c r="AA513" i="13" s="1"/>
  <c r="AB513" i="13" s="1"/>
  <c r="W529" i="13" s="1"/>
  <c r="Z507" i="13"/>
  <c r="AA507" i="13" s="1"/>
  <c r="AB507" i="13" s="1"/>
  <c r="W523" i="13" s="1"/>
  <c r="Z511" i="13"/>
  <c r="AA511" i="13" s="1"/>
  <c r="AB511" i="13" s="1"/>
  <c r="W527" i="13" s="1"/>
  <c r="Z502" i="13"/>
  <c r="AA502" i="13" s="1"/>
  <c r="AB502" i="13" s="1"/>
  <c r="Z504" i="13"/>
  <c r="AA504" i="13" s="1"/>
  <c r="AB504" i="13" s="1"/>
  <c r="W520" i="13" s="1"/>
  <c r="W518" i="13" l="1"/>
  <c r="AB500" i="13" a="1"/>
  <c r="AB500" i="13" s="1"/>
  <c r="W502" i="13" s="1"/>
  <c r="AB501" i="13"/>
  <c r="W517" i="13" s="1"/>
  <c r="W509" i="13" l="1"/>
  <c r="W512" i="13"/>
  <c r="W506" i="13"/>
  <c r="W510" i="13"/>
  <c r="W503" i="13"/>
  <c r="W505" i="13"/>
  <c r="W511" i="13"/>
  <c r="W514" i="13"/>
  <c r="W516" i="13"/>
  <c r="W513" i="13"/>
  <c r="W515" i="13"/>
  <c r="W507" i="13"/>
  <c r="AE495" i="13"/>
  <c r="AE498" i="13"/>
  <c r="AE496" i="13"/>
  <c r="AE499" i="13"/>
  <c r="AE497" i="13"/>
  <c r="W501" i="13"/>
  <c r="W508" i="13"/>
  <c r="W504" i="13"/>
  <c r="CB489" i="13" l="1"/>
  <c r="CR489" i="13"/>
  <c r="DH489" i="13"/>
  <c r="DX489" i="13"/>
  <c r="CF490" i="13"/>
  <c r="CV490" i="13"/>
  <c r="DL490" i="13"/>
  <c r="BT491" i="13"/>
  <c r="CJ491" i="13"/>
  <c r="CZ491" i="13"/>
  <c r="DP491" i="13"/>
  <c r="CO490" i="13"/>
  <c r="CT491" i="13"/>
  <c r="CU491" i="13"/>
  <c r="BX489" i="13"/>
  <c r="BY489" i="13"/>
  <c r="CC489" i="13"/>
  <c r="CS489" i="13"/>
  <c r="DI489" i="13"/>
  <c r="DY489" i="13"/>
  <c r="CG490" i="13"/>
  <c r="CW490" i="13"/>
  <c r="DM490" i="13"/>
  <c r="BU491" i="13"/>
  <c r="CK491" i="13"/>
  <c r="DA491" i="13"/>
  <c r="DQ491" i="13"/>
  <c r="DU490" i="13"/>
  <c r="CL489" i="13"/>
  <c r="CM489" i="13"/>
  <c r="DD489" i="13"/>
  <c r="CO489" i="13"/>
  <c r="CD489" i="13"/>
  <c r="CT489" i="13"/>
  <c r="DJ489" i="13"/>
  <c r="DZ489" i="13"/>
  <c r="CH490" i="13"/>
  <c r="CX490" i="13"/>
  <c r="DN490" i="13"/>
  <c r="BV491" i="13"/>
  <c r="CL491" i="13"/>
  <c r="DB491" i="13"/>
  <c r="DR491" i="13"/>
  <c r="DA489" i="13"/>
  <c r="BY490" i="13"/>
  <c r="DI491" i="13"/>
  <c r="DR489" i="13"/>
  <c r="CD491" i="13"/>
  <c r="BW489" i="13"/>
  <c r="CA490" i="13"/>
  <c r="DW490" i="13"/>
  <c r="DT489" i="13"/>
  <c r="DH490" i="13"/>
  <c r="CF491" i="13"/>
  <c r="DE489" i="13"/>
  <c r="CC490" i="13"/>
  <c r="CG491" i="13"/>
  <c r="CE489" i="13"/>
  <c r="CU489" i="13"/>
  <c r="DK489" i="13"/>
  <c r="EA489" i="13"/>
  <c r="CI490" i="13"/>
  <c r="CY490" i="13"/>
  <c r="DO490" i="13"/>
  <c r="BW491" i="13"/>
  <c r="CM491" i="13"/>
  <c r="DC491" i="13"/>
  <c r="DS491" i="13"/>
  <c r="CS491" i="13"/>
  <c r="BZ490" i="13"/>
  <c r="EA491" i="13"/>
  <c r="DM491" i="13"/>
  <c r="CF489" i="13"/>
  <c r="CV489" i="13"/>
  <c r="DL489" i="13"/>
  <c r="BT490" i="13"/>
  <c r="CJ490" i="13"/>
  <c r="CZ490" i="13"/>
  <c r="DP490" i="13"/>
  <c r="BX491" i="13"/>
  <c r="CN491" i="13"/>
  <c r="DD491" i="13"/>
  <c r="DT491" i="13"/>
  <c r="CK489" i="13"/>
  <c r="DF490" i="13"/>
  <c r="CW491" i="13"/>
  <c r="CG489" i="13"/>
  <c r="CW489" i="13"/>
  <c r="DM489" i="13"/>
  <c r="BU490" i="13"/>
  <c r="CK490" i="13"/>
  <c r="DA490" i="13"/>
  <c r="DQ490" i="13"/>
  <c r="BY491" i="13"/>
  <c r="CO491" i="13"/>
  <c r="DE491" i="13"/>
  <c r="DU491" i="13"/>
  <c r="DY491" i="13"/>
  <c r="DV490" i="13"/>
  <c r="DC489" i="13"/>
  <c r="CQ490" i="13"/>
  <c r="DG490" i="13"/>
  <c r="CN489" i="13"/>
  <c r="CR490" i="13"/>
  <c r="CV491" i="13"/>
  <c r="CS490" i="13"/>
  <c r="CH489" i="13"/>
  <c r="CX489" i="13"/>
  <c r="DN489" i="13"/>
  <c r="BV490" i="13"/>
  <c r="CL490" i="13"/>
  <c r="DB490" i="13"/>
  <c r="DR490" i="13"/>
  <c r="BZ491" i="13"/>
  <c r="CP491" i="13"/>
  <c r="DF491" i="13"/>
  <c r="DV491" i="13"/>
  <c r="DY490" i="13"/>
  <c r="CI489" i="13"/>
  <c r="CY489" i="13"/>
  <c r="DO489" i="13"/>
  <c r="BW490" i="13"/>
  <c r="CM490" i="13"/>
  <c r="DC490" i="13"/>
  <c r="DS490" i="13"/>
  <c r="CA491" i="13"/>
  <c r="CQ491" i="13"/>
  <c r="DG491" i="13"/>
  <c r="DW491" i="13"/>
  <c r="CC491" i="13"/>
  <c r="BV489" i="13"/>
  <c r="DJ491" i="13"/>
  <c r="DS489" i="13"/>
  <c r="DK491" i="13"/>
  <c r="CB490" i="13"/>
  <c r="DL491" i="13"/>
  <c r="DU489" i="13"/>
  <c r="BT489" i="13"/>
  <c r="CJ489" i="13"/>
  <c r="CZ489" i="13"/>
  <c r="DP489" i="13"/>
  <c r="BX490" i="13"/>
  <c r="CN490" i="13"/>
  <c r="DD490" i="13"/>
  <c r="DT490" i="13"/>
  <c r="CB491" i="13"/>
  <c r="CR491" i="13"/>
  <c r="DH491" i="13"/>
  <c r="DX491" i="13"/>
  <c r="BU489" i="13"/>
  <c r="DQ489" i="13"/>
  <c r="DE490" i="13"/>
  <c r="DB489" i="13"/>
  <c r="CP490" i="13"/>
  <c r="DZ491" i="13"/>
  <c r="CE491" i="13"/>
  <c r="DX490" i="13"/>
  <c r="DI490" i="13"/>
  <c r="BZ489" i="13"/>
  <c r="DW489" i="13"/>
  <c r="CE490" i="13"/>
  <c r="CU490" i="13"/>
  <c r="CX491" i="13"/>
  <c r="CQ489" i="13"/>
  <c r="DN491" i="13"/>
  <c r="CD490" i="13"/>
  <c r="DZ490" i="13"/>
  <c r="CP489" i="13"/>
  <c r="CY491" i="13"/>
  <c r="DO491" i="13"/>
  <c r="DK490" i="13"/>
  <c r="CT490" i="13"/>
  <c r="DJ490" i="13"/>
  <c r="EA490" i="13"/>
  <c r="CH491" i="13"/>
  <c r="CA489" i="13"/>
  <c r="CI491" i="13"/>
  <c r="DF489" i="13"/>
  <c r="DG489" i="13"/>
  <c r="DV489" i="13"/>
  <c r="BT477" i="13"/>
  <c r="CJ477" i="13"/>
  <c r="CZ477" i="13"/>
  <c r="DP477" i="13"/>
  <c r="BX478" i="13"/>
  <c r="CN478" i="13"/>
  <c r="DD478" i="13"/>
  <c r="DT478" i="13"/>
  <c r="CB479" i="13"/>
  <c r="CR479" i="13"/>
  <c r="DH479" i="13"/>
  <c r="DX479" i="13"/>
  <c r="CG478" i="13"/>
  <c r="DJ477" i="13"/>
  <c r="CI478" i="13"/>
  <c r="BT478" i="13"/>
  <c r="DA478" i="13"/>
  <c r="DB478" i="13"/>
  <c r="BU477" i="13"/>
  <c r="CK477" i="13"/>
  <c r="DA477" i="13"/>
  <c r="DQ477" i="13"/>
  <c r="BY478" i="13"/>
  <c r="CO478" i="13"/>
  <c r="DE478" i="13"/>
  <c r="DU478" i="13"/>
  <c r="CC479" i="13"/>
  <c r="CS479" i="13"/>
  <c r="DI479" i="13"/>
  <c r="DY479" i="13"/>
  <c r="DY477" i="13"/>
  <c r="DN478" i="13"/>
  <c r="CY478" i="13"/>
  <c r="CZ478" i="13"/>
  <c r="CK478" i="13"/>
  <c r="CL478" i="13"/>
  <c r="BV477" i="13"/>
  <c r="CL477" i="13"/>
  <c r="DB477" i="13"/>
  <c r="DR477" i="13"/>
  <c r="BZ478" i="13"/>
  <c r="CP478" i="13"/>
  <c r="DF478" i="13"/>
  <c r="DV478" i="13"/>
  <c r="CD479" i="13"/>
  <c r="CT479" i="13"/>
  <c r="DJ479" i="13"/>
  <c r="DZ479" i="13"/>
  <c r="DI477" i="13"/>
  <c r="CK479" i="13"/>
  <c r="CT477" i="13"/>
  <c r="CL479" i="13"/>
  <c r="DR479" i="13"/>
  <c r="CU477" i="13"/>
  <c r="DC479" i="13"/>
  <c r="CF477" i="13"/>
  <c r="DD479" i="13"/>
  <c r="CG477" i="13"/>
  <c r="CO479" i="13"/>
  <c r="DE479" i="13"/>
  <c r="DU479" i="13"/>
  <c r="CH477" i="13"/>
  <c r="DF479" i="13"/>
  <c r="BW477" i="13"/>
  <c r="CM477" i="13"/>
  <c r="DC477" i="13"/>
  <c r="DS477" i="13"/>
  <c r="CA478" i="13"/>
  <c r="CQ478" i="13"/>
  <c r="DG478" i="13"/>
  <c r="DW478" i="13"/>
  <c r="CE479" i="13"/>
  <c r="CU479" i="13"/>
  <c r="DK479" i="13"/>
  <c r="EA479" i="13"/>
  <c r="CW478" i="13"/>
  <c r="CX478" i="13"/>
  <c r="DO478" i="13"/>
  <c r="BX479" i="13"/>
  <c r="DQ478" i="13"/>
  <c r="BX477" i="13"/>
  <c r="CN477" i="13"/>
  <c r="DD477" i="13"/>
  <c r="DT477" i="13"/>
  <c r="CB478" i="13"/>
  <c r="CR478" i="13"/>
  <c r="DH478" i="13"/>
  <c r="DX478" i="13"/>
  <c r="CF479" i="13"/>
  <c r="CV479" i="13"/>
  <c r="DL479" i="13"/>
  <c r="CC477" i="13"/>
  <c r="CH478" i="13"/>
  <c r="BW479" i="13"/>
  <c r="CN479" i="13"/>
  <c r="BY479" i="13"/>
  <c r="BY477" i="13"/>
  <c r="CO477" i="13"/>
  <c r="DE477" i="13"/>
  <c r="DU477" i="13"/>
  <c r="CC478" i="13"/>
  <c r="CS478" i="13"/>
  <c r="DI478" i="13"/>
  <c r="DY478" i="13"/>
  <c r="CG479" i="13"/>
  <c r="CW479" i="13"/>
  <c r="DM479" i="13"/>
  <c r="CS477" i="13"/>
  <c r="DQ479" i="13"/>
  <c r="BV479" i="13"/>
  <c r="DK477" i="13"/>
  <c r="DS479" i="13"/>
  <c r="CV477" i="13"/>
  <c r="CW477" i="13"/>
  <c r="BV478" i="13"/>
  <c r="BZ477" i="13"/>
  <c r="CP477" i="13"/>
  <c r="DF477" i="13"/>
  <c r="DV477" i="13"/>
  <c r="CD478" i="13"/>
  <c r="CT478" i="13"/>
  <c r="DJ478" i="13"/>
  <c r="DZ478" i="13"/>
  <c r="CH479" i="13"/>
  <c r="CX479" i="13"/>
  <c r="DN479" i="13"/>
  <c r="DP478" i="13"/>
  <c r="DR478" i="13"/>
  <c r="CA477" i="13"/>
  <c r="CQ477" i="13"/>
  <c r="DG477" i="13"/>
  <c r="DW477" i="13"/>
  <c r="CE478" i="13"/>
  <c r="CU478" i="13"/>
  <c r="DK478" i="13"/>
  <c r="EA478" i="13"/>
  <c r="CI479" i="13"/>
  <c r="CY479" i="13"/>
  <c r="DO479" i="13"/>
  <c r="DM478" i="13"/>
  <c r="DA479" i="13"/>
  <c r="DZ477" i="13"/>
  <c r="EA477" i="13"/>
  <c r="DL477" i="13"/>
  <c r="DT479" i="13"/>
  <c r="BU478" i="13"/>
  <c r="CX477" i="13"/>
  <c r="CB477" i="13"/>
  <c r="CR477" i="13"/>
  <c r="DH477" i="13"/>
  <c r="DX477" i="13"/>
  <c r="CF478" i="13"/>
  <c r="CV478" i="13"/>
  <c r="DL478" i="13"/>
  <c r="BT479" i="13"/>
  <c r="CJ479" i="13"/>
  <c r="CZ479" i="13"/>
  <c r="DP479" i="13"/>
  <c r="BU479" i="13"/>
  <c r="CD477" i="13"/>
  <c r="DB479" i="13"/>
  <c r="CE477" i="13"/>
  <c r="CM479" i="13"/>
  <c r="CJ478" i="13"/>
  <c r="DM477" i="13"/>
  <c r="DN477" i="13"/>
  <c r="DV479" i="13"/>
  <c r="CI477" i="13"/>
  <c r="DO477" i="13"/>
  <c r="CM478" i="13"/>
  <c r="DC478" i="13"/>
  <c r="CY477" i="13"/>
  <c r="DS478" i="13"/>
  <c r="BW478" i="13"/>
  <c r="DG479" i="13"/>
  <c r="BZ479" i="13"/>
  <c r="CA479" i="13"/>
  <c r="CP479" i="13"/>
  <c r="CQ479" i="13"/>
  <c r="DW479" i="13"/>
  <c r="CF483" i="13"/>
  <c r="CV483" i="13"/>
  <c r="DL483" i="13"/>
  <c r="BT484" i="13"/>
  <c r="CJ484" i="13"/>
  <c r="CZ484" i="13"/>
  <c r="DP484" i="13"/>
  <c r="BX485" i="13"/>
  <c r="CN485" i="13"/>
  <c r="DD485" i="13"/>
  <c r="DT485" i="13"/>
  <c r="DI484" i="13"/>
  <c r="DJ484" i="13"/>
  <c r="CI485" i="13"/>
  <c r="CG483" i="13"/>
  <c r="CW483" i="13"/>
  <c r="DM483" i="13"/>
  <c r="BU484" i="13"/>
  <c r="CK484" i="13"/>
  <c r="DA484" i="13"/>
  <c r="DQ484" i="13"/>
  <c r="BY485" i="13"/>
  <c r="CO485" i="13"/>
  <c r="DE485" i="13"/>
  <c r="DU485" i="13"/>
  <c r="CS484" i="13"/>
  <c r="CH483" i="13"/>
  <c r="CX483" i="13"/>
  <c r="DN483" i="13"/>
  <c r="BV484" i="13"/>
  <c r="CL484" i="13"/>
  <c r="DB484" i="13"/>
  <c r="DR484" i="13"/>
  <c r="BZ485" i="13"/>
  <c r="CP485" i="13"/>
  <c r="DF485" i="13"/>
  <c r="DV485" i="13"/>
  <c r="CO483" i="13"/>
  <c r="DU483" i="13"/>
  <c r="CW485" i="13"/>
  <c r="CP483" i="13"/>
  <c r="CD484" i="13"/>
  <c r="DZ484" i="13"/>
  <c r="DN485" i="13"/>
  <c r="DG483" i="13"/>
  <c r="EA484" i="13"/>
  <c r="CR483" i="13"/>
  <c r="DH483" i="13"/>
  <c r="CV484" i="13"/>
  <c r="BT485" i="13"/>
  <c r="DP485" i="13"/>
  <c r="CS483" i="13"/>
  <c r="CG484" i="13"/>
  <c r="CW484" i="13"/>
  <c r="CK485" i="13"/>
  <c r="DQ485" i="13"/>
  <c r="CT483" i="13"/>
  <c r="CH484" i="13"/>
  <c r="BV485" i="13"/>
  <c r="CI483" i="13"/>
  <c r="CY483" i="13"/>
  <c r="DO483" i="13"/>
  <c r="BW484" i="13"/>
  <c r="CM484" i="13"/>
  <c r="DC484" i="13"/>
  <c r="DS484" i="13"/>
  <c r="CA485" i="13"/>
  <c r="CQ485" i="13"/>
  <c r="DG485" i="13"/>
  <c r="DW485" i="13"/>
  <c r="DY484" i="13"/>
  <c r="BT483" i="13"/>
  <c r="CJ483" i="13"/>
  <c r="CZ483" i="13"/>
  <c r="DP483" i="13"/>
  <c r="BX484" i="13"/>
  <c r="CN484" i="13"/>
  <c r="DD484" i="13"/>
  <c r="DT484" i="13"/>
  <c r="CB485" i="13"/>
  <c r="CR485" i="13"/>
  <c r="DH485" i="13"/>
  <c r="DX485" i="13"/>
  <c r="BU483" i="13"/>
  <c r="CK483" i="13"/>
  <c r="DA483" i="13"/>
  <c r="DQ483" i="13"/>
  <c r="BY484" i="13"/>
  <c r="CO484" i="13"/>
  <c r="DE484" i="13"/>
  <c r="DU484" i="13"/>
  <c r="CC485" i="13"/>
  <c r="CS485" i="13"/>
  <c r="DI485" i="13"/>
  <c r="DY485" i="13"/>
  <c r="CG485" i="13"/>
  <c r="CH485" i="13"/>
  <c r="DW483" i="13"/>
  <c r="DK484" i="13"/>
  <c r="CY485" i="13"/>
  <c r="CB483" i="13"/>
  <c r="CF484" i="13"/>
  <c r="CJ485" i="13"/>
  <c r="CC483" i="13"/>
  <c r="DM484" i="13"/>
  <c r="DZ483" i="13"/>
  <c r="BV483" i="13"/>
  <c r="CL483" i="13"/>
  <c r="DB483" i="13"/>
  <c r="DR483" i="13"/>
  <c r="BZ484" i="13"/>
  <c r="CP484" i="13"/>
  <c r="DF484" i="13"/>
  <c r="DV484" i="13"/>
  <c r="CD485" i="13"/>
  <c r="CT485" i="13"/>
  <c r="DJ485" i="13"/>
  <c r="DZ485" i="13"/>
  <c r="BW483" i="13"/>
  <c r="CM483" i="13"/>
  <c r="DC483" i="13"/>
  <c r="DS483" i="13"/>
  <c r="CA484" i="13"/>
  <c r="CQ484" i="13"/>
  <c r="DG484" i="13"/>
  <c r="DW484" i="13"/>
  <c r="CE485" i="13"/>
  <c r="CU485" i="13"/>
  <c r="DK485" i="13"/>
  <c r="EA485" i="13"/>
  <c r="DE483" i="13"/>
  <c r="DM485" i="13"/>
  <c r="DV483" i="13"/>
  <c r="CA483" i="13"/>
  <c r="CU484" i="13"/>
  <c r="DX483" i="13"/>
  <c r="CZ485" i="13"/>
  <c r="DI483" i="13"/>
  <c r="BU485" i="13"/>
  <c r="CD483" i="13"/>
  <c r="CX484" i="13"/>
  <c r="DR485" i="13"/>
  <c r="BX483" i="13"/>
  <c r="CN483" i="13"/>
  <c r="DD483" i="13"/>
  <c r="DT483" i="13"/>
  <c r="CB484" i="13"/>
  <c r="CR484" i="13"/>
  <c r="DH484" i="13"/>
  <c r="DX484" i="13"/>
  <c r="CF485" i="13"/>
  <c r="CV485" i="13"/>
  <c r="DL485" i="13"/>
  <c r="BY483" i="13"/>
  <c r="CC484" i="13"/>
  <c r="BZ483" i="13"/>
  <c r="DF483" i="13"/>
  <c r="CT484" i="13"/>
  <c r="CX485" i="13"/>
  <c r="CQ483" i="13"/>
  <c r="CE484" i="13"/>
  <c r="DO485" i="13"/>
  <c r="DL484" i="13"/>
  <c r="DY483" i="13"/>
  <c r="DA485" i="13"/>
  <c r="DJ483" i="13"/>
  <c r="DN484" i="13"/>
  <c r="EA483" i="13"/>
  <c r="DO484" i="13"/>
  <c r="CM485" i="13"/>
  <c r="DB485" i="13"/>
  <c r="CI484" i="13"/>
  <c r="CY484" i="13"/>
  <c r="BW485" i="13"/>
  <c r="CL485" i="13"/>
  <c r="CU483" i="13"/>
  <c r="DK483" i="13"/>
  <c r="DC485" i="13"/>
  <c r="DS485" i="13"/>
  <c r="CE483" i="13"/>
  <c r="BR477" i="13"/>
  <c r="BS477" i="13"/>
  <c r="BR478" i="13"/>
  <c r="BS478" i="13"/>
  <c r="BR479" i="13"/>
  <c r="BS479" i="13"/>
  <c r="BR491" i="13"/>
  <c r="BS491" i="13"/>
  <c r="BR489" i="13"/>
  <c r="BS489" i="13"/>
  <c r="BR490" i="13"/>
  <c r="BS490" i="13"/>
  <c r="BR483" i="13"/>
  <c r="BS483" i="13"/>
  <c r="BR484" i="13"/>
  <c r="BS484" i="13"/>
  <c r="BR485" i="13"/>
  <c r="BS485" i="13"/>
  <c r="BE477" i="13"/>
  <c r="BH478" i="13"/>
  <c r="BK479" i="13"/>
  <c r="BF477" i="13"/>
  <c r="BI478" i="13"/>
  <c r="BL479" i="13"/>
  <c r="BG477" i="13"/>
  <c r="BJ478" i="13"/>
  <c r="BM479" i="13"/>
  <c r="BP477" i="13"/>
  <c r="BH479" i="13"/>
  <c r="BG478" i="13"/>
  <c r="BH477" i="13"/>
  <c r="BK478" i="13"/>
  <c r="BN479" i="13"/>
  <c r="BF479" i="13"/>
  <c r="BE478" i="13"/>
  <c r="BI477" i="13"/>
  <c r="BL478" i="13"/>
  <c r="BO479" i="13"/>
  <c r="BJ477" i="13"/>
  <c r="BM478" i="13"/>
  <c r="BP479" i="13"/>
  <c r="BQ477" i="13"/>
  <c r="BI479" i="13"/>
  <c r="BK477" i="13"/>
  <c r="BN478" i="13"/>
  <c r="BQ479" i="13"/>
  <c r="BL477" i="13"/>
  <c r="BO478" i="13"/>
  <c r="BG479" i="13"/>
  <c r="BF478" i="13"/>
  <c r="BJ479" i="13"/>
  <c r="BM477" i="13"/>
  <c r="BP478" i="13"/>
  <c r="BE479" i="13"/>
  <c r="BN477" i="13"/>
  <c r="BQ478" i="13"/>
  <c r="BO477" i="13"/>
  <c r="BG489" i="13"/>
  <c r="BJ490" i="13"/>
  <c r="BM491" i="13"/>
  <c r="BH489" i="13"/>
  <c r="BK490" i="13"/>
  <c r="BN491" i="13"/>
  <c r="BF489" i="13"/>
  <c r="BI489" i="13"/>
  <c r="BL490" i="13"/>
  <c r="BO491" i="13"/>
  <c r="BJ489" i="13"/>
  <c r="BM490" i="13"/>
  <c r="BP491" i="13"/>
  <c r="BQ489" i="13"/>
  <c r="BK489" i="13"/>
  <c r="BN490" i="13"/>
  <c r="BQ491" i="13"/>
  <c r="BG491" i="13"/>
  <c r="BH491" i="13"/>
  <c r="BI491" i="13"/>
  <c r="BK491" i="13"/>
  <c r="BL489" i="13"/>
  <c r="BO490" i="13"/>
  <c r="BM489" i="13"/>
  <c r="BP490" i="13"/>
  <c r="BH490" i="13"/>
  <c r="BN489" i="13"/>
  <c r="BQ490" i="13"/>
  <c r="BO489" i="13"/>
  <c r="BE491" i="13"/>
  <c r="BF490" i="13"/>
  <c r="BJ491" i="13"/>
  <c r="BE489" i="13"/>
  <c r="BL491" i="13"/>
  <c r="BP489" i="13"/>
  <c r="BF491" i="13"/>
  <c r="BE490" i="13"/>
  <c r="BG490" i="13"/>
  <c r="BI490" i="13"/>
  <c r="BN483" i="13"/>
  <c r="BQ484" i="13"/>
  <c r="BK483" i="13"/>
  <c r="BO483" i="13"/>
  <c r="BE485" i="13"/>
  <c r="BP483" i="13"/>
  <c r="BF485" i="13"/>
  <c r="BM484" i="13"/>
  <c r="BL483" i="13"/>
  <c r="BQ483" i="13"/>
  <c r="BG485" i="13"/>
  <c r="BJ483" i="13"/>
  <c r="BO484" i="13"/>
  <c r="BP484" i="13"/>
  <c r="BE484" i="13"/>
  <c r="BH485" i="13"/>
  <c r="BF484" i="13"/>
  <c r="BI485" i="13"/>
  <c r="BN485" i="13"/>
  <c r="BI483" i="13"/>
  <c r="BN484" i="13"/>
  <c r="BM483" i="13"/>
  <c r="BG484" i="13"/>
  <c r="BJ485" i="13"/>
  <c r="BK484" i="13"/>
  <c r="BE483" i="13"/>
  <c r="BH484" i="13"/>
  <c r="BK485" i="13"/>
  <c r="BH483" i="13"/>
  <c r="BL484" i="13"/>
  <c r="BQ485" i="13"/>
  <c r="BF483" i="13"/>
  <c r="BI484" i="13"/>
  <c r="BL485" i="13"/>
  <c r="BO485" i="13"/>
  <c r="BG483" i="13"/>
  <c r="BJ484" i="13"/>
  <c r="BM485" i="13"/>
  <c r="BP485" i="13"/>
  <c r="BB489" i="13"/>
  <c r="BC489" i="13"/>
  <c r="BD489" i="13"/>
  <c r="AZ490" i="13"/>
  <c r="BA490" i="13"/>
  <c r="BA491" i="13"/>
  <c r="BB491" i="13"/>
  <c r="BD491" i="13"/>
  <c r="AZ489" i="13"/>
  <c r="BA489" i="13"/>
  <c r="BB490" i="13"/>
  <c r="BC490" i="13"/>
  <c r="BC491" i="13"/>
  <c r="BD490" i="13"/>
  <c r="AZ491" i="13"/>
  <c r="AZ477" i="13"/>
  <c r="BD478" i="13"/>
  <c r="BA477" i="13"/>
  <c r="BB477" i="13"/>
  <c r="AZ479" i="13"/>
  <c r="BB479" i="13"/>
  <c r="BC477" i="13"/>
  <c r="BD477" i="13"/>
  <c r="BA479" i="13"/>
  <c r="BC479" i="13"/>
  <c r="AZ478" i="13"/>
  <c r="BA478" i="13"/>
  <c r="BD479" i="13"/>
  <c r="BB478" i="13"/>
  <c r="BC478" i="13"/>
  <c r="BA483" i="13"/>
  <c r="BB483" i="13"/>
  <c r="AZ485" i="13"/>
  <c r="BC483" i="13"/>
  <c r="BB485" i="13"/>
  <c r="BD485" i="13"/>
  <c r="AZ483" i="13"/>
  <c r="BD483" i="13"/>
  <c r="AZ484" i="13"/>
  <c r="BA484" i="13"/>
  <c r="BB484" i="13"/>
  <c r="BA485" i="13"/>
  <c r="BC485" i="13"/>
  <c r="BC484" i="13"/>
  <c r="BD484" i="13"/>
  <c r="AU477" i="13"/>
  <c r="AV477" i="13"/>
  <c r="AW477" i="13"/>
  <c r="AX477" i="13"/>
  <c r="AY477" i="13"/>
  <c r="AU478" i="13"/>
  <c r="AV478" i="13"/>
  <c r="AW478" i="13"/>
  <c r="AX478" i="13"/>
  <c r="AY478" i="13"/>
  <c r="AU479" i="13"/>
  <c r="AV479" i="13"/>
  <c r="AW479" i="13"/>
  <c r="AX479" i="13"/>
  <c r="AY479" i="13"/>
  <c r="AW489" i="13"/>
  <c r="AX489" i="13"/>
  <c r="AY489" i="13"/>
  <c r="AU490" i="13"/>
  <c r="AV490" i="13"/>
  <c r="AX490" i="13"/>
  <c r="AW490" i="13"/>
  <c r="AY490" i="13"/>
  <c r="AU491" i="13"/>
  <c r="AV491" i="13"/>
  <c r="AW491" i="13"/>
  <c r="AX491" i="13"/>
  <c r="AY491" i="13"/>
  <c r="AU489" i="13"/>
  <c r="AV489" i="13"/>
  <c r="AV483" i="13"/>
  <c r="AW483" i="13"/>
  <c r="AX483" i="13"/>
  <c r="AY483" i="13"/>
  <c r="AU484" i="13"/>
  <c r="AV484" i="13"/>
  <c r="AW484" i="13"/>
  <c r="AX484" i="13"/>
  <c r="AY484" i="13"/>
  <c r="AU485" i="13"/>
  <c r="AV485" i="13"/>
  <c r="AW485" i="13"/>
  <c r="AX485" i="13"/>
  <c r="AY485" i="13"/>
  <c r="AU483" i="13"/>
  <c r="AQ477" i="13"/>
  <c r="AR477" i="13"/>
  <c r="AS477" i="13"/>
  <c r="AT477" i="13"/>
  <c r="AQ478" i="13"/>
  <c r="AR478" i="13"/>
  <c r="AS478" i="13"/>
  <c r="AT478" i="13"/>
  <c r="AQ479" i="13"/>
  <c r="AT479" i="13"/>
  <c r="AR479" i="13"/>
  <c r="AS479" i="13"/>
  <c r="AQ491" i="13"/>
  <c r="AR491" i="13"/>
  <c r="AQ490" i="13"/>
  <c r="AS491" i="13"/>
  <c r="AT491" i="13"/>
  <c r="AQ489" i="13"/>
  <c r="AR490" i="13"/>
  <c r="AR489" i="13"/>
  <c r="AT489" i="13"/>
  <c r="AS489" i="13"/>
  <c r="AS490" i="13"/>
  <c r="AT490" i="13"/>
  <c r="AQ484" i="13"/>
  <c r="AR484" i="13"/>
  <c r="AS484" i="13"/>
  <c r="AT484" i="13"/>
  <c r="AQ485" i="13"/>
  <c r="AR485" i="13"/>
  <c r="AS485" i="13"/>
  <c r="AT485" i="13"/>
  <c r="AQ483" i="13"/>
  <c r="AS483" i="13"/>
  <c r="AT483" i="13"/>
  <c r="AR483" i="13"/>
  <c r="AP489" i="13"/>
  <c r="AP490" i="13"/>
  <c r="AP491" i="13"/>
  <c r="AP477" i="13"/>
  <c r="AP478" i="13"/>
  <c r="AP479" i="13"/>
  <c r="AP483" i="13"/>
  <c r="AP484" i="13"/>
  <c r="AP485" i="13"/>
  <c r="AF477" i="13"/>
  <c r="AG477" i="13"/>
  <c r="AN478" i="13"/>
  <c r="AH477" i="13"/>
  <c r="AO478" i="13"/>
  <c r="AI477" i="13"/>
  <c r="AG479" i="13"/>
  <c r="AJ477" i="13"/>
  <c r="AH479" i="13"/>
  <c r="AM478" i="13"/>
  <c r="AK477" i="13"/>
  <c r="AI479" i="13"/>
  <c r="AL477" i="13"/>
  <c r="AJ479" i="13"/>
  <c r="AM477" i="13"/>
  <c r="AK479" i="13"/>
  <c r="AN477" i="13"/>
  <c r="AL479" i="13"/>
  <c r="AO477" i="13"/>
  <c r="AM479" i="13"/>
  <c r="AG478" i="13"/>
  <c r="AN479" i="13"/>
  <c r="AH478" i="13"/>
  <c r="AO479" i="13"/>
  <c r="AL478" i="13"/>
  <c r="AI478" i="13"/>
  <c r="AJ478" i="13"/>
  <c r="AK478" i="13"/>
  <c r="AF478" i="13"/>
  <c r="AF479" i="13"/>
  <c r="AF483" i="13"/>
  <c r="AG483" i="13"/>
  <c r="AN484" i="13"/>
  <c r="AH483" i="13"/>
  <c r="AO484" i="13"/>
  <c r="AL484" i="13"/>
  <c r="AI483" i="13"/>
  <c r="AG485" i="13"/>
  <c r="AG484" i="13"/>
  <c r="AI484" i="13"/>
  <c r="AJ483" i="13"/>
  <c r="AH485" i="13"/>
  <c r="AM485" i="13"/>
  <c r="AK483" i="13"/>
  <c r="AI485" i="13"/>
  <c r="AN485" i="13"/>
  <c r="AL483" i="13"/>
  <c r="AJ485" i="13"/>
  <c r="AO483" i="13"/>
  <c r="AJ484" i="13"/>
  <c r="AM483" i="13"/>
  <c r="AK485" i="13"/>
  <c r="AH484" i="13"/>
  <c r="AM484" i="13"/>
  <c r="AN483" i="13"/>
  <c r="AL485" i="13"/>
  <c r="AO485" i="13"/>
  <c r="AK484" i="13"/>
  <c r="AF484" i="13"/>
  <c r="AF485" i="13"/>
  <c r="AJ491" i="13"/>
  <c r="AG490" i="13"/>
  <c r="AG489" i="13"/>
  <c r="AK490" i="13"/>
  <c r="AL489" i="13"/>
  <c r="AH489" i="13"/>
  <c r="AJ490" i="13"/>
  <c r="AM489" i="13"/>
  <c r="AF490" i="13"/>
  <c r="AI490" i="13"/>
  <c r="AM490" i="13"/>
  <c r="AG491" i="13"/>
  <c r="AO491" i="13"/>
  <c r="AL491" i="13"/>
  <c r="AN491" i="13"/>
  <c r="AO489" i="13"/>
  <c r="AO490" i="13"/>
  <c r="AN490" i="13"/>
  <c r="AH491" i="13"/>
  <c r="AN489" i="13"/>
  <c r="AJ489" i="13"/>
  <c r="AF489" i="13"/>
  <c r="AK491" i="13"/>
  <c r="AL490" i="13"/>
  <c r="AH490" i="13"/>
  <c r="AI491" i="13"/>
  <c r="AK489" i="13"/>
  <c r="AM491" i="13"/>
  <c r="AI489" i="13"/>
  <c r="AF491" i="13"/>
  <c r="AC498" i="13"/>
  <c r="AC496" i="13"/>
  <c r="AC495" i="13"/>
  <c r="AC499" i="13"/>
  <c r="AC497" i="13"/>
  <c r="EC491" i="13" l="1" a="1"/>
  <c r="EC491" i="13" s="1"/>
  <c r="EC490" i="13" a="1"/>
  <c r="EC490" i="13" s="1"/>
  <c r="EC477" i="13" a="1"/>
  <c r="EC477" i="13" s="1"/>
  <c r="EC489" i="13" a="1"/>
  <c r="EC489" i="13" s="1"/>
  <c r="EC483" i="13" a="1"/>
  <c r="EC483" i="13" s="1"/>
  <c r="EC479" i="13" a="1"/>
  <c r="EC479" i="13" s="1"/>
  <c r="EC478" i="13" a="1"/>
  <c r="EC478" i="13" s="1"/>
  <c r="EC485" i="13" a="1"/>
  <c r="EC485" i="13" s="1"/>
  <c r="EC484" i="13" a="1"/>
  <c r="EC484" i="13" s="1"/>
  <c r="EC474" i="13" l="1"/>
  <c r="ED491" i="13" l="1" a="1"/>
  <c r="ED491" i="13" s="1"/>
  <c r="ED484" i="13" a="1"/>
  <c r="ED484" i="13" s="1"/>
  <c r="ED477" i="13" a="1"/>
  <c r="ED477" i="13" s="1"/>
  <c r="ED478" i="13" a="1"/>
  <c r="ED478" i="13" s="1"/>
  <c r="ED490" i="13" a="1"/>
  <c r="ED490" i="13" s="1"/>
  <c r="ED483" i="13" a="1"/>
  <c r="ED483" i="13" s="1"/>
  <c r="ED489" i="13" a="1"/>
  <c r="ED489" i="13" s="1"/>
  <c r="ED479" i="13" a="1"/>
  <c r="ED479" i="13" s="1"/>
  <c r="ED485" i="13" a="1"/>
  <c r="ED485" i="13" s="1"/>
  <c r="G557" i="12"/>
  <c r="L560" i="12" l="1"/>
  <c r="ED474" i="13"/>
  <c r="HQ489" i="13" s="1"/>
  <c r="HC489" i="13"/>
  <c r="HT489" i="13"/>
  <c r="HZ490" i="13"/>
  <c r="GW489" i="13"/>
  <c r="HX477" i="13"/>
  <c r="HF477" i="13"/>
  <c r="HU477" i="13"/>
  <c r="HE477" i="13"/>
  <c r="HN479" i="13"/>
  <c r="GU478" i="13"/>
  <c r="IF477" i="13"/>
  <c r="HT484" i="13"/>
  <c r="HB489" i="13"/>
  <c r="HS489" i="13"/>
  <c r="GB490" i="13"/>
  <c r="GG478" i="13"/>
  <c r="ID479" i="13"/>
  <c r="GD478" i="13"/>
  <c r="HV477" i="13"/>
  <c r="IE479" i="13"/>
  <c r="GN478" i="13"/>
  <c r="HU478" i="13"/>
  <c r="GT479" i="13"/>
  <c r="HJ478" i="13"/>
  <c r="GN483" i="13"/>
  <c r="HI484" i="13"/>
  <c r="HB483" i="13"/>
  <c r="GT484" i="13"/>
  <c r="HK484" i="13"/>
  <c r="HL484" i="13"/>
  <c r="HR485" i="13"/>
  <c r="HL483" i="13"/>
  <c r="HC483" i="13"/>
  <c r="GX483" i="13"/>
  <c r="HO483" i="13"/>
  <c r="GB485" i="13"/>
  <c r="GO489" i="13"/>
  <c r="HR489" i="13"/>
  <c r="II489" i="13"/>
  <c r="GR490" i="13"/>
  <c r="GV478" i="13"/>
  <c r="GW478" i="13"/>
  <c r="GQ477" i="13"/>
  <c r="IA478" i="13"/>
  <c r="HK478" i="13"/>
  <c r="GG477" i="13"/>
  <c r="GY477" i="13"/>
  <c r="HD478" i="13"/>
  <c r="GC479" i="13"/>
  <c r="HJ479" i="13"/>
  <c r="GE478" i="13"/>
  <c r="HD483" i="13"/>
  <c r="HY484" i="13"/>
  <c r="HR483" i="13"/>
  <c r="HJ484" i="13"/>
  <c r="IA484" i="13"/>
  <c r="IB484" i="13"/>
  <c r="IH485" i="13"/>
  <c r="IB483" i="13"/>
  <c r="HG484" i="13"/>
  <c r="HN483" i="13"/>
  <c r="IE483" i="13"/>
  <c r="GR485" i="13"/>
  <c r="GC490" i="13"/>
  <c r="IH489" i="13"/>
  <c r="GQ490" i="13"/>
  <c r="HH490" i="13"/>
  <c r="GB489" i="13"/>
  <c r="GL490" i="13"/>
  <c r="IB489" i="13"/>
  <c r="GF489" i="13"/>
  <c r="HP490" i="13"/>
  <c r="HL478" i="13"/>
  <c r="HM478" i="13"/>
  <c r="GD477" i="13"/>
  <c r="GE477" i="13"/>
  <c r="GF477" i="13"/>
  <c r="GH477" i="13"/>
  <c r="HO477" i="13"/>
  <c r="HT478" i="13"/>
  <c r="GS479" i="13"/>
  <c r="HZ479" i="13"/>
  <c r="GN477" i="13"/>
  <c r="HT483" i="13"/>
  <c r="GG485" i="13"/>
  <c r="GP484" i="13"/>
  <c r="HZ484" i="13"/>
  <c r="GI485" i="13"/>
  <c r="GJ485" i="13"/>
  <c r="GE483" i="13"/>
  <c r="GJ484" i="13"/>
  <c r="HK485" i="13"/>
  <c r="ID483" i="13"/>
  <c r="GM484" i="13"/>
  <c r="HH485" i="13"/>
  <c r="HE489" i="13"/>
  <c r="HY490" i="13"/>
  <c r="GP490" i="13"/>
  <c r="HG490" i="13"/>
  <c r="HX490" i="13"/>
  <c r="GR489" i="13"/>
  <c r="HM489" i="13"/>
  <c r="HN489" i="13"/>
  <c r="IB478" i="13"/>
  <c r="IC478" i="13"/>
  <c r="GT477" i="13"/>
  <c r="GU477" i="13"/>
  <c r="GV477" i="13"/>
  <c r="GX477" i="13"/>
  <c r="IE477" i="13"/>
  <c r="GB479" i="13"/>
  <c r="HI479" i="13"/>
  <c r="GC478" i="13"/>
  <c r="HD477" i="13"/>
  <c r="GB484" i="13"/>
  <c r="GW485" i="13"/>
  <c r="GD485" i="13"/>
  <c r="GH485" i="13"/>
  <c r="GY485" i="13"/>
  <c r="GZ485" i="13"/>
  <c r="GU483" i="13"/>
  <c r="GZ484" i="13"/>
  <c r="GG483" i="13"/>
  <c r="GL484" i="13"/>
  <c r="HC484" i="13"/>
  <c r="HX485" i="13"/>
  <c r="HR490" i="13"/>
  <c r="HF490" i="13"/>
  <c r="HW490" i="13"/>
  <c r="GZ490" i="13"/>
  <c r="HH489" i="13"/>
  <c r="HO489" i="13"/>
  <c r="ID489" i="13"/>
  <c r="HQ490" i="13"/>
  <c r="HL489" i="13"/>
  <c r="GJ479" i="13"/>
  <c r="GK479" i="13"/>
  <c r="HJ477" i="13"/>
  <c r="HK477" i="13"/>
  <c r="HL477" i="13"/>
  <c r="HN477" i="13"/>
  <c r="GM478" i="13"/>
  <c r="GR479" i="13"/>
  <c r="HY479" i="13"/>
  <c r="GM477" i="13"/>
  <c r="HT477" i="13"/>
  <c r="GR484" i="13"/>
  <c r="HM485" i="13"/>
  <c r="GM483" i="13"/>
  <c r="GX485" i="13"/>
  <c r="HO485" i="13"/>
  <c r="HP485" i="13"/>
  <c r="HK483" i="13"/>
  <c r="HP484" i="13"/>
  <c r="GW483" i="13"/>
  <c r="HB484" i="13"/>
  <c r="HS484" i="13"/>
  <c r="IE489" i="13"/>
  <c r="HV490" i="13"/>
  <c r="GH489" i="13"/>
  <c r="HX489" i="13"/>
  <c r="GI489" i="13"/>
  <c r="GJ490" i="13"/>
  <c r="GZ479" i="13"/>
  <c r="HA479" i="13"/>
  <c r="HZ477" i="13"/>
  <c r="IA477" i="13"/>
  <c r="IB477" i="13"/>
  <c r="ID477" i="13"/>
  <c r="HC478" i="13"/>
  <c r="HH479" i="13"/>
  <c r="GG479" i="13"/>
  <c r="HC477" i="13"/>
  <c r="GB478" i="13"/>
  <c r="HH484" i="13"/>
  <c r="IC485" i="13"/>
  <c r="HS483" i="13"/>
  <c r="HN485" i="13"/>
  <c r="IE485" i="13"/>
  <c r="IF485" i="13"/>
  <c r="IA483" i="13"/>
  <c r="IF484" i="13"/>
  <c r="HM483" i="13"/>
  <c r="HR484" i="13"/>
  <c r="II484" i="13"/>
  <c r="GK489" i="13"/>
  <c r="GG489" i="13"/>
  <c r="GF490" i="13"/>
  <c r="GC489" i="13"/>
  <c r="GD489" i="13"/>
  <c r="GE489" i="13"/>
  <c r="IF490" i="13"/>
  <c r="HP479" i="13"/>
  <c r="HQ479" i="13"/>
  <c r="GH478" i="13"/>
  <c r="GI478" i="13"/>
  <c r="GJ478" i="13"/>
  <c r="GL478" i="13"/>
  <c r="HS478" i="13"/>
  <c r="HX479" i="13"/>
  <c r="GT478" i="13"/>
  <c r="HS477" i="13"/>
  <c r="GR478" i="13"/>
  <c r="HX484" i="13"/>
  <c r="GC483" i="13"/>
  <c r="II483" i="13"/>
  <c r="ID485" i="13"/>
  <c r="IC484" i="13"/>
  <c r="GD483" i="13"/>
  <c r="GI484" i="13"/>
  <c r="GN485" i="13"/>
  <c r="IC483" i="13"/>
  <c r="IH484" i="13"/>
  <c r="GQ485" i="13"/>
  <c r="HA489" i="13"/>
  <c r="IG490" i="13"/>
  <c r="GQ489" i="13"/>
  <c r="GV490" i="13"/>
  <c r="GS489" i="13"/>
  <c r="GT489" i="13"/>
  <c r="GU489" i="13"/>
  <c r="IF479" i="13"/>
  <c r="IG479" i="13"/>
  <c r="GX478" i="13"/>
  <c r="GY478" i="13"/>
  <c r="GZ478" i="13"/>
  <c r="HB478" i="13"/>
  <c r="II478" i="13"/>
  <c r="GS478" i="13"/>
  <c r="HW477" i="13"/>
  <c r="II477" i="13"/>
  <c r="HH478" i="13"/>
  <c r="GF485" i="13"/>
  <c r="GS483" i="13"/>
  <c r="GQ484" i="13"/>
  <c r="GW484" i="13"/>
  <c r="IG485" i="13"/>
  <c r="GT483" i="13"/>
  <c r="GY484" i="13"/>
  <c r="HD485" i="13"/>
  <c r="GK484" i="13"/>
  <c r="GP485" i="13"/>
  <c r="HG485" i="13"/>
  <c r="EE478" i="13"/>
  <c r="EX477" i="13"/>
  <c r="FA478" i="13"/>
  <c r="FD479" i="13"/>
  <c r="FJ477" i="13"/>
  <c r="FU478" i="13"/>
  <c r="FX479" i="13"/>
  <c r="FS489" i="13"/>
  <c r="FX491" i="13"/>
  <c r="FA491" i="13"/>
  <c r="FN489" i="13"/>
  <c r="FV489" i="13"/>
  <c r="FC490" i="13"/>
  <c r="FG484" i="13"/>
  <c r="FJ485" i="13"/>
  <c r="FD484" i="13"/>
  <c r="FM485" i="13"/>
  <c r="FB485" i="13"/>
  <c r="FN477" i="13"/>
  <c r="FQ478" i="13"/>
  <c r="FT479" i="13"/>
  <c r="EY479" i="13"/>
  <c r="FG479" i="13"/>
  <c r="FI478" i="13"/>
  <c r="FD489" i="13"/>
  <c r="FI491" i="13"/>
  <c r="FQ491" i="13"/>
  <c r="EZ490" i="13"/>
  <c r="FJ491" i="13"/>
  <c r="FS490" i="13"/>
  <c r="FW484" i="13"/>
  <c r="FZ485" i="13"/>
  <c r="FG485" i="13"/>
  <c r="FN484" i="13"/>
  <c r="FK483" i="13"/>
  <c r="EZ478" i="13"/>
  <c r="FC479" i="13"/>
  <c r="FJ479" i="13"/>
  <c r="FL477" i="13"/>
  <c r="FW479" i="13"/>
  <c r="FJ478" i="13"/>
  <c r="FH491" i="13"/>
  <c r="FF489" i="13"/>
  <c r="FB489" i="13"/>
  <c r="FP490" i="13"/>
  <c r="FK491" i="13"/>
  <c r="FE491" i="13"/>
  <c r="FI485" i="13"/>
  <c r="FN483" i="13"/>
  <c r="FH483" i="13"/>
  <c r="EZ485" i="13"/>
  <c r="GA483" i="13"/>
  <c r="FP478" i="13"/>
  <c r="FS479" i="13"/>
  <c r="GA479" i="13"/>
  <c r="FA479" i="13"/>
  <c r="FZ479" i="13"/>
  <c r="FM477" i="13"/>
  <c r="FZ491" i="13"/>
  <c r="FH490" i="13"/>
  <c r="FC489" i="13"/>
  <c r="FB491" i="13"/>
  <c r="FL491" i="13"/>
  <c r="FU491" i="13"/>
  <c r="FY485" i="13"/>
  <c r="EY483" i="13"/>
  <c r="FX483" i="13"/>
  <c r="FA485" i="13"/>
  <c r="FM484" i="13"/>
  <c r="FB479" i="13"/>
  <c r="FF477" i="13"/>
  <c r="FN479" i="13"/>
  <c r="FB477" i="13"/>
  <c r="FG477" i="13"/>
  <c r="FE477" i="13"/>
  <c r="FY490" i="13"/>
  <c r="FI490" i="13"/>
  <c r="FG491" i="13"/>
  <c r="FR491" i="13"/>
  <c r="FY489" i="13"/>
  <c r="FD483" i="13"/>
  <c r="FO484" i="13"/>
  <c r="FQ483" i="13"/>
  <c r="FJ484" i="13"/>
  <c r="FC485" i="13"/>
  <c r="EY485" i="13"/>
  <c r="FR479" i="13"/>
  <c r="FY478" i="13"/>
  <c r="FP479" i="13"/>
  <c r="FR477" i="13"/>
  <c r="FL479" i="13"/>
  <c r="FU477" i="13"/>
  <c r="FH489" i="13"/>
  <c r="FJ490" i="13"/>
  <c r="FE489" i="13"/>
  <c r="EY489" i="13"/>
  <c r="FM491" i="13"/>
  <c r="FT483" i="13"/>
  <c r="FP484" i="13"/>
  <c r="FS483" i="13"/>
  <c r="FZ484" i="13"/>
  <c r="FB484" i="13"/>
  <c r="FO485" i="13"/>
  <c r="FX478" i="13"/>
  <c r="FH477" i="13"/>
  <c r="FA477" i="13"/>
  <c r="FD478" i="13"/>
  <c r="FK478" i="13"/>
  <c r="FG478" i="13"/>
  <c r="FI489" i="13"/>
  <c r="FZ490" i="13"/>
  <c r="FU489" i="13"/>
  <c r="FO489" i="13"/>
  <c r="EZ489" i="13"/>
  <c r="FF484" i="13"/>
  <c r="FQ484" i="13"/>
  <c r="FG483" i="13"/>
  <c r="FL485" i="13"/>
  <c r="FE485" i="13"/>
  <c r="FL483" i="13"/>
  <c r="FW477" i="13"/>
  <c r="FY477" i="13"/>
  <c r="FQ477" i="13"/>
  <c r="FT478" i="13"/>
  <c r="FZ477" i="13"/>
  <c r="FW478" i="13"/>
  <c r="FK489" i="13"/>
  <c r="GA490" i="13"/>
  <c r="FW490" i="13"/>
  <c r="FA490" i="13"/>
  <c r="FP489" i="13"/>
  <c r="FV484" i="13"/>
  <c r="FR484" i="13"/>
  <c r="FW483" i="13"/>
  <c r="EY484" i="13"/>
  <c r="FF485" i="13"/>
  <c r="FM483" i="13"/>
  <c r="FZ478" i="13"/>
  <c r="EX479" i="13"/>
  <c r="FC478" i="13"/>
  <c r="FF479" i="13"/>
  <c r="GA477" i="13"/>
  <c r="FI479" i="13"/>
  <c r="GA489" i="13"/>
  <c r="FL489" i="13"/>
  <c r="FY491" i="13"/>
  <c r="FQ490" i="13"/>
  <c r="FB490" i="13"/>
  <c r="FH485" i="13"/>
  <c r="FS484" i="13"/>
  <c r="FI484" i="13"/>
  <c r="EX483" i="13"/>
  <c r="FW485" i="13"/>
  <c r="EZ484" i="13"/>
  <c r="FI477" i="13"/>
  <c r="FK477" i="13"/>
  <c r="FS478" i="13"/>
  <c r="FV479" i="13"/>
  <c r="FN478" i="13"/>
  <c r="FY479" i="13"/>
  <c r="FM490" i="13"/>
  <c r="EX490" i="13"/>
  <c r="FX490" i="13"/>
  <c r="FC491" i="13"/>
  <c r="FR490" i="13"/>
  <c r="FX485" i="13"/>
  <c r="FT484" i="13"/>
  <c r="FY484" i="13"/>
  <c r="EZ483" i="13"/>
  <c r="FJ483" i="13"/>
  <c r="FO483" i="13"/>
  <c r="FL478" i="13"/>
  <c r="EZ479" i="13"/>
  <c r="FE479" i="13"/>
  <c r="FH478" i="13"/>
  <c r="FQ479" i="13"/>
  <c r="FJ489" i="13"/>
  <c r="EY491" i="13"/>
  <c r="FN490" i="13"/>
  <c r="FG489" i="13"/>
  <c r="FS491" i="13"/>
  <c r="FD491" i="13"/>
  <c r="FP485" i="13"/>
  <c r="FV485" i="13"/>
  <c r="FK485" i="13"/>
  <c r="FB483" i="13"/>
  <c r="FZ483" i="13"/>
  <c r="FP483" i="13"/>
  <c r="FM478" i="13"/>
  <c r="EY478" i="13"/>
  <c r="FU479" i="13"/>
  <c r="FM479" i="13"/>
  <c r="FD477" i="13"/>
  <c r="FZ489" i="13"/>
  <c r="FO491" i="13"/>
  <c r="EZ491" i="13"/>
  <c r="FW489" i="13"/>
  <c r="FR489" i="13"/>
  <c r="FT491" i="13"/>
  <c r="FS485" i="13"/>
  <c r="FU484" i="13"/>
  <c r="GA485" i="13"/>
  <c r="FE484" i="13"/>
  <c r="FL484" i="13"/>
  <c r="FA483" i="13"/>
  <c r="EX478" i="13"/>
  <c r="EZ477" i="13"/>
  <c r="FV477" i="13"/>
  <c r="FO479" i="13"/>
  <c r="FT477" i="13"/>
  <c r="FL490" i="13"/>
  <c r="FD490" i="13"/>
  <c r="FP491" i="13"/>
  <c r="GA491" i="13"/>
  <c r="FT490" i="13"/>
  <c r="FW491" i="13"/>
  <c r="FT485" i="13"/>
  <c r="FF483" i="13"/>
  <c r="FR485" i="13"/>
  <c r="FI483" i="13"/>
  <c r="EX485" i="13"/>
  <c r="FR483" i="13"/>
  <c r="FO478" i="13"/>
  <c r="FP477" i="13"/>
  <c r="FK479" i="13"/>
  <c r="FC477" i="13"/>
  <c r="FF478" i="13"/>
  <c r="EX491" i="13"/>
  <c r="FE490" i="13"/>
  <c r="FM489" i="13"/>
  <c r="FX489" i="13"/>
  <c r="FV491" i="13"/>
  <c r="FV490" i="13"/>
  <c r="FU485" i="13"/>
  <c r="FV483" i="13"/>
  <c r="FA484" i="13"/>
  <c r="FY483" i="13"/>
  <c r="FN485" i="13"/>
  <c r="FC483" i="13"/>
  <c r="EY477" i="13"/>
  <c r="FB478" i="13"/>
  <c r="FX477" i="13"/>
  <c r="FS477" i="13"/>
  <c r="FV478" i="13"/>
  <c r="FN491" i="13"/>
  <c r="FU490" i="13"/>
  <c r="EY490" i="13"/>
  <c r="FK490" i="13"/>
  <c r="FF490" i="13"/>
  <c r="FA489" i="13"/>
  <c r="FE483" i="13"/>
  <c r="FH484" i="13"/>
  <c r="FD485" i="13"/>
  <c r="FK484" i="13"/>
  <c r="EX484" i="13"/>
  <c r="FO477" i="13"/>
  <c r="FR478" i="13"/>
  <c r="GA478" i="13"/>
  <c r="FE478" i="13"/>
  <c r="FH479" i="13"/>
  <c r="FF491" i="13"/>
  <c r="FT489" i="13"/>
  <c r="FO490" i="13"/>
  <c r="EX489" i="13"/>
  <c r="FG490" i="13"/>
  <c r="FQ489" i="13"/>
  <c r="FU483" i="13"/>
  <c r="FX484" i="13"/>
  <c r="FC484" i="13"/>
  <c r="GA484" i="13"/>
  <c r="FQ485" i="13"/>
  <c r="EU491" i="13"/>
  <c r="EP489" i="13"/>
  <c r="ET483" i="13"/>
  <c r="ES483" i="13"/>
  <c r="EO478" i="13"/>
  <c r="EN477" i="13"/>
  <c r="ER490" i="13"/>
  <c r="EV484" i="13"/>
  <c r="EP491" i="13"/>
  <c r="ER478" i="13"/>
  <c r="ES491" i="13"/>
  <c r="EV491" i="13"/>
  <c r="EW489" i="13"/>
  <c r="EW485" i="13"/>
  <c r="EQ485" i="13"/>
  <c r="EP479" i="13"/>
  <c r="EN485" i="13"/>
  <c r="EV479" i="13"/>
  <c r="ER484" i="13"/>
  <c r="EN483" i="13"/>
  <c r="EW483" i="13"/>
  <c r="EE477" i="13"/>
  <c r="ET478" i="13"/>
  <c r="EQ479" i="13"/>
  <c r="EW479" i="13"/>
  <c r="EW478" i="13"/>
  <c r="ES478" i="13"/>
  <c r="EV485" i="13"/>
  <c r="EP490" i="13"/>
  <c r="EV489" i="13"/>
  <c r="EW491" i="13"/>
  <c r="EQ489" i="13"/>
  <c r="ER485" i="13"/>
  <c r="EO477" i="13"/>
  <c r="EN484" i="13"/>
  <c r="EQ478" i="13"/>
  <c r="ES489" i="13"/>
  <c r="ES477" i="13"/>
  <c r="ET484" i="13"/>
  <c r="EU489" i="13"/>
  <c r="EW477" i="13"/>
  <c r="ET477" i="13"/>
  <c r="ER479" i="13"/>
  <c r="EE484" i="13"/>
  <c r="ES490" i="13"/>
  <c r="EQ484" i="13"/>
  <c r="EN479" i="13"/>
  <c r="EN478" i="13"/>
  <c r="EN491" i="13"/>
  <c r="ER489" i="13"/>
  <c r="ET479" i="13"/>
  <c r="EV478" i="13"/>
  <c r="ET489" i="13"/>
  <c r="EE483" i="13"/>
  <c r="EU483" i="13"/>
  <c r="EO483" i="13"/>
  <c r="EE491" i="13"/>
  <c r="EU479" i="13"/>
  <c r="EU477" i="13"/>
  <c r="ES479" i="13"/>
  <c r="EV477" i="13"/>
  <c r="EO489" i="13"/>
  <c r="EV490" i="13"/>
  <c r="EP478" i="13"/>
  <c r="EE490" i="13"/>
  <c r="EU485" i="13"/>
  <c r="EO491" i="13"/>
  <c r="EQ477" i="13"/>
  <c r="EE485" i="13"/>
  <c r="EO479" i="13"/>
  <c r="ET491" i="13"/>
  <c r="EQ490" i="13"/>
  <c r="EP477" i="13"/>
  <c r="EQ483" i="13"/>
  <c r="ES485" i="13"/>
  <c r="EO485" i="13"/>
  <c r="ET490" i="13"/>
  <c r="EE479" i="13"/>
  <c r="ET485" i="13"/>
  <c r="EU478" i="13"/>
  <c r="ER477" i="13"/>
  <c r="EW490" i="13"/>
  <c r="EU490" i="13"/>
  <c r="EN490" i="13"/>
  <c r="EV483" i="13"/>
  <c r="EP483" i="13"/>
  <c r="ES484" i="13"/>
  <c r="EU484" i="13"/>
  <c r="EP485" i="13"/>
  <c r="EP484" i="13"/>
  <c r="EO490" i="13"/>
  <c r="ER483" i="13"/>
  <c r="ER491" i="13"/>
  <c r="EW484" i="13"/>
  <c r="EO484" i="13"/>
  <c r="EQ491" i="13"/>
  <c r="EN489" i="13"/>
  <c r="EE489" i="13"/>
  <c r="GI483" i="13" l="1"/>
  <c r="HF484" i="13"/>
  <c r="HV484" i="13"/>
  <c r="GY483" i="13"/>
  <c r="GH483" i="13"/>
  <c r="HZ485" i="13"/>
  <c r="GV483" i="13"/>
  <c r="HB485" i="13"/>
  <c r="GV484" i="13"/>
  <c r="GI477" i="13"/>
  <c r="GU484" i="13"/>
  <c r="GD484" i="13"/>
  <c r="GO484" i="13"/>
  <c r="GS484" i="13"/>
  <c r="GD479" i="13"/>
  <c r="HE478" i="13"/>
  <c r="GL485" i="13"/>
  <c r="GF484" i="13"/>
  <c r="GE484" i="13"/>
  <c r="HV483" i="13"/>
  <c r="GK483" i="13"/>
  <c r="GH479" i="13"/>
  <c r="IA479" i="13"/>
  <c r="HY477" i="13"/>
  <c r="HV478" i="13"/>
  <c r="GO478" i="13"/>
  <c r="GW479" i="13"/>
  <c r="GO477" i="13"/>
  <c r="HI477" i="13"/>
  <c r="HH477" i="13"/>
  <c r="GV489" i="13"/>
  <c r="HJ490" i="13"/>
  <c r="GF483" i="13"/>
  <c r="HD489" i="13"/>
  <c r="GM489" i="13"/>
  <c r="II490" i="13"/>
  <c r="HT490" i="13"/>
  <c r="HY485" i="13"/>
  <c r="GC484" i="13"/>
  <c r="HU485" i="13"/>
  <c r="IH483" i="13"/>
  <c r="HW483" i="13"/>
  <c r="GF478" i="13"/>
  <c r="GI479" i="13"/>
  <c r="GL489" i="13"/>
  <c r="HP477" i="13"/>
  <c r="HF483" i="13"/>
  <c r="GK490" i="13"/>
  <c r="HM479" i="13"/>
  <c r="HD484" i="13"/>
  <c r="HZ478" i="13"/>
  <c r="HA485" i="13"/>
  <c r="HU483" i="13"/>
  <c r="HF478" i="13"/>
  <c r="IG477" i="13"/>
  <c r="GZ477" i="13"/>
  <c r="HA478" i="13"/>
  <c r="II479" i="13"/>
  <c r="GS477" i="13"/>
  <c r="IH479" i="13"/>
  <c r="IE490" i="13"/>
  <c r="ID490" i="13"/>
  <c r="GN484" i="13"/>
  <c r="IC490" i="13"/>
  <c r="GT490" i="13"/>
  <c r="II485" i="13"/>
  <c r="HC490" i="13"/>
  <c r="IF483" i="13"/>
  <c r="GS485" i="13"/>
  <c r="HE485" i="13"/>
  <c r="GL483" i="13"/>
  <c r="HS485" i="13"/>
  <c r="HH483" i="13"/>
  <c r="IC479" i="13"/>
  <c r="GP483" i="13"/>
  <c r="GK485" i="13"/>
  <c r="HV479" i="13"/>
  <c r="HU479" i="13"/>
  <c r="HE479" i="13"/>
  <c r="GB477" i="13"/>
  <c r="HO490" i="13"/>
  <c r="HN490" i="13"/>
  <c r="IA490" i="13"/>
  <c r="HM490" i="13"/>
  <c r="GN489" i="13"/>
  <c r="HK490" i="13"/>
  <c r="GD490" i="13"/>
  <c r="HS490" i="13"/>
  <c r="IC489" i="13"/>
  <c r="HU490" i="13"/>
  <c r="GN490" i="13"/>
  <c r="GY489" i="13"/>
  <c r="HE483" i="13"/>
  <c r="IB479" i="13"/>
  <c r="GO485" i="13"/>
  <c r="IC477" i="13"/>
  <c r="ID484" i="13"/>
  <c r="GU479" i="13"/>
  <c r="HI485" i="13"/>
  <c r="GK478" i="13"/>
  <c r="HX483" i="13"/>
  <c r="GP478" i="13"/>
  <c r="IA485" i="13"/>
  <c r="HQ477" i="13"/>
  <c r="HI478" i="13"/>
  <c r="HS479" i="13"/>
  <c r="GQ483" i="13"/>
  <c r="HK479" i="13"/>
  <c r="HR479" i="13"/>
  <c r="HM484" i="13"/>
  <c r="GO483" i="13"/>
  <c r="HL479" i="13"/>
  <c r="HA477" i="13"/>
  <c r="HO479" i="13"/>
  <c r="HF479" i="13"/>
  <c r="HD479" i="13"/>
  <c r="HC479" i="13"/>
  <c r="HB479" i="13"/>
  <c r="GX490" i="13"/>
  <c r="GW490" i="13"/>
  <c r="GJ477" i="13"/>
  <c r="HP483" i="13"/>
  <c r="GU490" i="13"/>
  <c r="HV489" i="13"/>
  <c r="HA490" i="13"/>
  <c r="HE490" i="13"/>
  <c r="GZ483" i="13"/>
  <c r="HA483" i="13"/>
  <c r="HU484" i="13"/>
  <c r="IH477" i="13"/>
  <c r="GM485" i="13"/>
  <c r="GU485" i="13"/>
  <c r="GG484" i="13"/>
  <c r="GV479" i="13"/>
  <c r="HW478" i="13"/>
  <c r="GM490" i="13"/>
  <c r="HR477" i="13"/>
  <c r="HD490" i="13"/>
  <c r="HT479" i="13"/>
  <c r="IG483" i="13"/>
  <c r="GY490" i="13"/>
  <c r="GK477" i="13"/>
  <c r="HW479" i="13"/>
  <c r="GP479" i="13"/>
  <c r="GN479" i="13"/>
  <c r="GL479" i="13"/>
  <c r="IG478" i="13"/>
  <c r="IH490" i="13"/>
  <c r="GI490" i="13"/>
  <c r="IG484" i="13"/>
  <c r="GH490" i="13"/>
  <c r="GG490" i="13"/>
  <c r="GE490" i="13"/>
  <c r="HF489" i="13"/>
  <c r="HP489" i="13"/>
  <c r="HV485" i="13"/>
  <c r="GO490" i="13"/>
  <c r="GJ483" i="13"/>
  <c r="HQ484" i="13"/>
  <c r="HL485" i="13"/>
  <c r="GF479" i="13"/>
  <c r="HG478" i="13"/>
  <c r="HB477" i="13"/>
  <c r="HG477" i="13"/>
  <c r="HG479" i="13"/>
  <c r="IH478" i="13"/>
  <c r="IF478" i="13"/>
  <c r="IE478" i="13"/>
  <c r="HW489" i="13"/>
  <c r="IB485" i="13"/>
  <c r="HU489" i="13"/>
  <c r="GP489" i="13"/>
  <c r="HI490" i="13"/>
  <c r="HB490" i="13"/>
  <c r="GZ489" i="13"/>
  <c r="IE484" i="13"/>
  <c r="HW485" i="13"/>
  <c r="GE479" i="13"/>
  <c r="IF489" i="13"/>
  <c r="GM479" i="13"/>
  <c r="HY483" i="13"/>
  <c r="HF485" i="13"/>
  <c r="HA484" i="13"/>
  <c r="HT485" i="13"/>
  <c r="HJ483" i="13"/>
  <c r="HQ483" i="13"/>
  <c r="ID478" i="13"/>
  <c r="GC485" i="13"/>
  <c r="HQ478" i="13"/>
  <c r="HQ485" i="13"/>
  <c r="HZ483" i="13"/>
  <c r="HY478" i="13"/>
  <c r="HW484" i="13"/>
  <c r="HN484" i="13"/>
  <c r="GC477" i="13"/>
  <c r="HC485" i="13"/>
  <c r="GO479" i="13"/>
  <c r="GH484" i="13"/>
  <c r="GX479" i="13"/>
  <c r="HJ485" i="13"/>
  <c r="IA489" i="13"/>
  <c r="GV485" i="13"/>
  <c r="GX484" i="13"/>
  <c r="GY479" i="13"/>
  <c r="GB483" i="13"/>
  <c r="HE484" i="13"/>
  <c r="HZ489" i="13"/>
  <c r="HX478" i="13"/>
  <c r="GR477" i="13"/>
  <c r="HG483" i="13"/>
  <c r="GR483" i="13"/>
  <c r="GT485" i="13"/>
  <c r="GE485" i="13"/>
  <c r="HY489" i="13"/>
  <c r="GQ478" i="13"/>
  <c r="GL477" i="13"/>
  <c r="GP477" i="13"/>
  <c r="GQ479" i="13"/>
  <c r="IG489" i="13"/>
  <c r="HR478" i="13"/>
  <c r="HP478" i="13"/>
  <c r="HO478" i="13"/>
  <c r="HN478" i="13"/>
  <c r="GW477" i="13"/>
  <c r="HO484" i="13"/>
  <c r="HM477" i="13"/>
  <c r="HK489" i="13"/>
  <c r="HJ489" i="13"/>
  <c r="HI489" i="13"/>
  <c r="IB490" i="13"/>
  <c r="HI483" i="13"/>
  <c r="HL490" i="13"/>
  <c r="HG489" i="13"/>
  <c r="GS490" i="13"/>
  <c r="GX489" i="13"/>
  <c r="GJ489" i="13"/>
  <c r="GB491" i="13"/>
  <c r="GG491" i="13"/>
  <c r="GI491" i="13"/>
  <c r="GL491" i="13"/>
  <c r="GR491" i="13"/>
  <c r="GQ491" i="13"/>
  <c r="GY491" i="13"/>
  <c r="HB491" i="13"/>
  <c r="HH491" i="13"/>
  <c r="GE491" i="13"/>
  <c r="HO491" i="13"/>
  <c r="HR491" i="13"/>
  <c r="HX491" i="13"/>
  <c r="GU491" i="13"/>
  <c r="IE491" i="13"/>
  <c r="IH491" i="13"/>
  <c r="GC491" i="13"/>
  <c r="HK491" i="13"/>
  <c r="GJ491" i="13"/>
  <c r="HU491" i="13"/>
  <c r="GS491" i="13"/>
  <c r="IA491" i="13"/>
  <c r="GZ491" i="13"/>
  <c r="GM491" i="13"/>
  <c r="HI491" i="13"/>
  <c r="HM491" i="13"/>
  <c r="HP491" i="13"/>
  <c r="HC491" i="13"/>
  <c r="HY491" i="13"/>
  <c r="GF491" i="13"/>
  <c r="IF491" i="13"/>
  <c r="HS491" i="13"/>
  <c r="GW491" i="13"/>
  <c r="GV491" i="13"/>
  <c r="HE491" i="13"/>
  <c r="II491" i="13"/>
  <c r="IC491" i="13"/>
  <c r="HL491" i="13"/>
  <c r="HF491" i="13"/>
  <c r="GN491" i="13"/>
  <c r="GP491" i="13"/>
  <c r="IB491" i="13"/>
  <c r="HG491" i="13"/>
  <c r="HD491" i="13"/>
  <c r="HV491" i="13"/>
  <c r="GH491" i="13"/>
  <c r="GK491" i="13"/>
  <c r="HT491" i="13"/>
  <c r="GD491" i="13"/>
  <c r="GX491" i="13"/>
  <c r="HA491" i="13"/>
  <c r="GT491" i="13"/>
  <c r="HN491" i="13"/>
  <c r="HQ491" i="13"/>
  <c r="HJ491" i="13"/>
  <c r="ID491" i="13"/>
  <c r="IG491" i="13"/>
  <c r="HZ491" i="13"/>
  <c r="HW491" i="13"/>
  <c r="GO491" i="13"/>
  <c r="EG474" i="13"/>
  <c r="EE474" i="13"/>
  <c r="EF474" i="13" l="1"/>
  <c r="EH474" i="13" s="1"/>
  <c r="IK483" i="13" a="1"/>
  <c r="IK483" i="13" s="1"/>
  <c r="IK479" i="13" a="1"/>
  <c r="IK479" i="13" s="1"/>
  <c r="IK485" i="13" a="1"/>
  <c r="IK485" i="13" s="1"/>
  <c r="IK478" i="13" a="1"/>
  <c r="IK478" i="13" s="1"/>
  <c r="IK484" i="13" a="1"/>
  <c r="IK484" i="13" s="1"/>
  <c r="IK477" i="13" a="1"/>
  <c r="IK477" i="13" s="1"/>
  <c r="IK490" i="13" a="1"/>
  <c r="IK490" i="13" s="1"/>
  <c r="IK489" i="13" a="1"/>
  <c r="IK489" i="13" s="1"/>
  <c r="IK491" i="13" a="1"/>
  <c r="IK491" i="13" s="1"/>
  <c r="IK474" i="13" l="1"/>
  <c r="AC493" i="13" l="1"/>
  <c r="N1" i="12" s="1"/>
  <c r="IL479" i="13" a="1"/>
  <c r="IL479" i="13" s="1"/>
  <c r="IL483" i="13" a="1"/>
  <c r="IL483" i="13" s="1"/>
  <c r="IL490" i="13" a="1"/>
  <c r="IL490" i="13" s="1"/>
  <c r="IL478" i="13" a="1"/>
  <c r="IL478" i="13" s="1"/>
  <c r="IL489" i="13" a="1"/>
  <c r="IL489" i="13" s="1"/>
  <c r="IL484" i="13" a="1"/>
  <c r="IL484" i="13" s="1"/>
  <c r="IL477" i="13" a="1"/>
  <c r="IL477" i="13" s="1"/>
  <c r="IL491" i="13" a="1"/>
  <c r="IL491" i="13" s="1"/>
  <c r="IL485" i="13" a="1"/>
  <c r="IL485" i="13" s="1"/>
  <c r="AD493" i="13" l="1"/>
  <c r="AC479" i="13" s="1"/>
  <c r="L104" i="20"/>
  <c r="K104" i="20"/>
  <c r="IL474" i="13"/>
  <c r="IM490" i="13" s="1"/>
  <c r="AC478" i="13" l="1"/>
  <c r="AC477" i="13"/>
  <c r="AC491" i="13"/>
  <c r="AC483" i="13"/>
  <c r="AC485" i="13"/>
  <c r="AC489" i="13"/>
  <c r="AC484" i="13"/>
  <c r="AC490" i="13"/>
  <c r="E25" i="6"/>
  <c r="IM484" i="13"/>
  <c r="IM485" i="13"/>
  <c r="IM478" i="13"/>
  <c r="IM491" i="13"/>
  <c r="IM489" i="13"/>
  <c r="IM479" i="13"/>
  <c r="IM483" i="13"/>
  <c r="IM477" i="13"/>
  <c r="AD491" i="13" l="1"/>
  <c r="AE491" i="13" s="1"/>
  <c r="AD490" i="13" s="1"/>
  <c r="AE490" i="13" s="1"/>
  <c r="AD489" i="13" s="1"/>
  <c r="AD485" i="13" s="1"/>
  <c r="AE485" i="13" s="1"/>
  <c r="IM474" i="13"/>
  <c r="IO474" i="13"/>
  <c r="IN474" i="13" l="1"/>
  <c r="IP474" i="13" s="1"/>
  <c r="A281" i="12" s="1"/>
  <c r="AD484" i="13"/>
  <c r="AE484" i="13" s="1"/>
  <c r="AD483" i="13" s="1"/>
  <c r="AE483" i="13" s="1"/>
  <c r="AE489" i="13"/>
  <c r="L1" i="12"/>
  <c r="E23" i="20" s="1"/>
  <c r="H23" i="20" s="1"/>
  <c r="H27" i="20" s="1"/>
  <c r="H29" i="20" s="1"/>
  <c r="A336" i="12"/>
  <c r="O336" i="12" s="1"/>
  <c r="A335" i="12"/>
  <c r="O335" i="12" s="1"/>
  <c r="A337" i="12"/>
  <c r="O337" i="12" s="1"/>
  <c r="H103" i="20" l="1"/>
  <c r="A260" i="12"/>
  <c r="A268" i="12"/>
  <c r="A264" i="12"/>
  <c r="A279" i="12"/>
  <c r="A263" i="12"/>
  <c r="A277" i="12"/>
  <c r="A262" i="12"/>
  <c r="A274" i="12"/>
  <c r="AO274" i="12" s="1"/>
  <c r="A272" i="12"/>
  <c r="A270" i="12"/>
  <c r="A265" i="12"/>
  <c r="A261" i="12"/>
  <c r="AD479" i="13"/>
  <c r="AE479" i="13" s="1"/>
  <c r="AD478" i="13" s="1"/>
  <c r="A494" i="12"/>
  <c r="AO337" i="12"/>
  <c r="AO335" i="12"/>
  <c r="AO336" i="12"/>
  <c r="F23" i="20"/>
  <c r="F27" i="20" s="1"/>
  <c r="F77" i="20" s="1" a="1"/>
  <c r="F77" i="20" s="1"/>
  <c r="H34" i="20"/>
  <c r="H100" i="20"/>
  <c r="H77" i="20" a="1"/>
  <c r="H77" i="20" s="1"/>
  <c r="H76" i="20" a="1"/>
  <c r="H76" i="20" s="1"/>
  <c r="G23" i="20"/>
  <c r="G27" i="20" s="1"/>
  <c r="G76" i="20" s="1" a="1"/>
  <c r="G76" i="20" s="1"/>
  <c r="H75" i="20" a="1"/>
  <c r="H75" i="20" s="1"/>
  <c r="H78" i="20" s="1"/>
  <c r="H94" i="20" s="1"/>
  <c r="H80" i="20" a="1"/>
  <c r="H80" i="20" s="1"/>
  <c r="H35" i="20"/>
  <c r="H79" i="20"/>
  <c r="H98" i="20"/>
  <c r="E27" i="20"/>
  <c r="E35" i="20" s="1"/>
  <c r="H99" i="20"/>
  <c r="H102" i="20"/>
  <c r="H101" i="20"/>
  <c r="H33" i="20"/>
  <c r="AO494" i="12" l="1"/>
  <c r="O494" i="12"/>
  <c r="H81" i="20" a="1"/>
  <c r="H81" i="20" s="1"/>
  <c r="H95" i="20" s="1"/>
  <c r="A411" i="12"/>
  <c r="O411" i="12" s="1"/>
  <c r="AE478" i="13"/>
  <c r="AD477" i="13" s="1"/>
  <c r="AE477" i="13" s="1"/>
  <c r="O274" i="12"/>
  <c r="O272" i="12"/>
  <c r="AO272" i="12"/>
  <c r="AO281" i="12"/>
  <c r="O281" i="12"/>
  <c r="AO268" i="12"/>
  <c r="O268" i="12"/>
  <c r="AO263" i="12"/>
  <c r="O263" i="12"/>
  <c r="O261" i="12"/>
  <c r="AO261" i="12"/>
  <c r="AO279" i="12"/>
  <c r="O279" i="12"/>
  <c r="AO265" i="12"/>
  <c r="O265" i="12"/>
  <c r="O262" i="12"/>
  <c r="AO262" i="12"/>
  <c r="AO277" i="12"/>
  <c r="O277" i="12"/>
  <c r="AO264" i="12"/>
  <c r="O264" i="12"/>
  <c r="AO270" i="12"/>
  <c r="O270" i="12"/>
  <c r="AO260" i="12"/>
  <c r="O260" i="12"/>
  <c r="E9" i="20"/>
  <c r="H9" i="20" s="1"/>
  <c r="H11" i="20" s="1"/>
  <c r="H13" i="20" s="1"/>
  <c r="A370" i="12"/>
  <c r="O370" i="12" s="1"/>
  <c r="F35" i="20"/>
  <c r="F29" i="20"/>
  <c r="F76" i="20" a="1"/>
  <c r="F76" i="20" s="1"/>
  <c r="F80" i="20" a="1"/>
  <c r="F80" i="20" s="1"/>
  <c r="H31" i="20"/>
  <c r="G35" i="20"/>
  <c r="H45" i="20"/>
  <c r="H48" i="20" s="1"/>
  <c r="E80" i="20" a="1"/>
  <c r="E80" i="20" s="1"/>
  <c r="G29" i="20"/>
  <c r="E29" i="20"/>
  <c r="H85" i="20"/>
  <c r="H89" i="20" s="1"/>
  <c r="E76" i="20" a="1"/>
  <c r="E76" i="20" s="1"/>
  <c r="E77" i="20" a="1"/>
  <c r="E77" i="20" s="1"/>
  <c r="G80" i="20" a="1"/>
  <c r="G80" i="20" s="1"/>
  <c r="G77" i="20" a="1"/>
  <c r="G77" i="20" s="1"/>
  <c r="H82" i="20" l="1" a="1"/>
  <c r="H82" i="20" s="1"/>
  <c r="H96" i="20" s="1"/>
  <c r="G79" i="20"/>
  <c r="E75" i="20" a="1"/>
  <c r="E75" i="20" s="1"/>
  <c r="E78" i="20" s="1"/>
  <c r="E94" i="20" s="1"/>
  <c r="F101" i="20"/>
  <c r="AO411" i="12"/>
  <c r="AO370" i="12"/>
  <c r="F9" i="20"/>
  <c r="F11" i="20" s="1"/>
  <c r="F13" i="20" s="1"/>
  <c r="F15" i="20" s="1"/>
  <c r="F17" i="20" s="1"/>
  <c r="F39" i="20" s="1"/>
  <c r="E11" i="20"/>
  <c r="E13" i="20" s="1"/>
  <c r="E15" i="20" s="1"/>
  <c r="E17" i="20" s="1"/>
  <c r="E39" i="20" s="1"/>
  <c r="G9" i="20"/>
  <c r="G11" i="20" s="1"/>
  <c r="G13" i="20" s="1"/>
  <c r="G15" i="20" s="1"/>
  <c r="G17" i="20" s="1"/>
  <c r="G39" i="20" s="1"/>
  <c r="F100" i="20"/>
  <c r="F34" i="20"/>
  <c r="F102" i="20"/>
  <c r="F99" i="20"/>
  <c r="F98" i="20"/>
  <c r="F79" i="20"/>
  <c r="F103" i="20"/>
  <c r="F75" i="20" a="1"/>
  <c r="F75" i="20" s="1"/>
  <c r="F78" i="20" s="1"/>
  <c r="F33" i="20"/>
  <c r="H47" i="20"/>
  <c r="H43" i="20"/>
  <c r="G33" i="20"/>
  <c r="G75" i="20" a="1"/>
  <c r="G75" i="20" s="1"/>
  <c r="G78" i="20" s="1"/>
  <c r="G45" i="20" s="1"/>
  <c r="G48" i="20" s="1"/>
  <c r="G103" i="20"/>
  <c r="G101" i="20"/>
  <c r="G100" i="20"/>
  <c r="G98" i="20"/>
  <c r="G102" i="20"/>
  <c r="E101" i="20"/>
  <c r="G99" i="20"/>
  <c r="E102" i="20"/>
  <c r="E100" i="20"/>
  <c r="E99" i="20"/>
  <c r="E98" i="20"/>
  <c r="G34" i="20"/>
  <c r="E79" i="20"/>
  <c r="E34" i="20"/>
  <c r="E33" i="20"/>
  <c r="E103" i="20"/>
  <c r="H15" i="20"/>
  <c r="H17" i="20" s="1"/>
  <c r="H39" i="20" s="1"/>
  <c r="H41" i="20"/>
  <c r="H83" i="20" l="1" a="1"/>
  <c r="H83" i="20" s="1"/>
  <c r="E81" i="20" a="1"/>
  <c r="E81" i="20" s="1"/>
  <c r="E95" i="20" s="1"/>
  <c r="E45" i="20"/>
  <c r="E48" i="20" s="1"/>
  <c r="G41" i="20"/>
  <c r="F41" i="20"/>
  <c r="E41" i="20"/>
  <c r="F45" i="20"/>
  <c r="F48" i="20" s="1"/>
  <c r="F31" i="20"/>
  <c r="F94" i="20"/>
  <c r="F85" i="20"/>
  <c r="F89" i="20" s="1"/>
  <c r="G31" i="20"/>
  <c r="E31" i="20"/>
  <c r="E85" i="20"/>
  <c r="E89" i="20" s="1"/>
  <c r="G85" i="20"/>
  <c r="G89" i="20" s="1"/>
  <c r="G94" i="20"/>
  <c r="G81" i="20" s="1" a="1"/>
  <c r="G81" i="20" s="1"/>
  <c r="G47" i="20"/>
  <c r="H97" i="20" l="1"/>
  <c r="H88" i="20"/>
  <c r="H91" i="20" s="1"/>
  <c r="H92" i="20" s="1"/>
  <c r="H104" i="20"/>
  <c r="E47" i="20"/>
  <c r="E82" i="20" a="1"/>
  <c r="E82" i="20" s="1"/>
  <c r="E96" i="20" s="1"/>
  <c r="E83" i="20" s="1" a="1"/>
  <c r="E83" i="20" s="1"/>
  <c r="F81" i="20" a="1"/>
  <c r="F81" i="20" s="1"/>
  <c r="F95" i="20" s="1"/>
  <c r="E43" i="20"/>
  <c r="G95" i="20"/>
  <c r="F47" i="20"/>
  <c r="F43" i="20"/>
  <c r="G43" i="20"/>
  <c r="F82" i="20" l="1" a="1"/>
  <c r="F82" i="20" s="1"/>
  <c r="F96" i="20" s="1"/>
  <c r="F83" i="20" s="1" a="1"/>
  <c r="F83" i="20" s="1"/>
  <c r="E104" i="20"/>
  <c r="A366" i="12" s="1"/>
  <c r="E97" i="20"/>
  <c r="E88" i="20"/>
  <c r="E91" i="20" s="1"/>
  <c r="E92" i="20" s="1"/>
  <c r="G82" i="20" a="1"/>
  <c r="G82" i="20" s="1"/>
  <c r="G96" i="20" s="1"/>
  <c r="AO366" i="12" l="1"/>
  <c r="O366" i="12"/>
  <c r="F104" i="20"/>
  <c r="A367" i="12" s="1"/>
  <c r="O367" i="12" s="1"/>
  <c r="F97" i="20"/>
  <c r="F88" i="20"/>
  <c r="F91" i="20" s="1"/>
  <c r="F92" i="20" s="1"/>
  <c r="G83" i="20" a="1"/>
  <c r="G83" i="20" s="1"/>
  <c r="G104" i="20" s="1"/>
  <c r="A368" i="12" l="1"/>
  <c r="A369" i="12"/>
  <c r="G88" i="20"/>
  <c r="G91" i="20" s="1"/>
  <c r="G92" i="20" s="1"/>
  <c r="G97" i="20"/>
  <c r="AO367" i="12"/>
  <c r="F557" i="12"/>
  <c r="L557" i="12" s="1"/>
  <c r="AO369" i="12" l="1"/>
  <c r="O369" i="12"/>
  <c r="A396" i="12"/>
  <c r="O396" i="12" s="1"/>
  <c r="O368" i="12"/>
  <c r="AO368" i="12"/>
  <c r="D557" i="12"/>
  <c r="J557" i="12" s="1"/>
  <c r="AO396" i="12" l="1"/>
  <c r="F544" i="12" l="1"/>
  <c r="L544" i="12" s="1"/>
  <c r="G544" i="12" l="1"/>
  <c r="D95" i="20" l="1"/>
  <c r="D82" i="20" l="1" a="1"/>
  <c r="D82" i="20" s="1"/>
  <c r="D96" i="20"/>
  <c r="D83" i="20" s="1" a="1"/>
  <c r="D83" i="20" s="1"/>
  <c r="D88" i="20" l="1"/>
  <c r="D91" i="20" s="1"/>
  <c r="D92" i="20" s="1"/>
  <c r="D84" i="20" s="1" a="1"/>
  <c r="D84" i="20" s="1"/>
  <c r="D102" i="20" s="1"/>
  <c r="D97" i="20"/>
  <c r="D33" i="20" l="1"/>
  <c r="D31" i="20" s="1"/>
  <c r="D45" i="20"/>
  <c r="D47" i="20" l="1"/>
  <c r="A390" i="12"/>
  <c r="O390" i="12" s="1"/>
  <c r="A378" i="12"/>
  <c r="O378" i="12" s="1"/>
  <c r="A391" i="12"/>
  <c r="O391" i="12" s="1"/>
  <c r="A386" i="12"/>
  <c r="O386" i="12" s="1"/>
  <c r="A388" i="12"/>
  <c r="O388" i="12" s="1"/>
  <c r="A392" i="12"/>
  <c r="O392" i="12" s="1"/>
  <c r="A387" i="12"/>
  <c r="O387" i="12" s="1"/>
  <c r="A376" i="12"/>
  <c r="O376" i="12" s="1"/>
  <c r="A381" i="12"/>
  <c r="O381" i="12" s="1"/>
  <c r="A379" i="12"/>
  <c r="O379" i="12" s="1"/>
  <c r="A389" i="12"/>
  <c r="O389" i="12" s="1"/>
  <c r="A384" i="12"/>
  <c r="O384" i="12" s="1"/>
  <c r="A380" i="12"/>
  <c r="O380" i="12" s="1"/>
  <c r="D43" i="20"/>
  <c r="A377" i="12"/>
  <c r="O377" i="12" s="1"/>
  <c r="A382" i="12"/>
  <c r="O382" i="12" s="1"/>
  <c r="A385" i="12"/>
  <c r="O385" i="12" s="1"/>
  <c r="D48" i="20"/>
  <c r="AO382" i="12" l="1"/>
  <c r="AO377" i="12"/>
  <c r="AO380" i="12"/>
  <c r="AO384" i="12"/>
  <c r="AO389" i="12"/>
  <c r="AO379" i="12"/>
  <c r="AO381" i="12"/>
  <c r="AO376" i="12"/>
  <c r="A540" i="12"/>
  <c r="AO387" i="12"/>
  <c r="AO392" i="12"/>
  <c r="AO388" i="12"/>
  <c r="AO386" i="12"/>
  <c r="AO391" i="12"/>
  <c r="AO378" i="12"/>
  <c r="AO385" i="12"/>
  <c r="AO390" i="12"/>
  <c r="A2" i="12" l="1" a="1"/>
  <c r="A2" i="12" s="1"/>
  <c r="O540" i="12"/>
  <c r="H540" i="12"/>
  <c r="AO540" i="12"/>
  <c r="F540" i="12"/>
  <c r="I540" i="12"/>
  <c r="A556" i="12" l="1"/>
  <c r="A550" i="12"/>
  <c r="A555" i="12" s="1"/>
  <c r="L540" i="12"/>
  <c r="G540" i="12"/>
  <c r="E540" i="12"/>
  <c r="B45" i="2" l="1" a="1"/>
  <c r="B45" i="2" s="1"/>
  <c r="B42" i="2" a="1"/>
  <c r="B42" i="2" s="1"/>
  <c r="B41" i="2" a="1"/>
  <c r="B41" i="2" s="1"/>
  <c r="B19" i="2" a="1"/>
  <c r="B19" i="2" s="1"/>
  <c r="B31" i="2" a="1"/>
  <c r="B31" i="2" s="1"/>
  <c r="B52" i="2" a="1"/>
  <c r="B52" i="2" s="1"/>
  <c r="B56" i="2" a="1"/>
  <c r="B56" i="2" s="1"/>
  <c r="B36" i="2" a="1"/>
  <c r="B36" i="2" s="1"/>
  <c r="B18" i="2" a="1"/>
  <c r="B18" i="2" s="1"/>
  <c r="B51" i="2" a="1"/>
  <c r="B51" i="2" s="1"/>
  <c r="B30" i="2" a="1"/>
  <c r="B30" i="2" s="1"/>
  <c r="B23" i="2" a="1"/>
  <c r="B23" i="2" s="1"/>
  <c r="B54" i="2" a="1"/>
  <c r="B54" i="2" s="1"/>
  <c r="B33" i="2" a="1"/>
  <c r="B33" i="2" s="1"/>
  <c r="B49" i="2" a="1"/>
  <c r="B49" i="2" s="1"/>
  <c r="F555" i="12"/>
  <c r="B43" i="2" a="1"/>
  <c r="B43" i="2" s="1"/>
  <c r="B27" i="2" a="1"/>
  <c r="B27" i="2" s="1"/>
  <c r="B26" i="2" a="1"/>
  <c r="B26" i="2" s="1"/>
  <c r="B28" i="2" a="1"/>
  <c r="B28" i="2" s="1"/>
  <c r="B44" i="2" a="1"/>
  <c r="B44" i="2" s="1"/>
  <c r="H555" i="12"/>
  <c r="B37" i="2" a="1"/>
  <c r="B37" i="2" s="1"/>
  <c r="B35" i="2" a="1"/>
  <c r="B35" i="2" s="1"/>
  <c r="B38" i="2" a="1"/>
  <c r="B38" i="2" s="1"/>
  <c r="I555" i="12"/>
  <c r="B20" i="2" a="1"/>
  <c r="B20" i="2" s="1"/>
  <c r="B48" i="2" a="1"/>
  <c r="B48" i="2" s="1"/>
  <c r="B39" i="2" a="1"/>
  <c r="B39" i="2" s="1"/>
  <c r="B53" i="2" a="1"/>
  <c r="B53" i="2" s="1"/>
  <c r="B32" i="2" a="1"/>
  <c r="B32" i="2" s="1"/>
  <c r="AO555" i="12"/>
  <c r="B25" i="2" a="1"/>
  <c r="B25" i="2" s="1"/>
  <c r="B40" i="2" a="1"/>
  <c r="B40" i="2" s="1"/>
  <c r="B47" i="2" a="1"/>
  <c r="B47" i="2" s="1"/>
  <c r="B50" i="2" a="1"/>
  <c r="B50" i="2" s="1"/>
  <c r="B21" i="2" a="1"/>
  <c r="B21" i="2" s="1"/>
  <c r="B29" i="2" a="1"/>
  <c r="B29" i="2" s="1"/>
  <c r="B24" i="2" a="1"/>
  <c r="B24" i="2" s="1"/>
  <c r="B22" i="2" a="1"/>
  <c r="B22" i="2" s="1"/>
  <c r="B34" i="2" a="1"/>
  <c r="B34" i="2" s="1"/>
  <c r="B46" i="2" a="1"/>
  <c r="B46" i="2" s="1"/>
  <c r="O555" i="12"/>
  <c r="B55" i="2" a="1"/>
  <c r="B55" i="2" s="1"/>
  <c r="G555" i="12"/>
  <c r="O550" i="12"/>
  <c r="C56" i="2" s="1" a="1"/>
  <c r="C56" i="2" s="1"/>
  <c r="J56" i="2" s="1"/>
  <c r="AO550" i="12"/>
  <c r="I556" i="12"/>
  <c r="O556" i="12"/>
  <c r="H556" i="12"/>
  <c r="AO556" i="12"/>
  <c r="F556" i="12"/>
  <c r="G556" i="12"/>
  <c r="D540" i="12"/>
  <c r="J540" i="12" s="1"/>
  <c r="K56" i="2" l="1"/>
  <c r="E555" i="12"/>
  <c r="L555" i="12"/>
  <c r="C43" i="2" a="1"/>
  <c r="C43" i="2" s="1"/>
  <c r="C28" i="2" a="1"/>
  <c r="C28" i="2" s="1"/>
  <c r="J28" i="2" s="1"/>
  <c r="K28" i="2" s="1"/>
  <c r="C31" i="2" a="1"/>
  <c r="C31" i="2" s="1"/>
  <c r="J31" i="2" s="1"/>
  <c r="K31" i="2" s="1"/>
  <c r="C53" i="2" a="1"/>
  <c r="C53" i="2" s="1"/>
  <c r="J53" i="2" s="1"/>
  <c r="K53" i="2" s="1"/>
  <c r="C34" i="2" a="1"/>
  <c r="C34" i="2" s="1"/>
  <c r="J34" i="2" s="1"/>
  <c r="K34" i="2" s="1"/>
  <c r="C49" i="2" a="1"/>
  <c r="C49" i="2" s="1"/>
  <c r="J49" i="2" s="1"/>
  <c r="K49" i="2" s="1"/>
  <c r="C35" i="2" a="1"/>
  <c r="C35" i="2" s="1"/>
  <c r="J35" i="2" s="1"/>
  <c r="K35" i="2" s="1"/>
  <c r="C44" i="2" a="1"/>
  <c r="C44" i="2" s="1"/>
  <c r="J44" i="2" s="1"/>
  <c r="K44" i="2" s="1"/>
  <c r="C46" i="2" a="1"/>
  <c r="C46" i="2" s="1"/>
  <c r="C52" i="2" a="1"/>
  <c r="C52" i="2" s="1"/>
  <c r="J52" i="2" s="1"/>
  <c r="K52" i="2" s="1"/>
  <c r="C55" i="2" a="1"/>
  <c r="C55" i="2" s="1"/>
  <c r="J55" i="2" s="1"/>
  <c r="K55" i="2" s="1"/>
  <c r="C37" i="2" a="1"/>
  <c r="C37" i="2" s="1"/>
  <c r="J37" i="2" s="1"/>
  <c r="K37" i="2" s="1"/>
  <c r="C27" i="2" a="1"/>
  <c r="C27" i="2" s="1"/>
  <c r="J27" i="2" s="1"/>
  <c r="K27" i="2" s="1"/>
  <c r="D555" i="12"/>
  <c r="J555" i="12" s="1"/>
  <c r="C45" i="2" a="1"/>
  <c r="C45" i="2" s="1"/>
  <c r="C38" i="2" a="1"/>
  <c r="C38" i="2" s="1"/>
  <c r="J38" i="2" s="1"/>
  <c r="K38" i="2" s="1"/>
  <c r="C24" i="2" a="1"/>
  <c r="C24" i="2" s="1"/>
  <c r="J24" i="2" s="1"/>
  <c r="K24" i="2" s="1"/>
  <c r="C32" i="2" a="1"/>
  <c r="C32" i="2" s="1"/>
  <c r="J32" i="2" s="1"/>
  <c r="K32" i="2" s="1"/>
  <c r="C23" i="2" a="1"/>
  <c r="C23" i="2" s="1"/>
  <c r="J23" i="2" s="1"/>
  <c r="K23" i="2" s="1"/>
  <c r="C26" i="2" a="1"/>
  <c r="C26" i="2" s="1"/>
  <c r="J26" i="2" s="1"/>
  <c r="K26" i="2" s="1"/>
  <c r="C42" i="2" a="1"/>
  <c r="C42" i="2" s="1"/>
  <c r="J42" i="2" s="1"/>
  <c r="K42" i="2" s="1"/>
  <c r="C22" i="2" a="1"/>
  <c r="C22" i="2" s="1"/>
  <c r="J22" i="2" s="1"/>
  <c r="K22" i="2" s="1"/>
  <c r="C48" i="2" a="1"/>
  <c r="C48" i="2" s="1"/>
  <c r="J48" i="2" s="1"/>
  <c r="K48" i="2" s="1"/>
  <c r="C36" i="2" a="1"/>
  <c r="C36" i="2" s="1"/>
  <c r="J36" i="2" s="1"/>
  <c r="K36" i="2" s="1"/>
  <c r="C20" i="2" a="1"/>
  <c r="C20" i="2" s="1"/>
  <c r="J20" i="2" s="1"/>
  <c r="K20" i="2" s="1"/>
  <c r="C41" i="2" a="1"/>
  <c r="C41" i="2" s="1"/>
  <c r="C39" i="2" a="1"/>
  <c r="C39" i="2" s="1"/>
  <c r="J39" i="2" s="1"/>
  <c r="K39" i="2" s="1"/>
  <c r="C30" i="2" a="1"/>
  <c r="C30" i="2" s="1"/>
  <c r="J30" i="2" s="1"/>
  <c r="K30" i="2" s="1"/>
  <c r="C50" i="2" a="1"/>
  <c r="C50" i="2" s="1"/>
  <c r="J50" i="2" s="1"/>
  <c r="K50" i="2" s="1"/>
  <c r="C25" i="2" a="1"/>
  <c r="C25" i="2" s="1"/>
  <c r="J25" i="2" s="1"/>
  <c r="K25" i="2" s="1"/>
  <c r="C47" i="2" a="1"/>
  <c r="C47" i="2" s="1"/>
  <c r="J47" i="2" s="1"/>
  <c r="K47" i="2" s="1"/>
  <c r="C40" i="2" a="1"/>
  <c r="C40" i="2" s="1"/>
  <c r="J40" i="2" s="1"/>
  <c r="K40" i="2" s="1"/>
  <c r="C51" i="2" a="1"/>
  <c r="C51" i="2" s="1"/>
  <c r="J51" i="2" s="1"/>
  <c r="K51" i="2" s="1"/>
  <c r="C29" i="2" a="1"/>
  <c r="C29" i="2" s="1"/>
  <c r="J29" i="2" s="1"/>
  <c r="K29" i="2" s="1"/>
  <c r="C19" i="2" a="1"/>
  <c r="C19" i="2" s="1"/>
  <c r="J19" i="2" s="1"/>
  <c r="K19" i="2" s="1"/>
  <c r="C18" i="2" a="1"/>
  <c r="C18" i="2" s="1"/>
  <c r="J18" i="2" s="1"/>
  <c r="K18" i="2" s="1"/>
  <c r="C33" i="2" a="1"/>
  <c r="C33" i="2" s="1"/>
  <c r="J33" i="2" s="1"/>
  <c r="K33" i="2" s="1"/>
  <c r="L556" i="12"/>
  <c r="D556" i="12"/>
  <c r="E556" i="12"/>
  <c r="C21" i="2" a="1"/>
  <c r="C21" i="2" s="1"/>
  <c r="J21" i="2" s="1"/>
  <c r="K21" i="2" s="1"/>
  <c r="C54" i="2" a="1"/>
  <c r="C54" i="2" s="1"/>
  <c r="J54" i="2" s="1"/>
  <c r="K54" i="2" s="1"/>
  <c r="J41" i="2" l="1"/>
  <c r="K41" i="2" s="1"/>
  <c r="J43" i="2"/>
  <c r="K43" i="2" s="1"/>
  <c r="J46" i="2"/>
  <c r="K46" i="2" s="1"/>
  <c r="J45" i="2"/>
  <c r="K45" i="2" s="1"/>
  <c r="J556" i="12"/>
  <c r="C5" i="6"/>
  <c r="K66" i="2" l="1"/>
  <c r="K67" i="2" s="1"/>
  <c r="K68" i="2" s="1"/>
  <c r="K69" i="2" s="1"/>
  <c r="J4" i="6" s="1"/>
  <c r="K70" i="2" l="1"/>
  <c r="D3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ROOTS</author>
  </authors>
  <commentList>
    <comment ref="B43" authorId="0" shapeId="0" xr:uid="{1B116716-ADAD-7044-9C9F-E874B9AD907F}">
      <text>
        <r>
          <rPr>
            <b/>
            <sz val="12"/>
            <color rgb="FF000000"/>
            <rFont val="Tahoma"/>
            <family val="2"/>
          </rPr>
          <t>TABLE: 54.7 IEE WIRING REGULATION</t>
        </r>
      </text>
    </comment>
    <comment ref="B51" authorId="0" shapeId="0" xr:uid="{7E396F43-A367-4D4B-BDFA-4B3EBC9FEFE1}">
      <text>
        <r>
          <rPr>
            <b/>
            <sz val="12"/>
            <color rgb="FF000000"/>
            <rFont val="Tahoma"/>
            <family val="2"/>
          </rPr>
          <t xml:space="preserve">70 deg Thermoplastic Insulated Cable (4D1, 4D2, 4D3, 4D4, 4D5)
</t>
        </r>
        <r>
          <rPr>
            <b/>
            <sz val="12"/>
            <color rgb="FF000000"/>
            <rFont val="Tahoma"/>
            <family val="2"/>
          </rPr>
          <t xml:space="preserve">90 deg Thermosetting Insulated Cable (4E1, 4E2, 4E3, 4E4)
</t>
        </r>
        <r>
          <rPr>
            <b/>
            <sz val="12"/>
            <color rgb="FF000000"/>
            <rFont val="Tahoma"/>
            <family val="2"/>
          </rPr>
          <t xml:space="preserve">Flexible Cable (4F1, 4F2, 4F3)
</t>
        </r>
        <r>
          <rPr>
            <b/>
            <sz val="12"/>
            <color rgb="FF000000"/>
            <rFont val="Tahoma"/>
            <family val="2"/>
          </rPr>
          <t xml:space="preserve">Mineral Insulated Cable (4G1, 4G2)
</t>
        </r>
        <r>
          <rPr>
            <b/>
            <sz val="12"/>
            <color rgb="FF000000"/>
            <rFont val="Tahoma"/>
            <family val="2"/>
          </rPr>
          <t xml:space="preserve">70 deg Thermoplastic Insulated Cable (4H1, 4H2, 4H3, 4H4)
</t>
        </r>
        <r>
          <rPr>
            <b/>
            <sz val="12"/>
            <color rgb="FF000000"/>
            <rFont val="Tahoma"/>
            <family val="2"/>
          </rPr>
          <t>90 deg Thermosetting Insulated Cable (4J1, 4J2, 4J3, 4J4)</t>
        </r>
      </text>
    </comment>
    <comment ref="N106" authorId="0" shapeId="0" xr:uid="{FD66E4EB-639D-CF42-B7A8-421C7E6E4281}">
      <text>
        <r>
          <rPr>
            <b/>
            <sz val="12"/>
            <color rgb="FF000000"/>
            <rFont val="Times New Roman"/>
            <family val="1"/>
          </rPr>
          <t>Enclosed in Conduit in Thermally insulating wall</t>
        </r>
      </text>
    </comment>
    <comment ref="O106" authorId="0" shapeId="0" xr:uid="{A7534D63-1FA8-614A-B72A-BE47DD7EE90D}">
      <text>
        <r>
          <rPr>
            <b/>
            <sz val="12"/>
            <color rgb="FF000000"/>
            <rFont val="Times New Roman"/>
            <family val="1"/>
          </rPr>
          <t>Enclosed in Conduit or trunking on or in a wall</t>
        </r>
      </text>
    </comment>
    <comment ref="P106" authorId="0" shapeId="0" xr:uid="{4D8CD7AE-CF94-1447-B7EB-CEF7F82F050B}">
      <text>
        <r>
          <rPr>
            <b/>
            <sz val="12"/>
            <color rgb="FF000000"/>
            <rFont val="Times New Roman"/>
            <family val="1"/>
          </rPr>
          <t>Clipped Direct on Surface or masonry (without conduit or trunking)</t>
        </r>
      </text>
    </comment>
    <comment ref="Q106" authorId="0" shapeId="0" xr:uid="{EA29B62D-9F66-1240-8A42-AF41A3771074}">
      <text>
        <r>
          <rPr>
            <b/>
            <sz val="12"/>
            <color rgb="FF000000"/>
            <rFont val="Times New Roman"/>
            <family val="1"/>
          </rPr>
          <t>Direct in Ground, or in ducting in Ground, in or around building</t>
        </r>
      </text>
    </comment>
    <comment ref="R106" authorId="0" shapeId="0" xr:uid="{8E33BFB5-1442-3A4C-AE27-FEB7F7824D01}">
      <text>
        <r>
          <rPr>
            <b/>
            <sz val="12"/>
            <color rgb="FF000000"/>
            <rFont val="Times New Roman"/>
            <family val="1"/>
          </rPr>
          <t>In free air or on a perforated cable tray, Horizontal or Vertical</t>
        </r>
      </text>
    </comment>
    <comment ref="S106" authorId="0" shapeId="0" xr:uid="{3B26BB97-4CE4-394D-A5B2-2EED5BEF0766}">
      <text>
        <r>
          <rPr>
            <b/>
            <sz val="12"/>
            <color indexed="81"/>
            <rFont val="Times New Roman"/>
            <family val="1"/>
          </rPr>
          <t>In free air or on a perforated cable tray, Horizontal or Vertical</t>
        </r>
      </text>
    </comment>
    <comment ref="T106" authorId="0" shapeId="0" xr:uid="{5F77EC20-437F-F143-8A17-892952284496}">
      <text>
        <r>
          <rPr>
            <b/>
            <sz val="12"/>
            <color indexed="81"/>
            <rFont val="Times New Roman"/>
            <family val="1"/>
          </rPr>
          <t>In free air</t>
        </r>
      </text>
    </comment>
    <comment ref="U106" authorId="0" shapeId="0" xr:uid="{7926F4D0-240C-A549-BB56-1A8D20051A85}">
      <text>
        <r>
          <rPr>
            <b/>
            <sz val="12"/>
            <color rgb="FF000000"/>
            <rFont val="Times New Roman"/>
            <family val="1"/>
          </rPr>
          <t>Flat twin and earth cable clipped direct to a wooden joist, or touching the plasterboard ceiling surface, above a plasterboard ceiling with thermal insulation =&lt;100mm thickness</t>
        </r>
      </text>
    </comment>
    <comment ref="V106" authorId="0" shapeId="0" xr:uid="{2AEB6554-29A1-2C4B-80A3-3FF23D8EB462}">
      <text>
        <r>
          <rPr>
            <b/>
            <sz val="12"/>
            <color rgb="FF000000"/>
            <rFont val="Times New Roman"/>
            <family val="1"/>
          </rPr>
          <t>Flat twin and earth cable clipped direct to a wooden joist, or touching the plasterboard ceiling surface, above a plasterboard ceiling with thermal insulation &gt;100mm thickness</t>
        </r>
      </text>
    </comment>
    <comment ref="W106" authorId="0" shapeId="0" xr:uid="{0429CCBC-6211-4B49-8F76-B4A50C2FEC0B}">
      <text>
        <r>
          <rPr>
            <b/>
            <sz val="12"/>
            <color rgb="FF000000"/>
            <rFont val="Times New Roman"/>
            <family val="1"/>
          </rPr>
          <t>Flat twin and earth cable in a stud wall with thermal insulation, touching the inner wall surface, or touching the plasterboard ceiling surface, above a plasterboard ceiling</t>
        </r>
      </text>
    </comment>
    <comment ref="X106" authorId="0" shapeId="0" xr:uid="{EF8B6C84-CEC8-974F-8DE4-28AB2B023D4B}">
      <text>
        <r>
          <rPr>
            <b/>
            <sz val="12"/>
            <color indexed="81"/>
            <rFont val="Times New Roman"/>
            <family val="1"/>
          </rPr>
          <t>Flat twin and earth cable in a stud wall with thermal insulation, and not touching the inner wall surface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<sst xmlns="http://schemas.openxmlformats.org/spreadsheetml/2006/main" count="5561" uniqueCount="2836">
  <si>
    <r>
      <t xml:space="preserve">T </t>
    </r>
    <r>
      <rPr>
        <b/>
        <sz val="12"/>
        <color indexed="17"/>
        <rFont val="Trebuchet MS"/>
        <family val="2"/>
      </rPr>
      <t xml:space="preserve">I N O  </t>
    </r>
    <r>
      <rPr>
        <b/>
        <sz val="14"/>
        <color indexed="17"/>
        <rFont val="Trebuchet MS"/>
        <family val="2"/>
      </rPr>
      <t>S O L U T I O N S  LTD</t>
    </r>
    <r>
      <rPr>
        <sz val="12"/>
        <rFont val="Trebuchet MS"/>
        <family val="2"/>
      </rPr>
      <t xml:space="preserve">
P. O. Box LG 817, Legon
 Accra - Ghana
Tel: 233 (0) 302 241 971, 0541 123 430</t>
    </r>
  </si>
  <si>
    <t/>
  </si>
  <si>
    <t>Customer</t>
  </si>
  <si>
    <t>Misc</t>
  </si>
  <si>
    <t>Name</t>
  </si>
  <si>
    <t>Date</t>
  </si>
  <si>
    <t>Address</t>
  </si>
  <si>
    <t>Order No.</t>
  </si>
  <si>
    <t>City</t>
  </si>
  <si>
    <t>Rep</t>
  </si>
  <si>
    <t>Currency</t>
  </si>
  <si>
    <t>Qty</t>
  </si>
  <si>
    <t>Description</t>
  </si>
  <si>
    <t>Unit Price</t>
  </si>
  <si>
    <t>TOTAL</t>
  </si>
  <si>
    <t xml:space="preserve">SubTotal  </t>
  </si>
  <si>
    <t xml:space="preserve">TOTAL </t>
  </si>
  <si>
    <t>Terms of Sale:</t>
  </si>
  <si>
    <t>GH₵</t>
  </si>
  <si>
    <t>Emmanuel</t>
  </si>
  <si>
    <t>Bank Name: STANDARD CHARTERED BANK GHANA LIMITED</t>
  </si>
  <si>
    <t>Swift Code: SCBLGHACXXX</t>
  </si>
  <si>
    <t>Sort Code: 020127</t>
  </si>
  <si>
    <t>Fronius Primo 3kw light</t>
  </si>
  <si>
    <t>Fronius Primo 5kw light</t>
  </si>
  <si>
    <t>Fronius Primo 8.2kw light</t>
  </si>
  <si>
    <t>Mankoadze</t>
  </si>
  <si>
    <t>0545245745</t>
  </si>
  <si>
    <t>Apostle Baidoo</t>
  </si>
  <si>
    <t>Kasoa</t>
  </si>
  <si>
    <t>0504253726</t>
  </si>
  <si>
    <t>Dr. Tony Aidoo</t>
  </si>
  <si>
    <t>East Legon</t>
  </si>
  <si>
    <t>0244355633</t>
  </si>
  <si>
    <t>Rider Steel</t>
  </si>
  <si>
    <t>Tema</t>
  </si>
  <si>
    <t>HPW Fresh &amp; Dry</t>
  </si>
  <si>
    <t>Adeiso</t>
  </si>
  <si>
    <t>Adjringanor</t>
  </si>
  <si>
    <t>Mr. Ebow - IT Consortium</t>
  </si>
  <si>
    <t>Tema, Community 22</t>
  </si>
  <si>
    <t>Ada Island</t>
  </si>
  <si>
    <t>Ada</t>
  </si>
  <si>
    <t>Mr. Kobla Nyaletey</t>
  </si>
  <si>
    <t>Tema, Community 25</t>
  </si>
  <si>
    <t>0243157124</t>
  </si>
  <si>
    <t>Airport Hills</t>
  </si>
  <si>
    <t>IT Consortium</t>
  </si>
  <si>
    <t>Mad. Rebecca</t>
  </si>
  <si>
    <t>Bolgatanga</t>
  </si>
  <si>
    <t>Mr. Emmanuel Owusu Ansah</t>
  </si>
  <si>
    <t>Kumasi</t>
  </si>
  <si>
    <t>Col. Babilah Sampan</t>
  </si>
  <si>
    <t>Trade Fair</t>
  </si>
  <si>
    <t>0207419025</t>
  </si>
  <si>
    <t>Dr. Solomon</t>
  </si>
  <si>
    <t>Star Villa Hotel</t>
  </si>
  <si>
    <t>Kpong</t>
  </si>
  <si>
    <t>0206068598</t>
  </si>
  <si>
    <t>Nagiza Pharmacy</t>
  </si>
  <si>
    <t>Somanya</t>
  </si>
  <si>
    <t>0249150857</t>
  </si>
  <si>
    <t>Botwe, Lake Side</t>
  </si>
  <si>
    <t>0244125717</t>
  </si>
  <si>
    <t>Dr. Tweneboah-Koduah</t>
  </si>
  <si>
    <t>0244842233</t>
  </si>
  <si>
    <t>Pastor</t>
  </si>
  <si>
    <t>West Legon</t>
  </si>
  <si>
    <t>Barclays ATM, Kwabenya</t>
  </si>
  <si>
    <t>Kwabenya</t>
  </si>
  <si>
    <t>Mad. Diane Manful</t>
  </si>
  <si>
    <t>Dr. Alijah</t>
  </si>
  <si>
    <t>Dzorwulu</t>
  </si>
  <si>
    <t>Mr. Fred Bagonluri</t>
  </si>
  <si>
    <t>Teiman</t>
  </si>
  <si>
    <t>Col. Tekyi</t>
  </si>
  <si>
    <t>Mr. Stephen Abbey</t>
  </si>
  <si>
    <t>Kasoa, Millelium City</t>
  </si>
  <si>
    <t>0249029036</t>
  </si>
  <si>
    <t>Technoserve</t>
  </si>
  <si>
    <t>Teshie</t>
  </si>
  <si>
    <t>0269827541</t>
  </si>
  <si>
    <t>Don Bosco</t>
  </si>
  <si>
    <t>Nana Ohene Gyan</t>
  </si>
  <si>
    <t>0502085511</t>
  </si>
  <si>
    <t>Toll Booth</t>
  </si>
  <si>
    <t>Pobiman</t>
  </si>
  <si>
    <t>Seth Kye</t>
  </si>
  <si>
    <t>0243202246</t>
  </si>
  <si>
    <t>Pentecost Hospital</t>
  </si>
  <si>
    <t>Madina Estates</t>
  </si>
  <si>
    <t>0244667816</t>
  </si>
  <si>
    <t>Col. Ivy Tamakloe</t>
  </si>
  <si>
    <t>Amrahia</t>
  </si>
  <si>
    <t>Francis Digber</t>
  </si>
  <si>
    <t>No. 8 Kisseman crescent</t>
  </si>
  <si>
    <t>0208113062</t>
  </si>
  <si>
    <t>Dr. Awudu Tinorgh</t>
  </si>
  <si>
    <t>0269431524</t>
  </si>
  <si>
    <t>Mr. Senyo Amengo</t>
  </si>
  <si>
    <t>0208303920</t>
  </si>
  <si>
    <t>Life Forms Limited</t>
  </si>
  <si>
    <t>Labone</t>
  </si>
  <si>
    <t>0268666838</t>
  </si>
  <si>
    <t>Mr. Francis Dancan</t>
  </si>
  <si>
    <t>Pokuase</t>
  </si>
  <si>
    <t>0208887879</t>
  </si>
  <si>
    <t>Dr. Quartey</t>
  </si>
  <si>
    <t>Pokuase, ACP Estates</t>
  </si>
  <si>
    <t>0262012364</t>
  </si>
  <si>
    <t>Mad. Susana Otchere</t>
  </si>
  <si>
    <t>North Kaneshie</t>
  </si>
  <si>
    <t>0208110033</t>
  </si>
  <si>
    <t>Mr. Richmond Amartey</t>
  </si>
  <si>
    <t>Tema, Community 18</t>
  </si>
  <si>
    <t>0208198308</t>
  </si>
  <si>
    <t>Col. Akorful</t>
  </si>
  <si>
    <t>Ashiyie</t>
  </si>
  <si>
    <t>0244313491</t>
  </si>
  <si>
    <t>Mr. John Akonful</t>
  </si>
  <si>
    <t>Spintex</t>
  </si>
  <si>
    <t>0208180445</t>
  </si>
  <si>
    <t>UNHCR</t>
  </si>
  <si>
    <t>Fetentaa</t>
  </si>
  <si>
    <t>ECOBANK, Harper Road</t>
  </si>
  <si>
    <t>Harper Road, Kumasi</t>
  </si>
  <si>
    <t>ECOBANK, Kwabenya</t>
  </si>
  <si>
    <t>ECOBANK, Tudu</t>
  </si>
  <si>
    <t>Tudu</t>
  </si>
  <si>
    <t>ECOBANK, Kwashieman</t>
  </si>
  <si>
    <t>Kwashieman</t>
  </si>
  <si>
    <t>Jacob Aguda</t>
  </si>
  <si>
    <t>Amarmoley</t>
  </si>
  <si>
    <t>0244602960</t>
  </si>
  <si>
    <t>Mad. Esther Percy</t>
  </si>
  <si>
    <t>0277402353</t>
  </si>
  <si>
    <t>Cheki Ghana</t>
  </si>
  <si>
    <t>0242077030</t>
  </si>
  <si>
    <t>Mr. Eric Amoako-Twum</t>
  </si>
  <si>
    <t>0202097989</t>
  </si>
  <si>
    <t>Mr. Richard Torku</t>
  </si>
  <si>
    <t>Botwe</t>
  </si>
  <si>
    <t>0242732899</t>
  </si>
  <si>
    <t>Joojo</t>
  </si>
  <si>
    <t>0244656550</t>
  </si>
  <si>
    <t>Mamadu Saidu Camara</t>
  </si>
  <si>
    <t>0545515581</t>
  </si>
  <si>
    <t>Mark</t>
  </si>
  <si>
    <t>Mr. Andrew Bodom</t>
  </si>
  <si>
    <t>Tema, Golf City</t>
  </si>
  <si>
    <t>0244711696</t>
  </si>
  <si>
    <t>Sofo Ali</t>
  </si>
  <si>
    <t>Kwabenya / Dansoman</t>
  </si>
  <si>
    <t>0203321586</t>
  </si>
  <si>
    <t>Stella Tagoe</t>
  </si>
  <si>
    <t>0206629048</t>
  </si>
  <si>
    <t>Ama</t>
  </si>
  <si>
    <t>Abelenkpe</t>
  </si>
  <si>
    <t>0202518318
0244136281</t>
  </si>
  <si>
    <t>Adwoa Opoku</t>
  </si>
  <si>
    <t>East Legon, 4 Bamako Road</t>
  </si>
  <si>
    <t>Isaac Okyere</t>
  </si>
  <si>
    <t>Dome</t>
  </si>
  <si>
    <t>0244111611</t>
  </si>
  <si>
    <t>Asante Kingsley Ofori</t>
  </si>
  <si>
    <t>Kwabenya, Point 1</t>
  </si>
  <si>
    <t>0244261212</t>
  </si>
  <si>
    <t>Jibral Suleman Daddah</t>
  </si>
  <si>
    <t>0244504272</t>
  </si>
  <si>
    <t>Stephen Abban</t>
  </si>
  <si>
    <t>Agbogba</t>
  </si>
  <si>
    <t>0263132317</t>
  </si>
  <si>
    <t>Ama Kye Sasu Alberta</t>
  </si>
  <si>
    <t>0264119981</t>
  </si>
  <si>
    <t>Deen Sampson</t>
  </si>
  <si>
    <t>0249798888</t>
  </si>
  <si>
    <t>Mensah Frank K. B.</t>
  </si>
  <si>
    <t>02460273210</t>
  </si>
  <si>
    <t>Ilide Ifeanyichukwu Precious</t>
  </si>
  <si>
    <t>Westland</t>
  </si>
  <si>
    <t>0547327569</t>
  </si>
  <si>
    <t>Presbyterian Church, Adenta</t>
  </si>
  <si>
    <t>Adenta</t>
  </si>
  <si>
    <t>0504762215</t>
  </si>
  <si>
    <t>Galley S. Dephor</t>
  </si>
  <si>
    <t>0244261347 
0558333333</t>
  </si>
  <si>
    <t>Emmanuel Frimpong Okyere</t>
  </si>
  <si>
    <t>Roman Ridge</t>
  </si>
  <si>
    <t>0231129689</t>
  </si>
  <si>
    <t>Koranchie Richard</t>
  </si>
  <si>
    <t>New Dawhenya</t>
  </si>
  <si>
    <t>0263195502</t>
  </si>
  <si>
    <t>Katamanso</t>
  </si>
  <si>
    <t>Baidoo Benjamin</t>
  </si>
  <si>
    <t>0208222314</t>
  </si>
  <si>
    <t>Ohipeni Araba Alberta</t>
  </si>
  <si>
    <t>Tema, Community 9</t>
  </si>
  <si>
    <t>0244304423</t>
  </si>
  <si>
    <t>Adu-Gyamfi Randy</t>
  </si>
  <si>
    <t>Tema, Community 17</t>
  </si>
  <si>
    <t>0249180888</t>
  </si>
  <si>
    <t>Naaeder Adelaide</t>
  </si>
  <si>
    <t>Adabraka</t>
  </si>
  <si>
    <t>0202448138</t>
  </si>
  <si>
    <t>Stephen Keni Amartey</t>
  </si>
  <si>
    <t>0244816318</t>
  </si>
  <si>
    <t>James Ampadu Asante</t>
  </si>
  <si>
    <t>Ashaiman</t>
  </si>
  <si>
    <t>0272131682</t>
  </si>
  <si>
    <t>Aryee Ebenezer</t>
  </si>
  <si>
    <t>North Gbawe</t>
  </si>
  <si>
    <t>0242644984</t>
  </si>
  <si>
    <t>Eric Norman</t>
  </si>
  <si>
    <t>New Achimota</t>
  </si>
  <si>
    <t>0541682675</t>
  </si>
  <si>
    <t>Awudu Khadija</t>
  </si>
  <si>
    <t>Accra</t>
  </si>
  <si>
    <t>0244371436</t>
  </si>
  <si>
    <t>Ntow Rita Boatema</t>
  </si>
  <si>
    <t>Gbawe</t>
  </si>
  <si>
    <t>0202929926</t>
  </si>
  <si>
    <t>St. Lucas Health Centre</t>
  </si>
  <si>
    <t>Wiaga - Builsa District</t>
  </si>
  <si>
    <t>0507231007</t>
  </si>
  <si>
    <t>Young Djean</t>
  </si>
  <si>
    <t>Saboba - Chereponi District</t>
  </si>
  <si>
    <t>0204934208</t>
  </si>
  <si>
    <t>Ken Kubuga</t>
  </si>
  <si>
    <t>Tamale Polytechnic</t>
  </si>
  <si>
    <t>0264887736</t>
  </si>
  <si>
    <t>Mensvic Hotel Ltd</t>
  </si>
  <si>
    <t>0244662227</t>
  </si>
  <si>
    <t>Julian Adiase</t>
  </si>
  <si>
    <t>Tema, Community 1</t>
  </si>
  <si>
    <t>0244615253</t>
  </si>
  <si>
    <t>Eric Mensah</t>
  </si>
  <si>
    <t>0244238154</t>
  </si>
  <si>
    <t>Mr. Yaw Benone</t>
  </si>
  <si>
    <t>Sakaman</t>
  </si>
  <si>
    <t>0244483394</t>
  </si>
  <si>
    <t>David Kwate Quartey</t>
  </si>
  <si>
    <t>Cantonments</t>
  </si>
  <si>
    <t>0264684677</t>
  </si>
  <si>
    <t>Sekyiamah Nana Darkoa</t>
  </si>
  <si>
    <t>0261886190</t>
  </si>
  <si>
    <t>Holloway Philip</t>
  </si>
  <si>
    <t>0205074164</t>
  </si>
  <si>
    <t>St. Cyr Doris Afua</t>
  </si>
  <si>
    <t>0246584384</t>
  </si>
  <si>
    <t>Owusu Gabriel</t>
  </si>
  <si>
    <t>Afienya - Mataheko</t>
  </si>
  <si>
    <t>0244650656</t>
  </si>
  <si>
    <t>Nestle Ghana Factory 24V/1.2kVA (002)</t>
  </si>
  <si>
    <t>0248707010</t>
  </si>
  <si>
    <t>Nestle Ghana 24V/3KVA (004)</t>
  </si>
  <si>
    <t>Nestle Ghana 24V/350VA (006) Warehouse</t>
  </si>
  <si>
    <t>0246283848</t>
  </si>
  <si>
    <t>Nestle Ghana 48V/5KVA (003)</t>
  </si>
  <si>
    <t>Nestle Ghana 48V/5KVA (001)</t>
  </si>
  <si>
    <t>Nestle Ghana Limited, Head office 1.2KVA (009)</t>
  </si>
  <si>
    <t>0501260482</t>
  </si>
  <si>
    <t>Nestle Ghana Limited, Head office 1.6KVA (008)</t>
  </si>
  <si>
    <t>Nestle Ghana Limited, Head office 5KVA - Server Room (007)</t>
  </si>
  <si>
    <t xml:space="preserve">Don Bosco Solar Training </t>
  </si>
  <si>
    <t>0268731202</t>
  </si>
  <si>
    <t>Lawyer Thomas Acquah</t>
  </si>
  <si>
    <t>0245390468</t>
  </si>
  <si>
    <t>Elsie Yaokumah</t>
  </si>
  <si>
    <t>Oyibi, Ayensu River Estates</t>
  </si>
  <si>
    <t>0208250428</t>
  </si>
  <si>
    <t>Derek Tengey</t>
  </si>
  <si>
    <t>Ashale Botwe</t>
  </si>
  <si>
    <t>0244028812</t>
  </si>
  <si>
    <t>Nana Adjekum</t>
  </si>
  <si>
    <t>Sakumono</t>
  </si>
  <si>
    <t>0248245171</t>
  </si>
  <si>
    <t>Aima Biga</t>
  </si>
  <si>
    <t>Manet Palm Estate</t>
  </si>
  <si>
    <t>0243511110</t>
  </si>
  <si>
    <t>Albert Biga</t>
  </si>
  <si>
    <t>La</t>
  </si>
  <si>
    <t>0244314580</t>
  </si>
  <si>
    <t>Zoobashop</t>
  </si>
  <si>
    <t>Trade Fair, La</t>
  </si>
  <si>
    <t>0244314589</t>
  </si>
  <si>
    <t>LSD Motors Limited</t>
  </si>
  <si>
    <t>0244601721</t>
  </si>
  <si>
    <t>Kweku Dontoh</t>
  </si>
  <si>
    <t>0262240553</t>
  </si>
  <si>
    <t>Mad. Risse</t>
  </si>
  <si>
    <t>0208140587</t>
  </si>
  <si>
    <t>Albert Tackie</t>
  </si>
  <si>
    <t>West Hills, Weija</t>
  </si>
  <si>
    <t>0244265024</t>
  </si>
  <si>
    <t>ECOBANK, Tamale</t>
  </si>
  <si>
    <t>Tamale</t>
  </si>
  <si>
    <t>Francis Ahlidza</t>
  </si>
  <si>
    <t>Danfa</t>
  </si>
  <si>
    <t>0208178730</t>
  </si>
  <si>
    <t>Kofi Agyen</t>
  </si>
  <si>
    <t>Trasacco</t>
  </si>
  <si>
    <t>Mr. Franklin Eleblu</t>
  </si>
  <si>
    <t>0243576745</t>
  </si>
  <si>
    <t>Direct Savings and Loans, Dzorwulu</t>
  </si>
  <si>
    <t>Prof. Anamuah-Mensah</t>
  </si>
  <si>
    <t>Cape Coast</t>
  </si>
  <si>
    <t>0206774104</t>
  </si>
  <si>
    <t>DPGG Vivo Energy Shell</t>
  </si>
  <si>
    <t>Tema Community 2</t>
  </si>
  <si>
    <t>0509695225</t>
  </si>
  <si>
    <t>Mr. Anthony Tweneboah-Koduah</t>
  </si>
  <si>
    <t>0208227099</t>
  </si>
  <si>
    <t>Samuel Addo Frimpong</t>
  </si>
  <si>
    <t>Nana Krom, Botwe</t>
  </si>
  <si>
    <t>0243119687</t>
  </si>
  <si>
    <t>Kojo Hesse</t>
  </si>
  <si>
    <t>Labadi</t>
  </si>
  <si>
    <t>Techno Serve</t>
  </si>
  <si>
    <t>Atuah Kwesi Aboagye</t>
  </si>
  <si>
    <t>0244437132</t>
  </si>
  <si>
    <t>Selorm</t>
  </si>
  <si>
    <t>Powerland, Madina</t>
  </si>
  <si>
    <t>0209607533</t>
  </si>
  <si>
    <t>Yawo Farms</t>
  </si>
  <si>
    <t>Ayikuma</t>
  </si>
  <si>
    <t>0244315547</t>
  </si>
  <si>
    <t>Stephen Appiah-Agyei</t>
  </si>
  <si>
    <t>Lakeside, Botwe</t>
  </si>
  <si>
    <t>0242979934</t>
  </si>
  <si>
    <t>ECOBANK, Tema Community 1</t>
  </si>
  <si>
    <t>Tema Community 1</t>
  </si>
  <si>
    <t>DENG</t>
  </si>
  <si>
    <t>Shiashie</t>
  </si>
  <si>
    <t>0540125291</t>
  </si>
  <si>
    <t>MGM Farms</t>
  </si>
  <si>
    <t>0242084236</t>
  </si>
  <si>
    <t>Direct Savings and Loans, Tesano</t>
  </si>
  <si>
    <t>Tesano</t>
  </si>
  <si>
    <t>Action Chapel Rev. John Buabeng</t>
  </si>
  <si>
    <t>Haatso</t>
  </si>
  <si>
    <t>0244637785</t>
  </si>
  <si>
    <t>Marcelin Zahuil</t>
  </si>
  <si>
    <t>Takoradi</t>
  </si>
  <si>
    <t>Tino Inlaw</t>
  </si>
  <si>
    <t>Bujwei IT Consortium</t>
  </si>
  <si>
    <t>Tema Community, 18</t>
  </si>
  <si>
    <t>Potential Referral by Steve Amanor</t>
  </si>
  <si>
    <t>Tema Community, 25</t>
  </si>
  <si>
    <t>Biersdorf Ghana Limited</t>
  </si>
  <si>
    <t>Opeibea</t>
  </si>
  <si>
    <t>0561261600 
0260757570</t>
  </si>
  <si>
    <t>Stephen Amanor</t>
  </si>
  <si>
    <t>Abokobi</t>
  </si>
  <si>
    <t>0277812614</t>
  </si>
  <si>
    <t>Victor Nofong, Bernice</t>
  </si>
  <si>
    <t>Frafraha</t>
  </si>
  <si>
    <t>0240128412
0244981972</t>
  </si>
  <si>
    <t>0204219544</t>
  </si>
  <si>
    <t>Twinkle Tots School</t>
  </si>
  <si>
    <t>0244324784</t>
  </si>
  <si>
    <t>Charles Labba</t>
  </si>
  <si>
    <t>Dr. Andrew Asibey</t>
  </si>
  <si>
    <t>Tema Community 18</t>
  </si>
  <si>
    <t>0504518112</t>
  </si>
  <si>
    <t>Col. Charles Ardayfio</t>
  </si>
  <si>
    <t>Mataheko</t>
  </si>
  <si>
    <t>0243589819</t>
  </si>
  <si>
    <t>North Ridge Lyceum</t>
  </si>
  <si>
    <t>Dr. Buckle</t>
  </si>
  <si>
    <t>Botwe, School Junction</t>
  </si>
  <si>
    <t>0244333322</t>
  </si>
  <si>
    <t>Mr. Eric Effah - UNHCR</t>
  </si>
  <si>
    <t>0544335326 
0244262311 
0502169698</t>
  </si>
  <si>
    <t>Prof. Aloysius Denkabe</t>
  </si>
  <si>
    <t>0246156435</t>
  </si>
  <si>
    <t>Jusbro Filling Station</t>
  </si>
  <si>
    <t>Asuoyebuah, Kumasi</t>
  </si>
  <si>
    <t>0544323141</t>
  </si>
  <si>
    <t>Darfin Finance</t>
  </si>
  <si>
    <t>Joojo IT Consortium</t>
  </si>
  <si>
    <t>Pantang</t>
  </si>
  <si>
    <t>0208173137</t>
  </si>
  <si>
    <t>Total Logistics</t>
  </si>
  <si>
    <t>0244352479</t>
  </si>
  <si>
    <t>Alfred Oko Vanderpuye, Office</t>
  </si>
  <si>
    <t>Mamprobi</t>
  </si>
  <si>
    <t>0202019155</t>
  </si>
  <si>
    <t>Glofert Office</t>
  </si>
  <si>
    <t>Capital View Hotel Residence</t>
  </si>
  <si>
    <t>Koforidua</t>
  </si>
  <si>
    <t>Capital View Hotel, Koforidua</t>
  </si>
  <si>
    <t>Kofi Adu Antwi Johnny</t>
  </si>
  <si>
    <t>Dawhenya</t>
  </si>
  <si>
    <t>0272200800 
0244370915</t>
  </si>
  <si>
    <t>Amponsah Effah Pharmaceuticals</t>
  </si>
  <si>
    <t>Osa-Kwaw Sowah</t>
  </si>
  <si>
    <t>Osu</t>
  </si>
  <si>
    <t>0244365329</t>
  </si>
  <si>
    <t>Rev. Bansah</t>
  </si>
  <si>
    <t>0244859644</t>
  </si>
  <si>
    <t>Repair Works</t>
  </si>
  <si>
    <t>Show room</t>
  </si>
  <si>
    <t>Michael</t>
  </si>
  <si>
    <t>Lawyer Kizito</t>
  </si>
  <si>
    <t>Michael Aguadzi</t>
  </si>
  <si>
    <t>0244777904</t>
  </si>
  <si>
    <t>Ghana Railways Company Limited</t>
  </si>
  <si>
    <t>Lawyer Tetteh</t>
  </si>
  <si>
    <t>Francis Dei</t>
  </si>
  <si>
    <t>Oyarifa</t>
  </si>
  <si>
    <t>0242022517</t>
  </si>
  <si>
    <t>Total Petroleum Ghana Limited, Sunyani East</t>
  </si>
  <si>
    <t>Sunyani-East</t>
  </si>
  <si>
    <t>Stephen Ntiri</t>
  </si>
  <si>
    <t>Weija</t>
  </si>
  <si>
    <t>0273015050</t>
  </si>
  <si>
    <t>Gershon Koku Kumor</t>
  </si>
  <si>
    <t>0244814047</t>
  </si>
  <si>
    <t>Boahin Kwaku</t>
  </si>
  <si>
    <t>Spintex Road</t>
  </si>
  <si>
    <t>0247208974</t>
  </si>
  <si>
    <t>George Ametepe</t>
  </si>
  <si>
    <t>0243783478</t>
  </si>
  <si>
    <t>Mr. Nartey</t>
  </si>
  <si>
    <t>Community 25, Devtraco, Tema</t>
  </si>
  <si>
    <t>0244601216 
0244939187</t>
  </si>
  <si>
    <t>Airport</t>
  </si>
  <si>
    <t>0244851193</t>
  </si>
  <si>
    <t>Madam Ama</t>
  </si>
  <si>
    <t>Tino Solutions Limited Warehouse</t>
  </si>
  <si>
    <t>0541123430</t>
  </si>
  <si>
    <t>Hayssan Fakhry/ Interplast</t>
  </si>
  <si>
    <t>Ruth Osei Twinkle Tots House</t>
  </si>
  <si>
    <t>Kwame Amoah Ntow</t>
  </si>
  <si>
    <t>0244225306</t>
  </si>
  <si>
    <t>Eric Adams</t>
  </si>
  <si>
    <t>0244626332</t>
  </si>
  <si>
    <t>Candem Pharmacy</t>
  </si>
  <si>
    <t>Tsaado</t>
  </si>
  <si>
    <t>0269513225</t>
  </si>
  <si>
    <t>Mrs. Hayford</t>
  </si>
  <si>
    <t>0244682728</t>
  </si>
  <si>
    <t>Mr. Peprah MPS</t>
  </si>
  <si>
    <t>Madam Bridget</t>
  </si>
  <si>
    <t>0244690220</t>
  </si>
  <si>
    <t>Mariam Ekow</t>
  </si>
  <si>
    <t>Adjei Kojo</t>
  </si>
  <si>
    <t>0242362333</t>
  </si>
  <si>
    <t>Josephine Nkrumah</t>
  </si>
  <si>
    <t>0243447711</t>
  </si>
  <si>
    <t>Giorgio Armanio</t>
  </si>
  <si>
    <t>0243345360</t>
  </si>
  <si>
    <t>Mr. &amp; Mrs. Ayittey</t>
  </si>
  <si>
    <t>Community 22 Tema</t>
  </si>
  <si>
    <t>Joyce Lomotey</t>
  </si>
  <si>
    <t>Community 19 Tema</t>
  </si>
  <si>
    <t>0591724382</t>
  </si>
  <si>
    <t>Empire Concrete</t>
  </si>
  <si>
    <t>0548959181</t>
  </si>
  <si>
    <t>Ernest Abotsi Torku</t>
  </si>
  <si>
    <t>0244606280</t>
  </si>
  <si>
    <t>Mr. Brown - Total Logistics - House</t>
  </si>
  <si>
    <t xml:space="preserve">Spintex </t>
  </si>
  <si>
    <t>Francois Dapelgo</t>
  </si>
  <si>
    <t>Madina ARS</t>
  </si>
  <si>
    <t>0202050331</t>
  </si>
  <si>
    <t>Aburi</t>
  </si>
  <si>
    <t>0545247211</t>
  </si>
  <si>
    <t>Oheneba Early School - Sheila Ohene</t>
  </si>
  <si>
    <t>Juliet King Kudjanu</t>
  </si>
  <si>
    <t>0245055416</t>
  </si>
  <si>
    <t>Dr. Yaw Ansu</t>
  </si>
  <si>
    <t>0240903664</t>
  </si>
  <si>
    <t>Prof. Joshua Alabi</t>
  </si>
  <si>
    <t>0244359760</t>
  </si>
  <si>
    <t>Mr. Wilson Jeremie</t>
  </si>
  <si>
    <t>Cantoment</t>
  </si>
  <si>
    <t>Cape 3 Oil and Gas</t>
  </si>
  <si>
    <t>Sun city</t>
  </si>
  <si>
    <t>Kwame Boateng</t>
  </si>
  <si>
    <t>0246233796</t>
  </si>
  <si>
    <t>Dr. Akwetey</t>
  </si>
  <si>
    <t>Tema com. 25</t>
  </si>
  <si>
    <t>0246455411</t>
  </si>
  <si>
    <t>Madam Vinolia</t>
  </si>
  <si>
    <t>0244313290</t>
  </si>
  <si>
    <t>Pinora</t>
  </si>
  <si>
    <t>Asamankese</t>
  </si>
  <si>
    <t>0544315517</t>
  </si>
  <si>
    <t>Mr. Sam Asante</t>
  </si>
  <si>
    <t>Tema com.18</t>
  </si>
  <si>
    <t>0543106539</t>
  </si>
  <si>
    <t>Mr. Albert Fiawosima</t>
  </si>
  <si>
    <t>Tema com.25</t>
  </si>
  <si>
    <t>024496892</t>
  </si>
  <si>
    <t>Potential Client Albert</t>
  </si>
  <si>
    <t>Trasacco Maajo</t>
  </si>
  <si>
    <t>0209995001</t>
  </si>
  <si>
    <t>Vera Doku</t>
  </si>
  <si>
    <t>0244627994</t>
  </si>
  <si>
    <t>Terry</t>
  </si>
  <si>
    <t>Tema Community 3</t>
  </si>
  <si>
    <t>0205182168</t>
  </si>
  <si>
    <t>0552829714</t>
  </si>
  <si>
    <t>Mrs. Dinah Adjaye</t>
  </si>
  <si>
    <t>Adjiriganor</t>
  </si>
  <si>
    <t>0202414417</t>
  </si>
  <si>
    <t>Sun flower Residence</t>
  </si>
  <si>
    <t>0244119981</t>
  </si>
  <si>
    <t>Sun flower School block 1</t>
  </si>
  <si>
    <t>Sun flower School block 2</t>
  </si>
  <si>
    <t>Treasure Island BeBa Africa</t>
  </si>
  <si>
    <t>Ada Foah</t>
  </si>
  <si>
    <t>0249825924</t>
  </si>
  <si>
    <t>Dr. George Kwame Opoku</t>
  </si>
  <si>
    <t>Redco Bungalow</t>
  </si>
  <si>
    <t>0560485444</t>
  </si>
  <si>
    <t>VRA</t>
  </si>
  <si>
    <t>Akuse</t>
  </si>
  <si>
    <t>Abeka Lapaz</t>
  </si>
  <si>
    <t>0243640362</t>
  </si>
  <si>
    <t>Van-Osterwell Amuzu</t>
  </si>
  <si>
    <t>Baatsona, Spintex Road</t>
  </si>
  <si>
    <t>0268443005</t>
  </si>
  <si>
    <t>Maxwell Poku Tony</t>
  </si>
  <si>
    <t>0244934931</t>
  </si>
  <si>
    <t>S O Frimpong</t>
  </si>
  <si>
    <t>Augustine Dziwornu - Warehouse</t>
  </si>
  <si>
    <t>Tema Kpone</t>
  </si>
  <si>
    <t>Vivian Tamakloe</t>
  </si>
  <si>
    <t>0244157159</t>
  </si>
  <si>
    <t>Denys Ghana</t>
  </si>
  <si>
    <t>Airport Resisdential</t>
  </si>
  <si>
    <t>0540119625</t>
  </si>
  <si>
    <t xml:space="preserve"> Mr. Narh Djabanoh</t>
  </si>
  <si>
    <t>0244968911</t>
  </si>
  <si>
    <t>Micheal Adumuah</t>
  </si>
  <si>
    <t>Tsaado, Trade Fair</t>
  </si>
  <si>
    <t>0543727410</t>
  </si>
  <si>
    <t>Mr. Adu Yeboah</t>
  </si>
  <si>
    <t>Earl Ankrah</t>
  </si>
  <si>
    <t>0244383350</t>
  </si>
  <si>
    <t>Kobina Beecham</t>
  </si>
  <si>
    <t>Teshi Nungua Greda</t>
  </si>
  <si>
    <t>0244362008</t>
  </si>
  <si>
    <t>Jackie Ankrah</t>
  </si>
  <si>
    <t>Spintex, Okpoi gonno</t>
  </si>
  <si>
    <t>0243380372</t>
  </si>
  <si>
    <t>Natasha Dordor</t>
  </si>
  <si>
    <t>Ayimensah</t>
  </si>
  <si>
    <t>0509547582</t>
  </si>
  <si>
    <t>Nabeela Sallah</t>
  </si>
  <si>
    <t>0248253457</t>
  </si>
  <si>
    <t>Joanna Quaquah</t>
  </si>
  <si>
    <t>East Airport</t>
  </si>
  <si>
    <t>0200757777</t>
  </si>
  <si>
    <t>STC BeBa Africa</t>
  </si>
  <si>
    <t>Kaneshie</t>
  </si>
  <si>
    <t>0541923142</t>
  </si>
  <si>
    <t>Appliance Masters Client</t>
  </si>
  <si>
    <t>Kwahu Mpraeso</t>
  </si>
  <si>
    <t>0208175249</t>
  </si>
  <si>
    <t>Mankoadze Beach Resort</t>
  </si>
  <si>
    <t>Translight - Total Fuel Station</t>
  </si>
  <si>
    <t>Accra New-Town</t>
  </si>
  <si>
    <t>Faustina Mba</t>
  </si>
  <si>
    <t>Amasaman</t>
  </si>
  <si>
    <t>0555223027</t>
  </si>
  <si>
    <t>Solar Ghana Limited</t>
  </si>
  <si>
    <t>Invitro Labs BeBa Africa</t>
  </si>
  <si>
    <t>Sogakope</t>
  </si>
  <si>
    <t>0549165808</t>
  </si>
  <si>
    <t>Martin Nantwi</t>
  </si>
  <si>
    <t>044334098</t>
  </si>
  <si>
    <t>Precious TV</t>
  </si>
  <si>
    <t>Fr. Paul Kala</t>
  </si>
  <si>
    <t>Wa</t>
  </si>
  <si>
    <t>0503819064</t>
  </si>
  <si>
    <t>Mr. Bampoe</t>
  </si>
  <si>
    <t>0244674034</t>
  </si>
  <si>
    <t>Adehyeman Savings and Loans</t>
  </si>
  <si>
    <t>Kokomlemle</t>
  </si>
  <si>
    <t>0243558448</t>
  </si>
  <si>
    <t>Tradeworks</t>
  </si>
  <si>
    <t>British American Tobacco</t>
  </si>
  <si>
    <t>0541813336</t>
  </si>
  <si>
    <t>Joseph Addae</t>
  </si>
  <si>
    <t>0244885576</t>
  </si>
  <si>
    <t>Madina</t>
  </si>
  <si>
    <t>Mr. Mathias Dorfe</t>
  </si>
  <si>
    <t>0208123273</t>
  </si>
  <si>
    <t>Mr Mathias Dorfe</t>
  </si>
  <si>
    <t>Chain Homes 255</t>
  </si>
  <si>
    <t>Chain Home</t>
  </si>
  <si>
    <t>Bashiru</t>
  </si>
  <si>
    <t>New Legon</t>
  </si>
  <si>
    <t>0246021441</t>
  </si>
  <si>
    <t>Mr. Sackey Acquah</t>
  </si>
  <si>
    <t xml:space="preserve">East Legon </t>
  </si>
  <si>
    <t>0202110396</t>
  </si>
  <si>
    <t>Eno Mends</t>
  </si>
  <si>
    <t>NanaKrom</t>
  </si>
  <si>
    <t>0242212431</t>
  </si>
  <si>
    <t>Madam Abigail</t>
  </si>
  <si>
    <t>Ashongman Estate</t>
  </si>
  <si>
    <t>0544626601</t>
  </si>
  <si>
    <t>Nocheski</t>
  </si>
  <si>
    <t>Kotobaabi</t>
  </si>
  <si>
    <t>0244270092</t>
  </si>
  <si>
    <t>Nochesky</t>
  </si>
  <si>
    <t>Gordon Mahrer</t>
  </si>
  <si>
    <t>Mr. Kwakye</t>
  </si>
  <si>
    <t>Ofankor</t>
  </si>
  <si>
    <t>0501414401</t>
  </si>
  <si>
    <t>First Product  Enterprise</t>
  </si>
  <si>
    <t>0244136412</t>
  </si>
  <si>
    <t>Holy Bakhita clinic</t>
  </si>
  <si>
    <t>Agbobloshi</t>
  </si>
  <si>
    <t>0552479810</t>
  </si>
  <si>
    <t>Oneg Engineering Services</t>
  </si>
  <si>
    <t>Buildaf Estate</t>
  </si>
  <si>
    <t>0277792427</t>
  </si>
  <si>
    <t>Harrimann Plaza</t>
  </si>
  <si>
    <t>Tema Com 1</t>
  </si>
  <si>
    <t>0207512784</t>
  </si>
  <si>
    <t>Mr. Benjamin Yeboah</t>
  </si>
  <si>
    <t>0208094188</t>
  </si>
  <si>
    <t>Achimota</t>
  </si>
  <si>
    <t>Dodowa</t>
  </si>
  <si>
    <t>Seth</t>
  </si>
  <si>
    <t>Total Petroleum Ghana Limited, Apremdo</t>
  </si>
  <si>
    <t>Apremdo</t>
  </si>
  <si>
    <t>Tradeworks farm</t>
  </si>
  <si>
    <t>Technoserve (Customer 1)</t>
  </si>
  <si>
    <t>Sanzule</t>
  </si>
  <si>
    <t>0244264096</t>
  </si>
  <si>
    <t>Technoserve (Customer 2)</t>
  </si>
  <si>
    <t>Technoserve (Customer 3)</t>
  </si>
  <si>
    <t>Technoserve (Customer 4)</t>
  </si>
  <si>
    <t>Technoserve (Customer 5)</t>
  </si>
  <si>
    <t>Technoserve (Customer 6)</t>
  </si>
  <si>
    <t>Technoserve (Customer 7)</t>
  </si>
  <si>
    <t>Technoserve (Customer 8)</t>
  </si>
  <si>
    <t>Technoserve (Customer 9)</t>
  </si>
  <si>
    <t>Technoserve (Customer 10)</t>
  </si>
  <si>
    <t>Technoserve (Customer 11)</t>
  </si>
  <si>
    <t>Technoserve (Customer 12)</t>
  </si>
  <si>
    <t>Technoserve (Customer 13)</t>
  </si>
  <si>
    <t>Technoserve (Customer 14/ Anobi Assuah Akuba)</t>
  </si>
  <si>
    <t>Technoserve (Customer 15)</t>
  </si>
  <si>
    <t>Gideon Osei Amoako</t>
  </si>
  <si>
    <t>0244320325</t>
  </si>
  <si>
    <t>Pentecost Church - Bunkpurugu</t>
  </si>
  <si>
    <t>Gbingbani</t>
  </si>
  <si>
    <t>0244808858</t>
  </si>
  <si>
    <t>Col. Babilah's Brother</t>
  </si>
  <si>
    <t>Justice Emmanuel Ankamah</t>
  </si>
  <si>
    <t>Sampa - Bono Region</t>
  </si>
  <si>
    <t>Angela Mawuli</t>
  </si>
  <si>
    <t>0549689619</t>
  </si>
  <si>
    <t>Hammond</t>
  </si>
  <si>
    <t>0547454657</t>
  </si>
  <si>
    <t>Appertey Patrick Samgnor</t>
  </si>
  <si>
    <t>0242679029</t>
  </si>
  <si>
    <t>Mr. Opata</t>
  </si>
  <si>
    <t>Joseph Allotey</t>
  </si>
  <si>
    <t>Klagon</t>
  </si>
  <si>
    <t>0243116586</t>
  </si>
  <si>
    <t>Madam Theodora Behlke</t>
  </si>
  <si>
    <t>Community 18 Tema</t>
  </si>
  <si>
    <t>0556197732</t>
  </si>
  <si>
    <t>Community 25 Tema</t>
  </si>
  <si>
    <t>0267219159</t>
  </si>
  <si>
    <t>Jonas Agbotah</t>
  </si>
  <si>
    <t>0244370055</t>
  </si>
  <si>
    <t>Eric Bigah</t>
  </si>
  <si>
    <t>Koo Nimo Farms</t>
  </si>
  <si>
    <t>Mr. Vilain</t>
  </si>
  <si>
    <t>Mr. Kholi</t>
  </si>
  <si>
    <t>Biga International Co. Ltd</t>
  </si>
  <si>
    <t>0277776568</t>
  </si>
  <si>
    <t>Tap Pharmacy</t>
  </si>
  <si>
    <t>Magpat Pharmacy (Main)</t>
  </si>
  <si>
    <t>Ogbodwo</t>
  </si>
  <si>
    <t>Ogbojo</t>
  </si>
  <si>
    <t>Magpat Pharmacy (Annex)</t>
  </si>
  <si>
    <t>James TSL</t>
  </si>
  <si>
    <t>0244185749</t>
  </si>
  <si>
    <t>Green Court</t>
  </si>
  <si>
    <t>0558166780</t>
  </si>
  <si>
    <t>Jehovah Shamar School</t>
  </si>
  <si>
    <t>Senya Breku</t>
  </si>
  <si>
    <t>Ewald Zimmermann</t>
  </si>
  <si>
    <t>Buduburam</t>
  </si>
  <si>
    <t>0548538099
0544965694</t>
  </si>
  <si>
    <t>Bomarts Limited Beba Africa</t>
  </si>
  <si>
    <t>Nsawam</t>
  </si>
  <si>
    <t>0248598760</t>
  </si>
  <si>
    <t>Dr. Hazel Barrard Amuah</t>
  </si>
  <si>
    <t>0244339733</t>
  </si>
  <si>
    <t>Kwaku Dake</t>
  </si>
  <si>
    <t>Teshi Nungua Estate</t>
  </si>
  <si>
    <t>0540955881</t>
  </si>
  <si>
    <t>Biga International Residence 1</t>
  </si>
  <si>
    <t>Adjiringanor</t>
  </si>
  <si>
    <t>Biga International Residence 2</t>
  </si>
  <si>
    <t>Robert</t>
  </si>
  <si>
    <t>Tema Comm 25</t>
  </si>
  <si>
    <t>0554093705</t>
  </si>
  <si>
    <t>Mr. Sam Crentsil</t>
  </si>
  <si>
    <t>East Legon Hills, Nanakrom</t>
  </si>
  <si>
    <t>0248225611</t>
  </si>
  <si>
    <t>Danladi</t>
  </si>
  <si>
    <t>Summit Lodge</t>
  </si>
  <si>
    <t>0208113935</t>
  </si>
  <si>
    <t>Madam Georgina Danso</t>
  </si>
  <si>
    <t>Ayim</t>
  </si>
  <si>
    <t>0244383739</t>
  </si>
  <si>
    <t>Daniel Boateng</t>
  </si>
  <si>
    <t>Professor Ahinkrah</t>
  </si>
  <si>
    <t>0203001651</t>
  </si>
  <si>
    <t>Tino Solution New Warehouse</t>
  </si>
  <si>
    <t>Food and Drug Authority</t>
  </si>
  <si>
    <t>Samuel Hughes</t>
  </si>
  <si>
    <t>Ashalaja</t>
  </si>
  <si>
    <t>0267100815</t>
  </si>
  <si>
    <t>Bismark Okyere</t>
  </si>
  <si>
    <t>Francis Essilfie</t>
  </si>
  <si>
    <t>0202112957</t>
  </si>
  <si>
    <t>Ebow - IT Consortium - School</t>
  </si>
  <si>
    <t>Community 22</t>
  </si>
  <si>
    <t>0242782978</t>
  </si>
  <si>
    <t>Mr. Timothy Archer</t>
  </si>
  <si>
    <t>0242325121</t>
  </si>
  <si>
    <t>Mr. Ibrahim Tahiru</t>
  </si>
  <si>
    <t>PS Global Estate, Kpone</t>
  </si>
  <si>
    <t>0244950046</t>
  </si>
  <si>
    <t>Nagiza Residence</t>
  </si>
  <si>
    <t>Vijaya Kumar Kasapreko</t>
  </si>
  <si>
    <t>0261969889</t>
  </si>
  <si>
    <t>Voltech Limited</t>
  </si>
  <si>
    <t>Foster Boabeng</t>
  </si>
  <si>
    <t>Ashongman</t>
  </si>
  <si>
    <t>0244616323</t>
  </si>
  <si>
    <t>Laweh Open University</t>
  </si>
  <si>
    <t>Joe Torku</t>
  </si>
  <si>
    <t>Community 14</t>
  </si>
  <si>
    <t>0244332919</t>
  </si>
  <si>
    <t>Nestle Ghana Limited, Head office  -Server Room- 15kVA</t>
  </si>
  <si>
    <t>John Armah Hammond</t>
  </si>
  <si>
    <t xml:space="preserve">Trassaco </t>
  </si>
  <si>
    <t>Djaba Curtis</t>
  </si>
  <si>
    <t>Medie</t>
  </si>
  <si>
    <t>0249997561</t>
  </si>
  <si>
    <t>Dela</t>
  </si>
  <si>
    <t>Aquawin Mineral Water</t>
  </si>
  <si>
    <t>Vincent NTHC</t>
  </si>
  <si>
    <t>Rebecca Abaa</t>
  </si>
  <si>
    <t>Mr. Ekow Meshan</t>
  </si>
  <si>
    <t>Mr. Ashie Gallowey</t>
  </si>
  <si>
    <t>Brighten Solar</t>
  </si>
  <si>
    <t>Nima</t>
  </si>
  <si>
    <t>Sena Amevor - Qode Hub</t>
  </si>
  <si>
    <t>0264460303</t>
  </si>
  <si>
    <t>Nana Okraku</t>
  </si>
  <si>
    <t>Plan international</t>
  </si>
  <si>
    <t>Abelemkpe</t>
  </si>
  <si>
    <t>Nestle Ghana Factory 48V/3kVA (002)</t>
  </si>
  <si>
    <t>Pash Global - Puma</t>
  </si>
  <si>
    <t>0243411004</t>
  </si>
  <si>
    <t>Lashibi</t>
  </si>
  <si>
    <t>Kissehman</t>
  </si>
  <si>
    <t>Tesse Osei</t>
  </si>
  <si>
    <t>Agyei Kwadwo</t>
  </si>
  <si>
    <t>Oceanic Ltd.</t>
  </si>
  <si>
    <t>Abuoso, Begoro</t>
  </si>
  <si>
    <t>Peter Poultry Farm</t>
  </si>
  <si>
    <t>Mamfe</t>
  </si>
  <si>
    <t>Swuf Company Limited</t>
  </si>
  <si>
    <t>Community 19, Tema</t>
  </si>
  <si>
    <t>0244315307</t>
  </si>
  <si>
    <t>Mr. George Agyei</t>
  </si>
  <si>
    <t>Agro Age Limited</t>
  </si>
  <si>
    <t>Rt.Hon. Prof. Aaron Mike Oquaye</t>
  </si>
  <si>
    <t>Haasto</t>
  </si>
  <si>
    <t>Nana Ayorkor Commodor</t>
  </si>
  <si>
    <t>Weija, Kasoa</t>
  </si>
  <si>
    <t>0242080785</t>
  </si>
  <si>
    <t>Pascal</t>
  </si>
  <si>
    <t>Amy Amponsah</t>
  </si>
  <si>
    <t>0246014432</t>
  </si>
  <si>
    <t xml:space="preserve">Daboase Lower pra Rural Bank </t>
  </si>
  <si>
    <t>Daboase</t>
  </si>
  <si>
    <t xml:space="preserve">Aboadze Lower pra Rural Bank </t>
  </si>
  <si>
    <t>Aboadze</t>
  </si>
  <si>
    <t>Total Petroleum Ghana Limited, Tema, Lumumba Road</t>
  </si>
  <si>
    <t>Tema, Lumumba Road</t>
  </si>
  <si>
    <t>Select items</t>
  </si>
  <si>
    <t>USD</t>
  </si>
  <si>
    <t>Quantity</t>
  </si>
  <si>
    <t>Retail</t>
  </si>
  <si>
    <t>Afram Plains</t>
  </si>
  <si>
    <t>Stephen Kanor Kudaya</t>
  </si>
  <si>
    <t>Dansoman</t>
  </si>
  <si>
    <t>REDAVIA Solar Power</t>
  </si>
  <si>
    <t>Community 20</t>
  </si>
  <si>
    <t>Kwame Boakye Asante</t>
  </si>
  <si>
    <t>Kofi Ahavor</t>
  </si>
  <si>
    <t>Aquadot Pure water Factory(Nocheski)</t>
  </si>
  <si>
    <t>Chain Homes</t>
  </si>
  <si>
    <t>Chain Homes 253</t>
  </si>
  <si>
    <t>Chain Homes 258</t>
  </si>
  <si>
    <t>Sowah's Family</t>
  </si>
  <si>
    <t xml:space="preserve">Mr. Bampoe's Hotel </t>
  </si>
  <si>
    <t>0244647330</t>
  </si>
  <si>
    <t>Emmanuel Agbosi</t>
  </si>
  <si>
    <t>ICGC</t>
  </si>
  <si>
    <t>Nathaniel</t>
  </si>
  <si>
    <t>BeBa - Universal Investment and Industries</t>
  </si>
  <si>
    <t>Nestle Ghana 48V/5KVA/Before inbound Office(VPS room)</t>
  </si>
  <si>
    <t>Nestle Ghana 48V/5KVA/Beverage Department</t>
  </si>
  <si>
    <t>Nestle Ghana 48V/5KVA/Engineering Block(2)</t>
  </si>
  <si>
    <t>Nestle Ghana 48V/15KVA/Behind Canteen</t>
  </si>
  <si>
    <t>Nungua</t>
  </si>
  <si>
    <t>Mr. Evans</t>
  </si>
  <si>
    <t>Sena Amevor - Residence</t>
  </si>
  <si>
    <t>Community 25, Tema</t>
  </si>
  <si>
    <t>Samuel Fetuah</t>
  </si>
  <si>
    <t>Trassaco</t>
  </si>
  <si>
    <t>Azimuth Solar</t>
  </si>
  <si>
    <t>B5 Steel Company Limited - Engie</t>
  </si>
  <si>
    <t>CFC Estate, Dome</t>
  </si>
  <si>
    <t>Naa Ayorkor Commodor</t>
  </si>
  <si>
    <t>Rt. Hon. Prof. Aaron Mike Oquaye</t>
  </si>
  <si>
    <t>UNHCR-Farm</t>
  </si>
  <si>
    <t>Commit Estate, Kwabenya</t>
  </si>
  <si>
    <t>Tino Solutions Limited, Kumasi</t>
  </si>
  <si>
    <t>Tino Solutions Limited</t>
  </si>
  <si>
    <t>0246235000</t>
  </si>
  <si>
    <t>Tema Freezone</t>
  </si>
  <si>
    <t>AMP Logistics, Asante Kwame</t>
  </si>
  <si>
    <t>Nestle Ghana / EasySolar 48V/3kVA (006) Noble Warehouse</t>
  </si>
  <si>
    <t xml:space="preserve">Nestle Ghana Business Center </t>
  </si>
  <si>
    <t>Ampain</t>
  </si>
  <si>
    <t>UNHCR Hospital</t>
  </si>
  <si>
    <t>Christian Akuffo</t>
  </si>
  <si>
    <t>Ekow IT Consortium</t>
  </si>
  <si>
    <t>Tilman Rippel</t>
  </si>
  <si>
    <t>Frank Domoh</t>
  </si>
  <si>
    <t>Frank Domoh Office Minex 360</t>
  </si>
  <si>
    <t>Teabag Charity-(Mankoadze Vocational College)</t>
  </si>
  <si>
    <t>Gorden</t>
  </si>
  <si>
    <t>Postino</t>
  </si>
  <si>
    <t xml:space="preserve">Username              </t>
  </si>
  <si>
    <t>Passcode</t>
  </si>
  <si>
    <t>Winneba</t>
  </si>
  <si>
    <t>Sunyani</t>
  </si>
  <si>
    <t>Lawrence Howard</t>
  </si>
  <si>
    <t>Sierra Leone</t>
  </si>
  <si>
    <t>0505865981 / 024653243</t>
  </si>
  <si>
    <t>Victron SmartSolar MPPT 75/10 Retail</t>
  </si>
  <si>
    <t>Victron SmartSolar MPPT 75/15 Retail</t>
  </si>
  <si>
    <t>Victron SmartSolar MPPT 100/15 Retail</t>
  </si>
  <si>
    <t>Victron SmartSolar MPPT 100/30</t>
  </si>
  <si>
    <t>Victron SmartSolar MPPT 100/50</t>
  </si>
  <si>
    <t>Victron SmartSolar MPPT 150/35</t>
  </si>
  <si>
    <t>Victron SmartSolar MPPT 150/60-Tr</t>
  </si>
  <si>
    <t>Victron SmartSolar MPPT 150/70-Tr</t>
  </si>
  <si>
    <t>Victron SmartSolar MPPT 150/70-Tr VE.Can</t>
  </si>
  <si>
    <t>Victron SmartSolar MPPT 150/85-Tr VE.Can</t>
  </si>
  <si>
    <t>Victron SmartSolar MPPT 150/100-Tr VE.Can</t>
  </si>
  <si>
    <t>Victron SmartSolar MPPT 250/60-Tr</t>
  </si>
  <si>
    <t>Victron SmartSolar MPPT 250/70-Tr</t>
  </si>
  <si>
    <t>Victron SmartSolar MPPT 250/70-Tr VE.Can</t>
  </si>
  <si>
    <t>Victron SmartSolar MPPT 250/85-Tr VE.Can</t>
  </si>
  <si>
    <t>Victron SmartSolar MPPT 250/85-MC4 VE.Can</t>
  </si>
  <si>
    <t>Victron SmartSolar MPPT 250/100-Tr VE.Can</t>
  </si>
  <si>
    <t>Victron SmartSolar MPPT 250/100-MC4 VE.Can</t>
  </si>
  <si>
    <t>Victron SmartSolar Pluggable Display</t>
  </si>
  <si>
    <t>Victron 12V/8Ah AGM Deep Cycle Battery</t>
  </si>
  <si>
    <t>Victron 12V/14Ah AGM Deep Cycle Battery</t>
  </si>
  <si>
    <t>Victron 12V/22Ah AGM Deep Cycle Battery</t>
  </si>
  <si>
    <t>Victron 12V/38Ah AGM Deep Cycle Battery</t>
  </si>
  <si>
    <t>Victron 12V/60Ah AGM Deep Cycle Battery</t>
  </si>
  <si>
    <t>Victron 12V/90Ah AGM Deep Cycle Battery</t>
  </si>
  <si>
    <t>Victron 12V/110Ah AGM Deep Cycle Battery</t>
  </si>
  <si>
    <t>Victron 12V/200Ah AGM Telecomm Battery (M8)</t>
  </si>
  <si>
    <t>Victron 12V/220Ah Gel Deep Cycle Battery</t>
  </si>
  <si>
    <t>Patrick</t>
  </si>
  <si>
    <t>Victron Venus GX</t>
  </si>
  <si>
    <t>Victron CCGX WiFi module simple (Nano USB)</t>
  </si>
  <si>
    <t>Victron Energy Meter EM24 - 3 phase - max 65A/phase Ethernet</t>
  </si>
  <si>
    <t>Victron Energy Meter ET112 - 1 phase - max 100A</t>
  </si>
  <si>
    <t>Victron Energy Meter ET340 - 3 phase - max 65A/phase</t>
  </si>
  <si>
    <t>Victron Zigbee to RS485 converter</t>
  </si>
  <si>
    <t>Victron Zigbee to USB converter</t>
  </si>
  <si>
    <t>Victron Wall mounted enclosure for Color Control GX</t>
  </si>
  <si>
    <t>Victron Wall mounted enclosure for Color Control GX and BMV or MPPT</t>
  </si>
  <si>
    <t>Victron Cerbo GX</t>
  </si>
  <si>
    <t>Victron MultiPlus 48/500/6-16 230V VE.Bus</t>
  </si>
  <si>
    <t>Victron MultiPlus 48/800/9-16 230V VE.Bus</t>
  </si>
  <si>
    <t>Victron MultiPlus 48/1200/13-16 230V VE.Bus</t>
  </si>
  <si>
    <t>Victron MultiPlus 48/1600/20-16 230V VE.Bus</t>
  </si>
  <si>
    <t>Victron MultiPlus 48/3000/35-16 230V VE.Bus</t>
  </si>
  <si>
    <t>Victron MultiPlus 48/3000/35-50 230V VE.Bus</t>
  </si>
  <si>
    <t>Victron MultiPlus-II 48/3000/35-32 230V</t>
  </si>
  <si>
    <t>Victron MultiPlus-II 48/3000/35-32 230V GX</t>
  </si>
  <si>
    <t>Victron MultiPlus 48/5000/70-100 230V VE.Bus</t>
  </si>
  <si>
    <t>Victron MultiPlus-II 48/5000/70-50 230V</t>
  </si>
  <si>
    <t>Victron MultiPlus-II 48/5000/70-50 230V GX</t>
  </si>
  <si>
    <t>Victron Quattro 48/5000/70-100/100 230V VE.Bus</t>
  </si>
  <si>
    <t>Victron Quattro 48/8000/110-100/100 230V VE.Bus</t>
  </si>
  <si>
    <t>Victron Quattro 48/10000/140-100/100 230V VE.Bus</t>
  </si>
  <si>
    <t>Victron Quattro 48/15000/200-100/100 230V VE.Bus</t>
  </si>
  <si>
    <t>Victron EasySolar-II 48/3000/35-32 MPPT 250/70 GX</t>
  </si>
  <si>
    <t>Victron Battery Monitor BMV-700</t>
  </si>
  <si>
    <t>Victron Battery Monitor BMV-702</t>
  </si>
  <si>
    <t>Victron RJ45 UTP Cable 3 m</t>
  </si>
  <si>
    <t>Victron RJ45 UTP Cable 5 m</t>
  </si>
  <si>
    <t>Victron VE.Direct Cable 0,3m</t>
  </si>
  <si>
    <t>Victron VE.Direct Cable 1,8m</t>
  </si>
  <si>
    <t>Victron VE.Direct Cable 3m</t>
  </si>
  <si>
    <t>Victron VE.Direct Cable 5m</t>
  </si>
  <si>
    <t>Victron VE.Direct Cable 10m</t>
  </si>
  <si>
    <t>Victron Interface MK3-USB (VE.Bus to USB)</t>
  </si>
  <si>
    <t>Victron RS232 to USB converter</t>
  </si>
  <si>
    <t>Victron VE.Direct to RS232 interface</t>
  </si>
  <si>
    <t>Victron RS485 to USB interface 1.8m</t>
  </si>
  <si>
    <t>Victron RS485 to USB interface 5m</t>
  </si>
  <si>
    <t>Victron VE.Can RJ45 terminator (bag of 2)</t>
  </si>
  <si>
    <t>Victron Fuse holder for MIDI-fuse</t>
  </si>
  <si>
    <t>Victron MIDI-fuse 60A/32V (package of 5 pcs)</t>
  </si>
  <si>
    <t>Victron Fuse holder for MEGA-fuse</t>
  </si>
  <si>
    <t>Victron Fuse holder 6-way for MEGA-fuse</t>
  </si>
  <si>
    <t>Victron Modular fuse holder for MEGA-fuse</t>
  </si>
  <si>
    <t>Victron MEGA-fuse 60A/32V (package of 5 pcs)</t>
  </si>
  <si>
    <t>Victron MEGA-fuse 300A/32V (package of 5 pcs)</t>
  </si>
  <si>
    <t>Victron MEGA-fuse 400A/32V (package of 5 pcs)</t>
  </si>
  <si>
    <t>Victron MEGA-fuse 500A/32V (package of 5 pcs)</t>
  </si>
  <si>
    <t>Victron MEGA-fuse 125A/58V for 48V products (1 pc)</t>
  </si>
  <si>
    <t>Victron MEGA-fuse 200A/58V for 48V products (1 pc)</t>
  </si>
  <si>
    <t>Victron MEGA-fuse 250A/58V for 48V products (1 pc)</t>
  </si>
  <si>
    <t>Victron Fuse holder for ANL-fuse</t>
  </si>
  <si>
    <t>Victron ANL-fuse 500A/80V for 48V products (1 pc)</t>
  </si>
  <si>
    <t>Victron MC4 Solar connector pair MC4, 1x Male/1x Female</t>
  </si>
  <si>
    <t>Victron MC4 Solar splitter pair MC4-Y, 1x M-2F / 1xF-2M</t>
  </si>
  <si>
    <t>Citel DC Surge Protection Device DS50VGPVS-1000/51</t>
  </si>
  <si>
    <t>Citel DC Surge Protection Device DS50VGPVS-1500/51</t>
  </si>
  <si>
    <t>Victron Lynx Power In</t>
  </si>
  <si>
    <t>0501544661</t>
  </si>
  <si>
    <t>32A Manual Transfer Switch</t>
  </si>
  <si>
    <t>63A Manual Transfer Switch</t>
  </si>
  <si>
    <t>Cable Trays, PVC Pipes, Trunking and Assessories</t>
  </si>
  <si>
    <t>PVC Pipes, Trunking, Cable Lugs and Assessories</t>
  </si>
  <si>
    <t>Eastern Region</t>
  </si>
  <si>
    <t>Central Region</t>
  </si>
  <si>
    <t>Greater Accra Region</t>
  </si>
  <si>
    <t>Ashanti Region</t>
  </si>
  <si>
    <t>Western Region</t>
  </si>
  <si>
    <t>Adenta West</t>
  </si>
  <si>
    <t>Volta Region</t>
  </si>
  <si>
    <t>David Nana Kojo Hutchful</t>
  </si>
  <si>
    <t>0549959580</t>
  </si>
  <si>
    <t>dhutchful@gmail.com</t>
  </si>
  <si>
    <t>Daystar Power Group Limited</t>
  </si>
  <si>
    <t>No.6 Airport Road, Airport Residential Area</t>
  </si>
  <si>
    <t>Marina Agortimevor</t>
  </si>
  <si>
    <t>0245156040</t>
  </si>
  <si>
    <t>Mobile Money Number: 0247671755</t>
  </si>
  <si>
    <t>50x200mm Enclosure with Dinrail</t>
  </si>
  <si>
    <t>Charles Osei</t>
  </si>
  <si>
    <t>North Legon</t>
  </si>
  <si>
    <t>0248140378</t>
  </si>
  <si>
    <t>BYD Battery-Box Premium LVS PDU</t>
  </si>
  <si>
    <t>BYD Battery-Box Premium LV BMU</t>
  </si>
  <si>
    <t>BYD Battery-Box Premium HV BCU</t>
  </si>
  <si>
    <t>100A Manual Transfer Switch</t>
  </si>
  <si>
    <t>Senyo Agbozo</t>
  </si>
  <si>
    <t>Ayimensah Park</t>
  </si>
  <si>
    <t>0543912222</t>
  </si>
  <si>
    <t>Juabeng Rural Bank</t>
  </si>
  <si>
    <t>Ejisu</t>
  </si>
  <si>
    <t>0248997047</t>
  </si>
  <si>
    <t>Fronius datamanager 2.0 Wlan GalSymPrim</t>
  </si>
  <si>
    <t>1x6mm2 RV-K 0.6/1KV Yellow/Green Earth Cable</t>
  </si>
  <si>
    <t>1x2.5mm2 RV-K 0.6/1KV Yellow/Green Earth Cable</t>
  </si>
  <si>
    <t>km/l</t>
  </si>
  <si>
    <t>GH₵/l</t>
  </si>
  <si>
    <t>Transportation and Accommodation</t>
  </si>
  <si>
    <t>Hotel Price + Feeding Per night</t>
  </si>
  <si>
    <t>Accommodation</t>
  </si>
  <si>
    <t>No. of Workers</t>
  </si>
  <si>
    <t>Juabeng Rural Bank - Headoffice</t>
  </si>
  <si>
    <t>Juabeng</t>
  </si>
  <si>
    <t>Peter Owusu</t>
  </si>
  <si>
    <t>Dunkwa-on-Offin</t>
  </si>
  <si>
    <t>0547985458</t>
  </si>
  <si>
    <t>No. of Nights</t>
  </si>
  <si>
    <t>Victron Solar Busbar 150A 6P + cover</t>
  </si>
  <si>
    <t>Victron Solar Busbar 600A 4P + cover</t>
  </si>
  <si>
    <t>Victron Solar Busbar 600A 8P + cover</t>
  </si>
  <si>
    <t>BYD Male Connector for 70mm2 Cable</t>
  </si>
  <si>
    <t>Brigadier General Boampong</t>
  </si>
  <si>
    <t>Borteyman</t>
  </si>
  <si>
    <t>Richard Osabu</t>
  </si>
  <si>
    <t>0554472667</t>
  </si>
  <si>
    <t>Victron Phoenix Inverter 48/5000 230V Smart</t>
  </si>
  <si>
    <t>Victron Phoenix Inverter 48/250 230V VE.Direct UK</t>
  </si>
  <si>
    <t>Victron Phoenix Inverter 48/375 230V VE.Direct UK</t>
  </si>
  <si>
    <t>Victron Phoenix Inverter 48/500 230V VE.Direct UK</t>
  </si>
  <si>
    <t>Victron Phoenix Inverter 48/800 230V VE.Direct UK</t>
  </si>
  <si>
    <t>Victron Phoenix Inverter 48/1200 230V VE.Direct UK</t>
  </si>
  <si>
    <t>Victron MultiPlus-II 48/8000/110-100/100 230V</t>
  </si>
  <si>
    <t>Victron EasySolar-II 24/3000/70-32 MPPT 250/70 GX</t>
  </si>
  <si>
    <t>Victron EasySolar-II 48/5000/70-50 MPPT 250/100 GX</t>
  </si>
  <si>
    <t>Fronius Tauro Eco-50-3-D</t>
  </si>
  <si>
    <t>Fronius Tauro Eco-100-3-D</t>
  </si>
  <si>
    <t>DC Connector kit 10-27kw 35mm2</t>
  </si>
  <si>
    <t>FRONIUS IG Sensor Box</t>
  </si>
  <si>
    <t>Irradiation sensor</t>
  </si>
  <si>
    <t>Ambient Temperature sensor</t>
  </si>
  <si>
    <t>Module Temperature sensor</t>
  </si>
  <si>
    <t>Wind speed sensor</t>
  </si>
  <si>
    <t>Victron Battery Monitor BMV-712 Smart Retail</t>
  </si>
  <si>
    <t>Victron Battery Monitor BMV-700 Retail</t>
  </si>
  <si>
    <t>Victron Battery Monitor BMV-702 Retail</t>
  </si>
  <si>
    <t>Victron 12V/90Ah AGM Deep Cycle Battery (M6)</t>
  </si>
  <si>
    <t>Victron 12V/110Ah AGM Deep Cycle Battery (M8)</t>
  </si>
  <si>
    <t>Victron 12V/220Ah AGM Deep Cycle Battery (M8)</t>
  </si>
  <si>
    <t>Citel AC Surge Protection Device DAC50VGS-11-275/G VAC 1-Phase</t>
  </si>
  <si>
    <t>Citel AC Surge Protection Device DAC50VGS-31-275/G VAC 3-Phase</t>
  </si>
  <si>
    <t>Victron GX Touch 50 Wall Mount</t>
  </si>
  <si>
    <t>Victron GX Touch 70 Wall Mount</t>
  </si>
  <si>
    <t>SmartSolar MPPT RS 450/100-Tr</t>
  </si>
  <si>
    <t>SmartSolar MPPT RS 450/200-Tr</t>
  </si>
  <si>
    <t>Victron SmartSolar MPPT 150/45</t>
  </si>
  <si>
    <t>Victron SmartSolar MPPT 150/70-MC4 VE.Can</t>
  </si>
  <si>
    <t>Victron SmartSolar MPPT 150/85-MC4 VE.Can</t>
  </si>
  <si>
    <t>Victron SmartSolar MPPT 150/100-MC4 VE.Can</t>
  </si>
  <si>
    <t>Victron SmartSolar MPPT 250/70-MC4 VE.Can</t>
  </si>
  <si>
    <t>Victron MPPT WireBox-S 75-10/15</t>
  </si>
  <si>
    <t>Victron MPPT WireBox-S 100-15</t>
  </si>
  <si>
    <t>Victron MPPT WireBox-S 100-20</t>
  </si>
  <si>
    <t>Solar DC Combiner BHS 2/1</t>
  </si>
  <si>
    <t>Solar DC Combiner BHS 3/1</t>
  </si>
  <si>
    <t>Solar DC Combiner BHS 4/1</t>
  </si>
  <si>
    <t>Solar DC Combiner BHS 4/2</t>
  </si>
  <si>
    <t>Solar DC Combiner BHS 6/2</t>
  </si>
  <si>
    <t>Solar DC High Voltage String Combiner BHT 6/1</t>
  </si>
  <si>
    <t>Solar DC High Voltage String Combiner BHT 6/2</t>
  </si>
  <si>
    <t>Solar DC High Voltage String Combiner BHT 12/2</t>
  </si>
  <si>
    <t>Solar AC Combiner BBWX-4/1 C40A AC230/400 160A/400 Out</t>
  </si>
  <si>
    <t>Solar AC Combiner BBWX-4/1 C50A AC230/400 200A/400 Out</t>
  </si>
  <si>
    <t>Solar AC Combiner BBWX-6/1 C40A AC230/400 250A/400 Out</t>
  </si>
  <si>
    <t>Solar AC Combiner BBWX-6/1 C50A AC230/400 320A/400 Out</t>
  </si>
  <si>
    <t>Solar AC Combiner BBWX-3/1 In=320A AC230/400 1000A/400 Out</t>
  </si>
  <si>
    <t>Solar AC Combiner BBWX-4/1 In=160A AC230/400 630A/400 Out</t>
  </si>
  <si>
    <t>Solar AC Combiner BBWX-4/1 In=200A AC230/400 800A/400 Out</t>
  </si>
  <si>
    <t>Solar AC Combiner BBWX-5/1 In=200A AC230/400 1000A/400 Out</t>
  </si>
  <si>
    <t>Solar AC Combiner BBWX-6/1 In=160A AC230/400 1000A/400 Out</t>
  </si>
  <si>
    <t>Solar AC Combiner BBWX-6/1 In=200A AC230/400 1250A/400 Out</t>
  </si>
  <si>
    <t>Solar AC Combiner BBWX-1 5KW AC BOX</t>
  </si>
  <si>
    <t>Solar AC Combiner BBWX-1 10KW AC BOX</t>
  </si>
  <si>
    <t>Victron Battery switch ON/OFF 275A</t>
  </si>
  <si>
    <t>End User (GHC)</t>
  </si>
  <si>
    <t>End User (USD)</t>
  </si>
  <si>
    <t>SuperDealer (USD)</t>
  </si>
  <si>
    <t>SuperDealer (GHC)</t>
  </si>
  <si>
    <t>Revival Outreach Church</t>
  </si>
  <si>
    <t>0572124795</t>
  </si>
  <si>
    <t>Engineering, Transportation and Installation Services</t>
  </si>
  <si>
    <t>UNDP - System 1</t>
  </si>
  <si>
    <t>UNDP - System 2</t>
  </si>
  <si>
    <t>Azda Phoster</t>
  </si>
  <si>
    <t>Teshie - Bushroad</t>
  </si>
  <si>
    <t>+16463795418 / 0546285263</t>
  </si>
  <si>
    <t>0243123355</t>
  </si>
  <si>
    <t>Ethel Amankwah</t>
  </si>
  <si>
    <t>0277274462</t>
  </si>
  <si>
    <t>Secondi</t>
  </si>
  <si>
    <t>Upper East Region</t>
  </si>
  <si>
    <t>Ho</t>
  </si>
  <si>
    <t>Upper West Region</t>
  </si>
  <si>
    <t>Bono Region</t>
  </si>
  <si>
    <t>Ahafo Region</t>
  </si>
  <si>
    <t>Goaso</t>
  </si>
  <si>
    <t>Oti Region</t>
  </si>
  <si>
    <t>Dambai</t>
  </si>
  <si>
    <t>Bono East Region</t>
  </si>
  <si>
    <t>Techiman</t>
  </si>
  <si>
    <t>North East Region</t>
  </si>
  <si>
    <t>Nalerigu</t>
  </si>
  <si>
    <t>Savanna Region</t>
  </si>
  <si>
    <t>Damango</t>
  </si>
  <si>
    <t>Rife International</t>
  </si>
  <si>
    <t>0543691289</t>
  </si>
  <si>
    <t>Ahmed Bedwei</t>
  </si>
  <si>
    <t>0243224018</t>
  </si>
  <si>
    <t>Dennis Wiredu Asare</t>
  </si>
  <si>
    <t>0246883322</t>
  </si>
  <si>
    <t>Theophilus</t>
  </si>
  <si>
    <t>0544338554</t>
  </si>
  <si>
    <t>Radio Station</t>
  </si>
  <si>
    <t>Krachi</t>
  </si>
  <si>
    <t>Victron MultiPlus 12/500/20-16 230V VE.Bus</t>
  </si>
  <si>
    <t>Victron MultiPlus 12/800/35-16 230V VE.Bus</t>
  </si>
  <si>
    <t>Victron MultiPlus 12/1200/50-16 230V VE.Bus</t>
  </si>
  <si>
    <t>Victron MultiPlus 12/1600/70-16 230V VE.Bus</t>
  </si>
  <si>
    <t>Victron MultiPlus 12/2000/80-32 230V VE.Bus</t>
  </si>
  <si>
    <t>Victron Phoenix Inverter 12/250 230V VE.Direct UK</t>
  </si>
  <si>
    <t>Victron Phoenix Inverter 12/375 230V VE.Direct UK</t>
  </si>
  <si>
    <t>Victron Phoenix Inverter 12/500 230V VE.Direct UK</t>
  </si>
  <si>
    <t>Victron Phoenix Inverter 12/800 230V VE.Direct UK</t>
  </si>
  <si>
    <t>Victron Phoenix Inverter 12/1200 230V VE.Direct UK</t>
  </si>
  <si>
    <t>Victron Phoenix Inverter 24/250 230V VE.Direct UK</t>
  </si>
  <si>
    <t>Victron Phoenix Inverter 24/375 230V VE.Direct UK</t>
  </si>
  <si>
    <t>Victron Phoenix Inverter 24/500 230V VE.Direct UK</t>
  </si>
  <si>
    <t>Victron Phoenix Inverter 24/800 230V VE.Direct UK</t>
  </si>
  <si>
    <t>Victron Phoenix Inverter 24/1200 230V VE.Direct UK</t>
  </si>
  <si>
    <t>Victron Phoenix Inverter 48/1600 230V Smart</t>
  </si>
  <si>
    <t>Victron Phoenix Inverter 48/2000 230V Smart</t>
  </si>
  <si>
    <t>Victron Phoenix Inverter 48/3000 230V Smart</t>
  </si>
  <si>
    <t>Fronius Symo 5.0-3-M 5kw light</t>
  </si>
  <si>
    <t>Fonius Symo 6.0-3-M 6kw Light</t>
  </si>
  <si>
    <t>Froius Symo 3.0-3-S 3kw light</t>
  </si>
  <si>
    <t>Fronius Eco 25.0-3-S 25kw light</t>
  </si>
  <si>
    <t>Fronius Eco 27.0-3-S kw light</t>
  </si>
  <si>
    <t>Fronius smart meter 65A-3</t>
  </si>
  <si>
    <t>Fronius smart meter 100A-1</t>
  </si>
  <si>
    <t>BYD MLKT-36-182 K530 Watts Solar panel</t>
  </si>
  <si>
    <t>Peter</t>
  </si>
  <si>
    <t>0244335000</t>
  </si>
  <si>
    <t>Patrick-SPS</t>
  </si>
  <si>
    <t>0247475023</t>
  </si>
  <si>
    <t>Hikra Sol DC Solar cable 1x4mm2 1500V H1Z2Z2</t>
  </si>
  <si>
    <t>Hikra Sol DC Solar cable 1x6mm2 1500V H1Z2Z2</t>
  </si>
  <si>
    <t>Hikra Sol DC Solar cable 1x10mm2 1500V H1Z2Z2</t>
  </si>
  <si>
    <t>Top Cable AC solar cable 5x16mm2 RV-K 0.6/1KV</t>
  </si>
  <si>
    <t>Top Cable AC solar cable 5x25mm2 RV-K 0.6/1KV</t>
  </si>
  <si>
    <t>Top Cable AC solar cable 5x4mm2 RV-K 0.6/1KV</t>
  </si>
  <si>
    <t>Top Cable AC solar cable 5x6mm2 RV-K 0.6/1KV</t>
  </si>
  <si>
    <t>Top Cable AC solar cable 5x10mm2 RV-K 0.6/1KV</t>
  </si>
  <si>
    <t>Hikra Sol DC Solar cable 1x16mm2 1500V H1Z2Z2</t>
  </si>
  <si>
    <t>Hikra Sol DC Solar cable 1x25mm2 1500V H1Z2Z2</t>
  </si>
  <si>
    <t>Hikra Sol DC Solar cable 1x35mm2 1500V H1Z2Z2</t>
  </si>
  <si>
    <t>Hikra Sol DC Solar cable 1x50mm2 1500V H1Z2Z2</t>
  </si>
  <si>
    <t>Hikra Sol DC Solar cable 1x70mm2 1500V H1Z2Z2</t>
  </si>
  <si>
    <t>Hikra Sol DC Solar cable 1x95mm2 1500V H1Z2Z2</t>
  </si>
  <si>
    <t>Less Special Discount</t>
  </si>
  <si>
    <t>James Annan - Doboro</t>
  </si>
  <si>
    <t>Doboro</t>
  </si>
  <si>
    <t>0208228224</t>
  </si>
  <si>
    <t>Top Cable AC solar cable 5x35mm2 RV-K 0.6/1KV</t>
  </si>
  <si>
    <t>Top Cable AC solar cable 5x50mm2 RV-K 0.6/1KV</t>
  </si>
  <si>
    <t>Top Cable AC solar cable 5x70mm2 RV-K 0.6/1KV</t>
  </si>
  <si>
    <t>Furnart Ghana Limited</t>
  </si>
  <si>
    <t>0559743601</t>
  </si>
  <si>
    <t>Top Cable AC solar cable 1x95mm2 RV-K 0.6/1KV</t>
  </si>
  <si>
    <t>Top Cable AC solar cable 1x300mm2 RV-K 0.6/1KV</t>
  </si>
  <si>
    <t>600x600mm Enclosure with Dinrail</t>
  </si>
  <si>
    <t>St. Gabriel International School - Residence/Admin</t>
  </si>
  <si>
    <t>St. Gabriel International School - School</t>
  </si>
  <si>
    <t>0508740785</t>
  </si>
  <si>
    <t>Lawyer Nathan Tei</t>
  </si>
  <si>
    <t>AC solar cable 2x1.5mm2 RV-K 0.6/1KV for CTs</t>
  </si>
  <si>
    <t>Suhum</t>
  </si>
  <si>
    <t>Yayra Glover Limited - Intertech Energy Solutions Ltd</t>
  </si>
  <si>
    <t>0542854967</t>
  </si>
  <si>
    <t>Carlo Gavazzi Battery 24V 1.2Ah (28.8Wh) / Additional power supply (15min) | Lead-acid battery</t>
  </si>
  <si>
    <t>Carlo Gavazzi AC Meter | 5A | 330 / Power meter at grid, load &amp; genset connection points</t>
  </si>
  <si>
    <t>Carlo Gavazzi CT 5A -1000 A / Current transducer for AC meter</t>
  </si>
  <si>
    <t>Data Logger Rental per day</t>
  </si>
  <si>
    <t>James Annan - Airport</t>
  </si>
  <si>
    <t>Victron Shunt 500A/50m</t>
  </si>
  <si>
    <t>Super Dealer</t>
  </si>
  <si>
    <t>Kofi Larbi</t>
  </si>
  <si>
    <t>0242626200</t>
  </si>
  <si>
    <t>Benjamin Klutse</t>
  </si>
  <si>
    <t>Amanfrom</t>
  </si>
  <si>
    <t>0505326840</t>
  </si>
  <si>
    <t>SGL SUB 1 LIMITED</t>
  </si>
  <si>
    <t>H HESSEL CLOSE, AIRPORT RESIDENTIAL</t>
  </si>
  <si>
    <t>ACCRA</t>
  </si>
  <si>
    <t>0200511100</t>
  </si>
  <si>
    <t>Managing Director</t>
  </si>
  <si>
    <t>12-Port Ethernet Switch</t>
  </si>
  <si>
    <t>SOLAR SYSTEM COMPONENTS COST</t>
  </si>
  <si>
    <t>Victron VE.Can to CAN-bus BMS type A Cable 1.8m</t>
  </si>
  <si>
    <t>Victron VE.Can to CAN-bus BMS type A Cable 5m</t>
  </si>
  <si>
    <t>Victron VE.Can to CAN-bus BMS type B Cable 1.8m</t>
  </si>
  <si>
    <t>Victron VE.Can to CAN-bus BMS type B Cable 5m</t>
  </si>
  <si>
    <t>DATA LOGGER RENTAL FROM 13-05-2022 TO 20-05-2022</t>
  </si>
  <si>
    <t>Eunice Adu</t>
  </si>
  <si>
    <t>VICTRON HYBRID SOLAR SYSTEM</t>
  </si>
  <si>
    <t>Ernest Gyekye</t>
  </si>
  <si>
    <t>0501630971</t>
  </si>
  <si>
    <t>TROUBLESHOOTING OF FAULT ON SOLAR SYSTEM</t>
  </si>
  <si>
    <t>Delivery</t>
  </si>
  <si>
    <t>Payment</t>
  </si>
  <si>
    <t>Validity</t>
  </si>
  <si>
    <r>
      <rPr>
        <b/>
        <sz val="12"/>
        <color theme="1"/>
        <rFont val="Times New Roman"/>
        <family val="1"/>
      </rPr>
      <t>Delivery:</t>
    </r>
    <r>
      <rPr>
        <sz val="12"/>
        <color theme="1"/>
        <rFont val="Times New Roman"/>
        <family val="1"/>
      </rPr>
      <t xml:space="preserve"> Immediate upon confirmation of payment</t>
    </r>
  </si>
  <si>
    <r>
      <rPr>
        <b/>
        <sz val="12"/>
        <color theme="1"/>
        <rFont val="Times New Roman"/>
        <family val="1"/>
      </rPr>
      <t>Delivery:</t>
    </r>
    <r>
      <rPr>
        <sz val="12"/>
        <color theme="1"/>
        <rFont val="Times New Roman"/>
        <family val="1"/>
      </rPr>
      <t xml:space="preserve"> Within 30 days after receipt of Purchase Order</t>
    </r>
  </si>
  <si>
    <r>
      <rPr>
        <b/>
        <sz val="12"/>
        <color theme="1"/>
        <rFont val="Times New Roman"/>
        <family val="1"/>
      </rPr>
      <t>Payment:</t>
    </r>
    <r>
      <rPr>
        <sz val="12"/>
        <color theme="1"/>
        <rFont val="Times New Roman"/>
        <family val="1"/>
      </rPr>
      <t xml:space="preserve"> 100% Payment with order</t>
    </r>
  </si>
  <si>
    <r>
      <rPr>
        <b/>
        <sz val="12"/>
        <color theme="1"/>
        <rFont val="Times New Roman"/>
        <family val="1"/>
      </rPr>
      <t>Payment:</t>
    </r>
    <r>
      <rPr>
        <sz val="12"/>
        <color theme="1"/>
        <rFont val="Times New Roman"/>
        <family val="1"/>
      </rPr>
      <t xml:space="preserve"> 70% Payment with order, 30% Payment upon system Commissioning</t>
    </r>
  </si>
  <si>
    <t>Warranty</t>
  </si>
  <si>
    <r>
      <rPr>
        <b/>
        <sz val="12"/>
        <color theme="1"/>
        <rFont val="Times New Roman"/>
        <family val="1"/>
      </rPr>
      <t xml:space="preserve">Warranty: </t>
    </r>
    <r>
      <rPr>
        <sz val="12"/>
        <color theme="1"/>
        <rFont val="Times New Roman"/>
        <family val="1"/>
      </rPr>
      <t>10 years for battery, 5 years for inverter and accessories, 10 years for solar panels</t>
    </r>
  </si>
  <si>
    <r>
      <rPr>
        <b/>
        <sz val="12"/>
        <color theme="1"/>
        <rFont val="Times New Roman"/>
        <family val="1"/>
      </rPr>
      <t xml:space="preserve">Warranty: </t>
    </r>
    <r>
      <rPr>
        <sz val="12"/>
        <color theme="1"/>
        <rFont val="Times New Roman"/>
        <family val="1"/>
      </rPr>
      <t>1 year for battery, 5 years for inverter and accessories, 10 years for solar panels</t>
    </r>
  </si>
  <si>
    <r>
      <rPr>
        <b/>
        <sz val="12"/>
        <color theme="1"/>
        <rFont val="Times New Roman"/>
        <family val="1"/>
      </rPr>
      <t xml:space="preserve">Warranty: </t>
    </r>
    <r>
      <rPr>
        <sz val="12"/>
        <color theme="1"/>
        <rFont val="Times New Roman"/>
        <family val="1"/>
      </rPr>
      <t>5 years for inverter and accessories, 10 years for solar panels</t>
    </r>
  </si>
  <si>
    <t xml:space="preserve">System Design: System Components for Installation by client </t>
  </si>
  <si>
    <t>System Design</t>
  </si>
  <si>
    <t xml:space="preserve">System Design: Hybrid Solar system to supply power to residential facility </t>
  </si>
  <si>
    <t>System Design: Grid-tied solar system for commercial facility</t>
  </si>
  <si>
    <t>System Design: Grid-tied solar system for industrifal facility</t>
  </si>
  <si>
    <t xml:space="preserve">System Design: Hybrid Solar system to supply power to commercial facility </t>
  </si>
  <si>
    <r>
      <rPr>
        <b/>
        <sz val="12"/>
        <color theme="1"/>
        <rFont val="Times New Roman"/>
        <family val="1"/>
      </rPr>
      <t xml:space="preserve">Validity: </t>
    </r>
    <r>
      <rPr>
        <sz val="12"/>
        <color theme="1"/>
        <rFont val="Times New Roman"/>
        <family val="1"/>
      </rPr>
      <t>2 weeks from date of invoice</t>
    </r>
  </si>
  <si>
    <r>
      <rPr>
        <b/>
        <sz val="12"/>
        <color theme="1"/>
        <rFont val="Times New Roman"/>
        <family val="1"/>
      </rPr>
      <t xml:space="preserve">Validity: </t>
    </r>
    <r>
      <rPr>
        <sz val="12"/>
        <color theme="1"/>
        <rFont val="Times New Roman"/>
        <family val="1"/>
      </rPr>
      <t>30 days from date of invoice</t>
    </r>
  </si>
  <si>
    <t>Chain Homes 218</t>
  </si>
  <si>
    <t>Inverter Capacity</t>
  </si>
  <si>
    <t>Battery Capacity</t>
  </si>
  <si>
    <t>Solar Panel Capacity</t>
  </si>
  <si>
    <t>ELSEWEDY ELECTRIC FOR TRANSMISSION &amp; DISTRIBUTION</t>
  </si>
  <si>
    <t>Kotobabi</t>
  </si>
  <si>
    <t>0506732892</t>
  </si>
  <si>
    <t>GRID TIED SOLAR SYSTEM</t>
  </si>
  <si>
    <t>Gallon of Electrolyte</t>
  </si>
  <si>
    <t>Coca Cola Bottling Company - BeBa Africa</t>
  </si>
  <si>
    <t>+31652097999</t>
  </si>
  <si>
    <t>AC solar cable 4x1.5mm2 RV-K 0.6/1KV for CT Voltage Sensing</t>
  </si>
  <si>
    <t>Earthing System</t>
  </si>
  <si>
    <t>DOUMMAR MEP Contracting Ltd</t>
  </si>
  <si>
    <t>0543696216</t>
  </si>
  <si>
    <t>kVA</t>
  </si>
  <si>
    <t>kWh</t>
  </si>
  <si>
    <t>kWp</t>
  </si>
  <si>
    <t>Abdella Salia - Dzorwulu</t>
  </si>
  <si>
    <t>System Design: System Upgrade</t>
  </si>
  <si>
    <t>SOLAR SYSTEM UPGRADE</t>
  </si>
  <si>
    <t>Michael Mawuli Gakpetor</t>
  </si>
  <si>
    <t>0246814366</t>
  </si>
  <si>
    <t>Dr. Adjei</t>
  </si>
  <si>
    <t>Bortianor</t>
  </si>
  <si>
    <t>0240238384</t>
  </si>
  <si>
    <t>Exchange Rate</t>
  </si>
  <si>
    <t>Herona Company Limited</t>
  </si>
  <si>
    <t>0204287707</t>
  </si>
  <si>
    <t>250A Manual Transfer Switch</t>
  </si>
  <si>
    <t>4000A Manual Transfer Switch</t>
  </si>
  <si>
    <t>Sunpower Innovations</t>
  </si>
  <si>
    <t>0249769927</t>
  </si>
  <si>
    <t>Daniel</t>
  </si>
  <si>
    <t>Carlo Gavazzi Battery 24V 7.2Ah (172.8Wh) / Additional power supply | Lead-acid</t>
  </si>
  <si>
    <t>Carlo Gavazzi UPS AC/DC 120W / Uninterruptible power supply</t>
  </si>
  <si>
    <t>Carlo Gavazzi AC Meter 333mV / Power meter at grid, load &amp; genset connection points</t>
  </si>
  <si>
    <t>CT 333mV 3500 A (Pack of 3) - 400mm / Current transducer for AC meter, length 400mm</t>
  </si>
  <si>
    <t>ePowerMonitor - PRO - 1 year access to ePower Monitor Web monitoring and diagnosis platform</t>
  </si>
  <si>
    <t xml:space="preserve">Carlo Gavazzi UPS AC/DC 60W / AC-DC Industrial DIN rail with UPS function </t>
  </si>
  <si>
    <t xml:space="preserve">ASSEU Atsin Philippe </t>
  </si>
  <si>
    <t>Cote D'ivoire</t>
  </si>
  <si>
    <t>1x16mm2 RV-K 0.6/1KV Yellow/Green Earth Cable</t>
  </si>
  <si>
    <t>+(225) 07 08 82 21 78</t>
  </si>
  <si>
    <t>Ekow Mensshan</t>
  </si>
  <si>
    <t>0208132704</t>
  </si>
  <si>
    <t>Total Petroleum Ghana Limited, Tema, Anloga Junction</t>
  </si>
  <si>
    <t>Anloga Junction</t>
  </si>
  <si>
    <t>Total Petroleum Ghana Limited, Tema, Suame Roundabout</t>
  </si>
  <si>
    <t>Suame Roundabout</t>
  </si>
  <si>
    <t>Total Petroleum Ghana Limited, Tema, Oxford Street</t>
  </si>
  <si>
    <t>Oxford Street, Osu</t>
  </si>
  <si>
    <t>SOLAR SYSTEM RELOCATION</t>
  </si>
  <si>
    <t>REMOVAL OF SOLAR SYSTEM COMPONENTS AND REINSTALLATION</t>
  </si>
  <si>
    <t>DECOMMISSIONING OF SOLAR SYSTEM</t>
  </si>
  <si>
    <t>Civil Works for Ground-mount structure</t>
  </si>
  <si>
    <t>System Design: Solar System Relocation</t>
  </si>
  <si>
    <t>System Design: Removal and Reinstallation of Solar System</t>
  </si>
  <si>
    <t>0264271451</t>
  </si>
  <si>
    <t>Tony Gotah</t>
  </si>
  <si>
    <t>Price/kWp</t>
  </si>
  <si>
    <t>China Geo Engineering Corporation</t>
  </si>
  <si>
    <t>0209080439</t>
  </si>
  <si>
    <t>Top Cable AC solar cable 1x120mm2 RV-K 0.6/1KV</t>
  </si>
  <si>
    <t>6-Port Ethernet Switch</t>
  </si>
  <si>
    <t>Total Petroleum Ghana Limited, Tema, Accra New-Town</t>
  </si>
  <si>
    <t>Retail with Tax</t>
  </si>
  <si>
    <t>Super Dealer with Tax</t>
  </si>
  <si>
    <t>Nana A. Opoku</t>
  </si>
  <si>
    <t xml:space="preserve">Star Sight Energy </t>
  </si>
  <si>
    <t>Kenneth Owusu</t>
  </si>
  <si>
    <t>Shadrach Arhin</t>
  </si>
  <si>
    <t>Devtraco Estates</t>
  </si>
  <si>
    <t>0208132233</t>
  </si>
  <si>
    <t>Atorkor Vocational Training Institute</t>
  </si>
  <si>
    <t>0593160888</t>
  </si>
  <si>
    <t>Keta</t>
  </si>
  <si>
    <t>Paa Kwesi</t>
  </si>
  <si>
    <t>0244479447 / 
0501633298</t>
  </si>
  <si>
    <t>100kWp Solar System</t>
  </si>
  <si>
    <t>Coil of Shielded RJ45 STP Cable</t>
  </si>
  <si>
    <t>Ebow - IT Consortium - Residence</t>
  </si>
  <si>
    <t>Tema Community 22</t>
  </si>
  <si>
    <t>MAINTENANCE OF SOLAR SYSTEM</t>
  </si>
  <si>
    <t>SOLAR SYSTEM SUPPORT SERVICE</t>
  </si>
  <si>
    <t>Sheila Ohene - Anomabo</t>
  </si>
  <si>
    <t>Sheila Ohene - Aburi</t>
  </si>
  <si>
    <t>Anomabo</t>
  </si>
  <si>
    <t>On-site Technical Support Service</t>
  </si>
  <si>
    <t>0243080785</t>
  </si>
  <si>
    <t>Kwame Adu</t>
  </si>
  <si>
    <t>Aplaku - Kokrobite</t>
  </si>
  <si>
    <t>0208291715</t>
  </si>
  <si>
    <t>GIZ - Ghamfin House</t>
  </si>
  <si>
    <t>0244489819</t>
  </si>
  <si>
    <t>Exornam Lawluvi Solar</t>
  </si>
  <si>
    <t>0244727494</t>
  </si>
  <si>
    <t>Chint 125A 4-Pole AC MCCB</t>
  </si>
  <si>
    <t>Adedeshore Residence</t>
  </si>
  <si>
    <t>Battery Rack for up to 4 Batteries - Lithium Batteries</t>
  </si>
  <si>
    <t>Battery Rack for up to 8 Batteries - Lithium Batteries</t>
  </si>
  <si>
    <t>Battery Rack for up to 12 Batteries - Lithium Batteries</t>
  </si>
  <si>
    <t>Battery Rack for up to 16 Batteries - Lithium Batteries</t>
  </si>
  <si>
    <t>Battery Rack for up to 4 Batteries - Lead Acid Batteries</t>
  </si>
  <si>
    <t>Battery Rack for up to 8 Batteries - Lead Acid Batteries</t>
  </si>
  <si>
    <t>Battery Rack for up to 12 Batteries - Lead Acid Batteries</t>
  </si>
  <si>
    <t>Battery Rack for up to 16 Batteries - Lead Acid Batteries</t>
  </si>
  <si>
    <t>Edward Tetteh</t>
  </si>
  <si>
    <t>New Bortianor</t>
  </si>
  <si>
    <t>0548585888</t>
  </si>
  <si>
    <t>John Tetteh</t>
  </si>
  <si>
    <t>0243819315 / 
0207934724</t>
  </si>
  <si>
    <t>0244330123</t>
  </si>
  <si>
    <t>Thomas - Irrigation</t>
  </si>
  <si>
    <t>Deborah</t>
  </si>
  <si>
    <t>Evans</t>
  </si>
  <si>
    <t>0244854604</t>
  </si>
  <si>
    <t>Richard</t>
  </si>
  <si>
    <t>Kwabenya ACP</t>
  </si>
  <si>
    <t>0246222228</t>
  </si>
  <si>
    <t>GAFTAG</t>
  </si>
  <si>
    <t>0544414862</t>
  </si>
  <si>
    <t>Jeffery Schrimb</t>
  </si>
  <si>
    <t>0243953180</t>
  </si>
  <si>
    <t>Jacob - Atlantic</t>
  </si>
  <si>
    <t>Edward</t>
  </si>
  <si>
    <t>0506874735</t>
  </si>
  <si>
    <t>Mawuli</t>
  </si>
  <si>
    <t>0240114630</t>
  </si>
  <si>
    <t>Eric</t>
  </si>
  <si>
    <t>Kwahu</t>
  </si>
  <si>
    <t>Kwame Danso</t>
  </si>
  <si>
    <t>Brong Ahafo</t>
  </si>
  <si>
    <t>Erma</t>
  </si>
  <si>
    <t>0594038841 / 0599757739</t>
  </si>
  <si>
    <t>Thomas - Farm House - 5 Bedroom - System 1</t>
  </si>
  <si>
    <t>Thomas - Farm House - 5 Bedroom - System 2</t>
  </si>
  <si>
    <t>Thomas - Farm House - 3 Bedroom - System 1</t>
  </si>
  <si>
    <t xml:space="preserve">Thomas - Farm House - Warehouse </t>
  </si>
  <si>
    <t>Clement Quansah</t>
  </si>
  <si>
    <t>Neopower Consultancy</t>
  </si>
  <si>
    <t>0561692835</t>
  </si>
  <si>
    <t>Civil Works for Carport Structure</t>
  </si>
  <si>
    <t>Victron Solar Panel 270W-20V Poly 1640x992x35mm series 4a</t>
  </si>
  <si>
    <t>Fomena-Ashanti</t>
  </si>
  <si>
    <t>Joshua Cobbinah</t>
  </si>
  <si>
    <t>NMS</t>
  </si>
  <si>
    <t>Benjamin Erzoah Kermah</t>
  </si>
  <si>
    <t>Nzema</t>
  </si>
  <si>
    <t>0243438234</t>
  </si>
  <si>
    <t>Aaron Tamakloe</t>
  </si>
  <si>
    <t>Appolonia</t>
  </si>
  <si>
    <t>0556615774</t>
  </si>
  <si>
    <t>Orthodox Chapel - Rev. Larbi</t>
  </si>
  <si>
    <t>Isaac Quaye</t>
  </si>
  <si>
    <t>Odorkor</t>
  </si>
  <si>
    <t>0244660068</t>
  </si>
  <si>
    <t>Godwin Kwao</t>
  </si>
  <si>
    <t>0277754881</t>
  </si>
  <si>
    <t>Awal Mohammed</t>
  </si>
  <si>
    <t>0247115774</t>
  </si>
  <si>
    <t>New Africa Technology Company</t>
  </si>
  <si>
    <t>Liberia</t>
  </si>
  <si>
    <t>10A 2-Pole AC Circuit Breaker</t>
  </si>
  <si>
    <t>16A 2-Pole AC Circuit Breaker</t>
  </si>
  <si>
    <t>32A 2-Pole AC Circuit Breaker</t>
  </si>
  <si>
    <t>40A 2-Pole AC Circuit Breaker</t>
  </si>
  <si>
    <t>63A 2-Pole AC Circuit Breaker</t>
  </si>
  <si>
    <t>100A 2-Pole AC Circuit Breaker</t>
  </si>
  <si>
    <t>250A 2-Pole AC Circuit Breaker</t>
  </si>
  <si>
    <t>32A 4-Pole AC Circuit Breaker</t>
  </si>
  <si>
    <t>40A 4-Pole AC Circuit Breaker</t>
  </si>
  <si>
    <t>63A 4-Pole AC Circuit Breaker</t>
  </si>
  <si>
    <t>100A 4-Pole AC Circuit Breaker</t>
  </si>
  <si>
    <t>250A 4-Pole AC Circuit Breaker</t>
  </si>
  <si>
    <t>SYSTEM COMPONENT COSTS</t>
  </si>
  <si>
    <t>BACKUP SYSTEM</t>
  </si>
  <si>
    <t>Luc Coomans</t>
  </si>
  <si>
    <t>0243225272</t>
  </si>
  <si>
    <t>Dr. George Wepeba</t>
  </si>
  <si>
    <t>Kokrobite</t>
  </si>
  <si>
    <t>0503930283</t>
  </si>
  <si>
    <t>Nii</t>
  </si>
  <si>
    <t>East Legon Hills</t>
  </si>
  <si>
    <t>0266712272</t>
  </si>
  <si>
    <t>Mike</t>
  </si>
  <si>
    <t>0244622924</t>
  </si>
  <si>
    <t>Felix</t>
  </si>
  <si>
    <t>0277430599</t>
  </si>
  <si>
    <t>Genec Electrical</t>
  </si>
  <si>
    <t>0243839480</t>
  </si>
  <si>
    <t xml:space="preserve">Radio Station - Sunyani </t>
  </si>
  <si>
    <t>0540755291</t>
  </si>
  <si>
    <t>+491729579455</t>
  </si>
  <si>
    <t>Paul Okan Adjetey - Ashongman - 3kVA</t>
  </si>
  <si>
    <t>Paul Okan Adjetey - Accra - 8kVA</t>
  </si>
  <si>
    <t>5kWp Hybrid 10kWh</t>
  </si>
  <si>
    <t>10kWp Hybrid 20kWh</t>
  </si>
  <si>
    <t>20kWp Hybrid 40kWh</t>
  </si>
  <si>
    <t>50kWp Hybrid 150kWh</t>
  </si>
  <si>
    <t>Dream Renewables</t>
  </si>
  <si>
    <t>Kofi Boakye Danso</t>
  </si>
  <si>
    <t>0554020335</t>
  </si>
  <si>
    <t>Account Name: Tino Solutions Limited</t>
  </si>
  <si>
    <t>Account No: 0100106241600 (GHS)</t>
  </si>
  <si>
    <t>Account No: 8701506241600 (USD)</t>
  </si>
  <si>
    <t>TINO SOLUTIONS BANKS  ACCOUNT DETAILS</t>
  </si>
  <si>
    <t>ACCOUNT NAME</t>
  </si>
  <si>
    <t>BANK NAME</t>
  </si>
  <si>
    <t>CEDIS</t>
  </si>
  <si>
    <t>DOLLAR</t>
  </si>
  <si>
    <t>BRANCH</t>
  </si>
  <si>
    <t>Bank Branch: Achimota Mall</t>
  </si>
  <si>
    <t>Account No: 0200223082501 (GHS)</t>
  </si>
  <si>
    <t>Account No: 6010184886 (GHS)</t>
  </si>
  <si>
    <t>Account No: 00101312003503 (GHS)</t>
  </si>
  <si>
    <t>Account No: 0111302717161 (GHS)</t>
  </si>
  <si>
    <t>Account No: 1441002237313 (GHS)</t>
  </si>
  <si>
    <t>Account No: 1050028224118 (GHS)</t>
  </si>
  <si>
    <t>Account No: 6040100024 (USD)</t>
  </si>
  <si>
    <t>Account No: 00101312002230 (USD)</t>
  </si>
  <si>
    <t>Account No: 0111302717162 (USD)</t>
  </si>
  <si>
    <t>Account No: 3441002198840 (USD)</t>
  </si>
  <si>
    <t>Account No: 1951028224113 (USD)</t>
  </si>
  <si>
    <t>Account No: 0201013082501 (USD)</t>
  </si>
  <si>
    <t>Bank Name: ACCESS BANK (GHANA) PLC</t>
  </si>
  <si>
    <t>Swift Code: ABNGGHACXXX</t>
  </si>
  <si>
    <t>Sort Code: 280114</t>
  </si>
  <si>
    <t>Sort Code: 120101</t>
  </si>
  <si>
    <t xml:space="preserve">Bank Name: ZENITH BANK (GH) LTD </t>
  </si>
  <si>
    <t>Swift Code: ZEBLGHACXXX</t>
  </si>
  <si>
    <t>Swift Code: STBGGHACXXX</t>
  </si>
  <si>
    <t>Bank Name: UNITED BANK FOR AFRICA (GHANA) LTD</t>
  </si>
  <si>
    <t>Sort Code: 340147</t>
  </si>
  <si>
    <t>Bank Name: CONSOLIDATED BANK GHANA LTD</t>
  </si>
  <si>
    <t>Swift Code: CBGHGHACXXX</t>
  </si>
  <si>
    <t>Bank Name: ECOBANK (GH) LTD</t>
  </si>
  <si>
    <t>Swift Code: ECOCGHACXXX</t>
  </si>
  <si>
    <t>Sort Code: 130111</t>
  </si>
  <si>
    <t>Swift Code: FBLIGHACXXX</t>
  </si>
  <si>
    <t xml:space="preserve">Bank Name: FIDELITY BANK GHANA LIMITED </t>
  </si>
  <si>
    <t>Sort Code: 240118</t>
  </si>
  <si>
    <t>Sort Code: 060101</t>
  </si>
  <si>
    <t>Bank Branch: Abeka Lapaz</t>
  </si>
  <si>
    <t>Bank Branch: Premier Towers</t>
  </si>
  <si>
    <t>Bank Branch: Heritage Tower</t>
  </si>
  <si>
    <t>Bank Branch: Oxford Street Branch</t>
  </si>
  <si>
    <t>Bank Branch: Adenta</t>
  </si>
  <si>
    <t>255 Farms</t>
  </si>
  <si>
    <t>DISPLAY TAX</t>
  </si>
  <si>
    <t>DO NOT DISPLAY TAX</t>
  </si>
  <si>
    <t>Paul Okan Adjetey - Abokobi</t>
  </si>
  <si>
    <t>Promotional Price for 500W Solar System</t>
  </si>
  <si>
    <t>Promotional Price for 375W Solar System</t>
  </si>
  <si>
    <t>Promotional Price for 800W Solar System</t>
  </si>
  <si>
    <t>Promotional Price for 1200W Solar System</t>
  </si>
  <si>
    <t>Promotional Price for 250W Solar System</t>
  </si>
  <si>
    <t>Contactor-Relay Assembly</t>
  </si>
  <si>
    <t>Dela Montessori School</t>
  </si>
  <si>
    <t>0552501114</t>
  </si>
  <si>
    <t>Nana Boakye</t>
  </si>
  <si>
    <t>0546149951</t>
  </si>
  <si>
    <t>Hannah - RCS Logistics</t>
  </si>
  <si>
    <t>0242564722</t>
  </si>
  <si>
    <t>UNOPS LIBERIA</t>
  </si>
  <si>
    <t>Mr. Adu</t>
  </si>
  <si>
    <t>0204610700</t>
  </si>
  <si>
    <t>0552889611 / 
0552889611</t>
  </si>
  <si>
    <r>
      <rPr>
        <b/>
        <sz val="12"/>
        <color theme="1"/>
        <rFont val="Times New Roman"/>
        <family val="1"/>
      </rPr>
      <t>Validity: 1</t>
    </r>
    <r>
      <rPr>
        <sz val="12"/>
        <color theme="1"/>
        <rFont val="Times New Roman"/>
        <family val="1"/>
      </rPr>
      <t xml:space="preserve"> week from date of invoice</t>
    </r>
  </si>
  <si>
    <t>Samuel Ofori - CEWPAG</t>
  </si>
  <si>
    <t>Fronius Primo Gen24 3.0 Inverter</t>
  </si>
  <si>
    <t>Fronius Primo Gen24 5.0 Inverter</t>
  </si>
  <si>
    <t>Fronius Primo Gen24 6.0 Inverter</t>
  </si>
  <si>
    <t>Fronius Symo Gen24 3.0 Inverter</t>
  </si>
  <si>
    <t>Fronius Symo Gen24 4.0 Inverter</t>
  </si>
  <si>
    <t>Fronius Symo Gen24 5.0 Inverter</t>
  </si>
  <si>
    <t>Fronius Symo Gen24 6.0 Inverter</t>
  </si>
  <si>
    <t>Fronius Symo Gen24 8.0 Inverter</t>
  </si>
  <si>
    <t>Fronius Symo Gen24 10.0 Inverter</t>
  </si>
  <si>
    <t>Riviera Royal Hotel</t>
  </si>
  <si>
    <t>Guinea</t>
  </si>
  <si>
    <t>160A 2-Pole AC Circuit Breaker</t>
  </si>
  <si>
    <t>160A 4-Pole AC Circuit Breaker</t>
  </si>
  <si>
    <t>Chint 250A 4-Pole AC MCCB</t>
  </si>
  <si>
    <t>Michael Kwadwo Abrokwah</t>
  </si>
  <si>
    <t>Pokuase - Odumase</t>
  </si>
  <si>
    <t>Greater Accra</t>
  </si>
  <si>
    <t>0244719948</t>
  </si>
  <si>
    <t>Mr. Kingsford Boakye</t>
  </si>
  <si>
    <t>Ayitey Bilson</t>
  </si>
  <si>
    <t>PDSA Part of Hexagon, Airport City - Accra</t>
  </si>
  <si>
    <t>0501646235</t>
  </si>
  <si>
    <t>Mayan Book Center</t>
  </si>
  <si>
    <t>0243602280</t>
  </si>
  <si>
    <t>Anthony Ampofo</t>
  </si>
  <si>
    <t>0240205719 / 
0209011284</t>
  </si>
  <si>
    <t>UNHCR - Takoradi</t>
  </si>
  <si>
    <t>Nipa Nua Jaybee</t>
  </si>
  <si>
    <t>0507123961</t>
  </si>
  <si>
    <t>Madam Elizabeth</t>
  </si>
  <si>
    <t>0244268651</t>
  </si>
  <si>
    <t>Mashtech Limited</t>
  </si>
  <si>
    <t xml:space="preserve">MUNNIRA SHEIKH </t>
  </si>
  <si>
    <t>TJAYS Plaza</t>
  </si>
  <si>
    <t>Jacob Kumah Folivi</t>
  </si>
  <si>
    <t>0243709821</t>
  </si>
  <si>
    <t>0593160887</t>
  </si>
  <si>
    <t>Potter City</t>
  </si>
  <si>
    <t>Miotso - Prampram</t>
  </si>
  <si>
    <t>Hoppecke VR M 12-105 100AH Battery</t>
  </si>
  <si>
    <t>Hoppecke VR M 12-150 150AH Battery</t>
  </si>
  <si>
    <t>Hoppecke VR M 6-250 250AH Battery</t>
  </si>
  <si>
    <t>Transportation Expenses</t>
  </si>
  <si>
    <t>Installation Services</t>
  </si>
  <si>
    <t>Melani Mennalla Fisheries</t>
  </si>
  <si>
    <t>Prampram</t>
  </si>
  <si>
    <t>ASAPS Enterprise</t>
  </si>
  <si>
    <t>Leonard</t>
  </si>
  <si>
    <t>0556539963</t>
  </si>
  <si>
    <t>Ethel Sidney</t>
  </si>
  <si>
    <t>Baatsonaa</t>
  </si>
  <si>
    <t>0244508407</t>
  </si>
  <si>
    <r>
      <rPr>
        <b/>
        <sz val="12"/>
        <color theme="1"/>
        <rFont val="Times New Roman"/>
        <family val="1"/>
      </rPr>
      <t>Delivery:</t>
    </r>
    <r>
      <rPr>
        <sz val="12"/>
        <color theme="1"/>
        <rFont val="Times New Roman"/>
        <family val="1"/>
      </rPr>
      <t xml:space="preserve"> Within 90 days after receipt of Purchase Order</t>
    </r>
  </si>
  <si>
    <t>Fr. Subash</t>
  </si>
  <si>
    <t>Nana Kwame</t>
  </si>
  <si>
    <t>0508740057</t>
  </si>
  <si>
    <t>Stanley</t>
  </si>
  <si>
    <t>0209068491</t>
  </si>
  <si>
    <t>Diana</t>
  </si>
  <si>
    <t>Jackie Nyarko</t>
  </si>
  <si>
    <t>0553057758</t>
  </si>
  <si>
    <t>Nana Sekyiwaa</t>
  </si>
  <si>
    <t>0277400007</t>
  </si>
  <si>
    <t>Victron Colour Control GX</t>
  </si>
  <si>
    <t>0244282328</t>
  </si>
  <si>
    <t>Nicholas</t>
  </si>
  <si>
    <t>Benedicta Akidam</t>
  </si>
  <si>
    <t>Isaac</t>
  </si>
  <si>
    <t>Asa Savings and Loans</t>
  </si>
  <si>
    <t>0246012821</t>
  </si>
  <si>
    <t>Charles</t>
  </si>
  <si>
    <t>Richard Anarfi</t>
  </si>
  <si>
    <t>0242834180</t>
  </si>
  <si>
    <t>Godfred Nipah</t>
  </si>
  <si>
    <t>Christian Heritage University College</t>
  </si>
  <si>
    <t>0243348573 / 
0202116702</t>
  </si>
  <si>
    <t>Site within Accra</t>
  </si>
  <si>
    <t>'0501630971</t>
  </si>
  <si>
    <t>Site outside Accra</t>
  </si>
  <si>
    <t>0501630970</t>
  </si>
  <si>
    <t>Buipe</t>
  </si>
  <si>
    <t>Total Petroleum Ghana Limited, Buipe</t>
  </si>
  <si>
    <t>Total Petroleum Ghana Limited, outside Accra</t>
  </si>
  <si>
    <t>Total Petroleum Ghana Limited, within Accra</t>
  </si>
  <si>
    <t>Nanka Bruce</t>
  </si>
  <si>
    <t>0269627007</t>
  </si>
  <si>
    <t>RCC</t>
  </si>
  <si>
    <t>0243204215</t>
  </si>
  <si>
    <t>Dr. George</t>
  </si>
  <si>
    <t>+231886560080</t>
  </si>
  <si>
    <t>Michael Thompson</t>
  </si>
  <si>
    <t>0559470607</t>
  </si>
  <si>
    <t>Frank</t>
  </si>
  <si>
    <t>Tema Community 25</t>
  </si>
  <si>
    <t>0244331461</t>
  </si>
  <si>
    <t>VICTRON OFF-GRID SOLAR SYSTEM</t>
  </si>
  <si>
    <t>Industrial Area</t>
  </si>
  <si>
    <t>0208959468</t>
  </si>
  <si>
    <t>GDS</t>
  </si>
  <si>
    <t>Flexy Foods</t>
  </si>
  <si>
    <t>0544340856</t>
  </si>
  <si>
    <t>Madam Shiela</t>
  </si>
  <si>
    <t>Elizabeth Blewudzi</t>
  </si>
  <si>
    <t>0552828439</t>
  </si>
  <si>
    <t>Eye Smith - Kasoa</t>
  </si>
  <si>
    <t>Eye Smith - East Legon</t>
  </si>
  <si>
    <t>0244372353 / 
0264372353</t>
  </si>
  <si>
    <t>0544313888</t>
  </si>
  <si>
    <t>0544444456</t>
  </si>
  <si>
    <t>Ettore POTENTE</t>
  </si>
  <si>
    <t>SEEPACS Eng. Ltd</t>
  </si>
  <si>
    <t>Labour per kWp</t>
  </si>
  <si>
    <t>Nana Addo</t>
  </si>
  <si>
    <t>0244223140</t>
  </si>
  <si>
    <t>Asamoah</t>
  </si>
  <si>
    <t>0245505939</t>
  </si>
  <si>
    <t>Weija Leprosarium</t>
  </si>
  <si>
    <t>Court Building</t>
  </si>
  <si>
    <t>DBS Factory</t>
  </si>
  <si>
    <t>0277812623</t>
  </si>
  <si>
    <t>Sofaamy Company Limited</t>
  </si>
  <si>
    <t>500A 4-Pole AC MCCB</t>
  </si>
  <si>
    <t>30 Kakramadu Road, Next to NAFTI</t>
  </si>
  <si>
    <t>Madam Heike Friesel</t>
  </si>
  <si>
    <t>Goethe Institute - Ghana</t>
  </si>
  <si>
    <t>0505954341</t>
  </si>
  <si>
    <t>Datacom Telecommunication Limited</t>
  </si>
  <si>
    <t>Tema Freezones</t>
  </si>
  <si>
    <t>0244635224</t>
  </si>
  <si>
    <r>
      <rPr>
        <b/>
        <sz val="12"/>
        <color theme="1"/>
        <rFont val="Times New Roman"/>
        <family val="1"/>
      </rPr>
      <t>Delivery:</t>
    </r>
    <r>
      <rPr>
        <sz val="12"/>
        <color theme="1"/>
        <rFont val="Times New Roman"/>
        <family val="1"/>
      </rPr>
      <t xml:space="preserve"> Inverter is currently available. Batteries will be available by end of February</t>
    </r>
  </si>
  <si>
    <t>Ing. Matthew Seddoh Akatey</t>
  </si>
  <si>
    <t>0244887857</t>
  </si>
  <si>
    <t>Maintenance Service of Solar System</t>
  </si>
  <si>
    <t>0273547715 / 
0244729569</t>
  </si>
  <si>
    <t>SED Togo</t>
  </si>
  <si>
    <t>Togo</t>
  </si>
  <si>
    <t>0022891148887</t>
  </si>
  <si>
    <t>Madam Comfort</t>
  </si>
  <si>
    <t>0557322621</t>
  </si>
  <si>
    <t>Victron Wall mounted enclosure for BMV</t>
  </si>
  <si>
    <t>System Design: Solar System Relocation and Upgrade</t>
  </si>
  <si>
    <t xml:space="preserve">MFANTSIPIM SCHOOL - SARBAH PICOT </t>
  </si>
  <si>
    <t>MFANTSIPIM SCHOOL - PICKARD PARKER</t>
  </si>
  <si>
    <t>MFANTSIPIM SCHOOL - LOCKHART SCHWEITZER</t>
  </si>
  <si>
    <t>MFANTSIPIM SCHOOL - FREEMAN AGGREY</t>
  </si>
  <si>
    <t>MFANTSIPIM SCHOOL - BARTELS SNEATH</t>
  </si>
  <si>
    <t>MFANTSIPIM SCHOOL - BALMER ACQUAAH</t>
  </si>
  <si>
    <t>MFANTSIPIM SCHOOL - ABRUQUAH MONNEY</t>
  </si>
  <si>
    <t>Onix Data Center</t>
  </si>
  <si>
    <t>ACTION CHAPEL INTERNATIONAL</t>
  </si>
  <si>
    <t>Top Cable AC solar cable 1x240mm2 RV-K 0.6/1KV</t>
  </si>
  <si>
    <t>ELUM ePowerControl - SD - PV / DG / Grid - (PV &lt; 300 kW) - 1 Diesel Genset max</t>
  </si>
  <si>
    <t>ELUM ePowerControl ZE500 - PV/Grid - (PV &lt; 500 kW) - No Diesel Genset</t>
  </si>
  <si>
    <t>ELUM ePowerControl ZE1000 - PV/Grid - (PV &lt; 1 MW) - No Diesel Genset</t>
  </si>
  <si>
    <t>ELUM ePowerControl - ZE3000 - PV/Grid - (PV &lt; 3 MW) - No Diesel Genset</t>
  </si>
  <si>
    <t>ELUM ePowerControl - SD+ - PV / DG / Grid - (PV &lt; 300 kW) - 4 Diesel Gensets max</t>
  </si>
  <si>
    <t>ELUM ePowerControl - HFS S - PV / DG / Grid - (PV &lt; 500 kW) - More than 4 Diesel Gensets</t>
  </si>
  <si>
    <t>ELUM ePowerControl - HFS L - PV / DG / Grid - (PV &lt; 3W) - More than 4 Diesel Gensets</t>
  </si>
  <si>
    <t>ELUM ePowerControl - HFS M - PV / DG / Grid - (PV &lt; 1MW) - More than 4 Diesel Gensets</t>
  </si>
  <si>
    <t>ELUM ePowerControl - ES - PV / DG /BESS/ Grid - (PV &lt; 1MW) - 1 Diesel Genset max - (BESS &lt;100 kWh)</t>
  </si>
  <si>
    <t>ELUM ePowerControl - ES+ - PV / DG /BESS/ Grid - (PV &lt; 1MW) - 2 Diesel Gensets max - (BESS &lt;300 kWh)</t>
  </si>
  <si>
    <t>ELUM ePowerControl - ES+ - PV / DG /BESS/ Grid - (PV &lt; 1MW) - More than 2 Diesel Gensets - (BESS &lt;600 kWh)</t>
  </si>
  <si>
    <t>ELUM ePowerControl - ES+ - PV / DG /BESS/ Grid - (PV &lt; 1MW) - More than 2 Diesel Gensets - (BESS &lt;1 MWh)</t>
  </si>
  <si>
    <t>Raphael Adobor</t>
  </si>
  <si>
    <t>EnerTrip Ltd, E270 St Ezra Road.  Community 17 Lashibi</t>
  </si>
  <si>
    <t>enertripltd@gmail.com</t>
  </si>
  <si>
    <t>DATA LOGGER RENTAL</t>
  </si>
  <si>
    <t>Mr. Owusu</t>
  </si>
  <si>
    <t>Agomeda</t>
  </si>
  <si>
    <t xml:space="preserve">System Design: Solar system to supply power to residential facility </t>
  </si>
  <si>
    <t>Tema Community 4</t>
  </si>
  <si>
    <t>0559707345</t>
  </si>
  <si>
    <t>1x10mm2 RV-K 0.6/1KV Yellow/Green Earth Cable</t>
  </si>
  <si>
    <t>Hobut solid core current transformer 100/5A</t>
  </si>
  <si>
    <t>Hobut solid core current transformer 125/5A</t>
  </si>
  <si>
    <t>Hobut solid core current transformer 150/5A</t>
  </si>
  <si>
    <t>Hobut solid core current transformer 160/5A</t>
  </si>
  <si>
    <t>Hobut solid core current transformer 200/5A</t>
  </si>
  <si>
    <t>Hobut solid core current transformer 250/5A</t>
  </si>
  <si>
    <t>Chint solid core current transformer 4000/5A</t>
  </si>
  <si>
    <t>General Aphour</t>
  </si>
  <si>
    <t>0249842186</t>
  </si>
  <si>
    <t>Andrew</t>
  </si>
  <si>
    <t>Greenfields Estates, Amrahia</t>
  </si>
  <si>
    <t>0244760425</t>
  </si>
  <si>
    <t>Volteq Systems Limited</t>
  </si>
  <si>
    <t>Hse. No. H17 Community 3</t>
  </si>
  <si>
    <t>0244062775</t>
  </si>
  <si>
    <t>Indorama Ventures Packaging Ghana Limited</t>
  </si>
  <si>
    <t>Dr. Raphael Adobor</t>
  </si>
  <si>
    <t>0501343535</t>
  </si>
  <si>
    <t>Anum</t>
  </si>
  <si>
    <t>Victron SmartSolar MPPT 100/20 up to 48V</t>
  </si>
  <si>
    <t>Engineering and Installation Works</t>
  </si>
  <si>
    <t>Albert - Juni Payments</t>
  </si>
  <si>
    <t>Tantra Hills</t>
  </si>
  <si>
    <t>0243632637</t>
  </si>
  <si>
    <t>Orthner &amp; Associates</t>
  </si>
  <si>
    <t>Martin Orthner</t>
  </si>
  <si>
    <t>0202010720</t>
  </si>
  <si>
    <t>Eric Asah Quarshie</t>
  </si>
  <si>
    <t>0244953424</t>
  </si>
  <si>
    <t>Acowoss</t>
  </si>
  <si>
    <t>Kordai Sowa</t>
  </si>
  <si>
    <t>0266425936</t>
  </si>
  <si>
    <t>0244541094</t>
  </si>
  <si>
    <t>Ama - Tsaado</t>
  </si>
  <si>
    <t>Agyemang Lewis</t>
  </si>
  <si>
    <t>0242588854</t>
  </si>
  <si>
    <t>James Annan</t>
  </si>
  <si>
    <t>+1(862)2202989</t>
  </si>
  <si>
    <t>Akos</t>
  </si>
  <si>
    <t>Invess Agric</t>
  </si>
  <si>
    <t>Rejoice Quao</t>
  </si>
  <si>
    <t>David Awinogya</t>
  </si>
  <si>
    <t>+16303624075</t>
  </si>
  <si>
    <t>Aditya Parmar</t>
  </si>
  <si>
    <t>+44 7956 820457</t>
  </si>
  <si>
    <t>Solarcon</t>
  </si>
  <si>
    <t>0244422191</t>
  </si>
  <si>
    <t>David Dawig</t>
  </si>
  <si>
    <t>Mounting Structure for Carport (per kWp)</t>
  </si>
  <si>
    <t>0503175873</t>
  </si>
  <si>
    <t>Naa Akofio-Sowah - New Legon</t>
  </si>
  <si>
    <t>Naa Akofio-Sowah - Osu</t>
  </si>
  <si>
    <t>Naa Akofio-Sowah - Adenta</t>
  </si>
  <si>
    <t>Toyota - Takoradi</t>
  </si>
  <si>
    <t>0242311607</t>
  </si>
  <si>
    <t>Madam Rosemond</t>
  </si>
  <si>
    <t>0244383939</t>
  </si>
  <si>
    <t>Quality Insurance Company</t>
  </si>
  <si>
    <t>0244897660</t>
  </si>
  <si>
    <t>William Abban</t>
  </si>
  <si>
    <t>Ring Road Central</t>
  </si>
  <si>
    <t>Tauheedah</t>
  </si>
  <si>
    <t>0233348833</t>
  </si>
  <si>
    <t>Ann</t>
  </si>
  <si>
    <t>0244883214</t>
  </si>
  <si>
    <t>Alex Kyei</t>
  </si>
  <si>
    <t>Dome Pillar 2</t>
  </si>
  <si>
    <t>Solar Enablers</t>
  </si>
  <si>
    <t>0202116702</t>
  </si>
  <si>
    <t>Alex Konadu</t>
  </si>
  <si>
    <t>Phone/ Email</t>
  </si>
  <si>
    <t>info@solarenablers.com</t>
  </si>
  <si>
    <t>James Abrokwah</t>
  </si>
  <si>
    <t>0508614600</t>
  </si>
  <si>
    <t>Bernard Sasu</t>
  </si>
  <si>
    <t>0244686251</t>
  </si>
  <si>
    <t>Ejura</t>
  </si>
  <si>
    <t>0240423699</t>
  </si>
  <si>
    <t>Evans - Ejura</t>
  </si>
  <si>
    <t>Regimmanuel Estates, Spintex</t>
  </si>
  <si>
    <t>0264089665</t>
  </si>
  <si>
    <t>Mr. Sappor</t>
  </si>
  <si>
    <t>Discount</t>
  </si>
  <si>
    <t>%</t>
  </si>
  <si>
    <t>Association International School</t>
  </si>
  <si>
    <t>SOLAR STREET LIGHTS</t>
  </si>
  <si>
    <t>USD/ GH₵</t>
  </si>
  <si>
    <t>Jinko LED solar street lighting/century sunshine/JKL030-WIC</t>
  </si>
  <si>
    <t>Jinko LED solar street lighting/century sunshine/JKL060-WIC</t>
  </si>
  <si>
    <t>Jinko LED solar street lighting/century sunshine/JKL080-WIC</t>
  </si>
  <si>
    <t>Jinko LED solar street lighting/century sunshine/JKL080-WICX</t>
  </si>
  <si>
    <t>Jinko LED solar street lighting/century sunshine/JKL100-WICX</t>
  </si>
  <si>
    <t>Jinko Submersible Pump/SYSTEM/samking/JKP K37-DID-040P - 370W (0.5hp)</t>
  </si>
  <si>
    <t>Jinko Submersible Pump/SYSTEM/samking/JKP K75-DID-080P - 750W (1hp)</t>
  </si>
  <si>
    <t>Jinko Submersible Pump/SYSTEM/samking/JKP 1K1-DID-100P - 1.1kW (1.5hp)</t>
  </si>
  <si>
    <t>Jinko Submersible Pump/SYSTEM/samking/JKP 2K2-DID-150P - 2.2kW (3hp)</t>
  </si>
  <si>
    <t>Jinko Submersible Pump/SYSTEM/samking/JKP 1K1-DED-080P - 1.1kW (1.5hp)</t>
  </si>
  <si>
    <t>Jinko Submersible Pump/SYSTEM/samking/JKP 2K2-HID-130PX - 2.2kW (3hp)</t>
  </si>
  <si>
    <t>Accessories for water pump</t>
  </si>
  <si>
    <t>SOLAR DC WATER PUMP PROJECT</t>
  </si>
  <si>
    <t>Carrier Wave Limited</t>
  </si>
  <si>
    <t>0241848999 / 
0553399262</t>
  </si>
  <si>
    <t>Luqman</t>
  </si>
  <si>
    <t>Romeo</t>
  </si>
  <si>
    <t>0549398696</t>
  </si>
  <si>
    <t>Paul Ahoto</t>
  </si>
  <si>
    <t>0550732146</t>
  </si>
  <si>
    <t>0244791922</t>
  </si>
  <si>
    <t>Golder Aseadua</t>
  </si>
  <si>
    <t>0266128852</t>
  </si>
  <si>
    <t>Leslie Bondzie</t>
  </si>
  <si>
    <t>0245588800</t>
  </si>
  <si>
    <t>David Brown - Dealer</t>
  </si>
  <si>
    <t>Kwarteng Amaning</t>
  </si>
  <si>
    <t>Mahmudu Zakari</t>
  </si>
  <si>
    <t>HOPSA 99 Legacy Project</t>
  </si>
  <si>
    <t>Remote Monitoring &amp; Control Gateway w. PhocosLink Cloud Plan</t>
  </si>
  <si>
    <t>St. John The Evangelist Catholic Church</t>
  </si>
  <si>
    <t>Phocos Inverter PSW-H-3KW-230/24V</t>
  </si>
  <si>
    <t>Phocos Inverter PSW-H-5KW-230/48V</t>
  </si>
  <si>
    <t>Phocos Inverter PSW-B-3KW-230/24V</t>
  </si>
  <si>
    <t>Phocos Inverter PSW-H-8KW-230/48V</t>
  </si>
  <si>
    <t>Ing. Lewis</t>
  </si>
  <si>
    <t>Ewurabena</t>
  </si>
  <si>
    <t>0242888886</t>
  </si>
  <si>
    <t>Lordina</t>
  </si>
  <si>
    <t>+447393493240</t>
  </si>
  <si>
    <t>University of Energy and Natural Resources</t>
  </si>
  <si>
    <t>0554035668</t>
  </si>
  <si>
    <t>Julius</t>
  </si>
  <si>
    <t>Ruben</t>
  </si>
  <si>
    <t>Lakeside Estates Community 8</t>
  </si>
  <si>
    <t>Pentecost Church</t>
  </si>
  <si>
    <t>Prince</t>
  </si>
  <si>
    <t>0243457286</t>
  </si>
  <si>
    <t>Mary Mother of God Catholic Church</t>
  </si>
  <si>
    <t>0243537471</t>
  </si>
  <si>
    <t>Clement Agyeman</t>
  </si>
  <si>
    <t xml:space="preserve">Clement Agyeman </t>
  </si>
  <si>
    <t>House Number BC22, Devtraco Estates</t>
  </si>
  <si>
    <t>Top Cable AC solar cable 1x150mm2 RV-K 0.6/1KV</t>
  </si>
  <si>
    <t>Damatia</t>
  </si>
  <si>
    <t>Residence - Shai Hills Installation</t>
  </si>
  <si>
    <t>Shai Hills</t>
  </si>
  <si>
    <t>0555008450</t>
  </si>
  <si>
    <t>80A 2-Pole AC Circuit Breaker</t>
  </si>
  <si>
    <t>80A 4-Pole AC Circuit Breaker</t>
  </si>
  <si>
    <t>1000A Manual Transfer Switch</t>
  </si>
  <si>
    <t>NMS Infrastructure</t>
  </si>
  <si>
    <t>Fomena</t>
  </si>
  <si>
    <t>Julien</t>
  </si>
  <si>
    <t>Total</t>
  </si>
  <si>
    <t>NORTHLITE LIMITED</t>
  </si>
  <si>
    <t xml:space="preserve">PLOT 57 WATER-AID AVENUE KUMBOSIGO
 </t>
  </si>
  <si>
    <t>FRANK AKASOBA ADABRE</t>
  </si>
  <si>
    <t>0244412150</t>
  </si>
  <si>
    <t>RESIDENTIAL</t>
  </si>
  <si>
    <t>NON-RESIDENTIAL</t>
  </si>
  <si>
    <t>SLT LV</t>
  </si>
  <si>
    <t>SLT MV</t>
  </si>
  <si>
    <t>SLT HV</t>
  </si>
  <si>
    <t>SLT Steel Companies</t>
  </si>
  <si>
    <t>SLT HV Mines</t>
  </si>
  <si>
    <t>BYD Battery-Box Premium LVS 4.0kWh Lithium Battery</t>
  </si>
  <si>
    <t>BYD LV Flex Battery-Box 5.0kWh Lithium Battery</t>
  </si>
  <si>
    <t>BYD Battery-Box Premium LVL 15.4kWh Lithium Battery</t>
  </si>
  <si>
    <t>BYD Battery-Box Premium HVS 2.56kWh Lithium Battery</t>
  </si>
  <si>
    <t>Lithium</t>
  </si>
  <si>
    <t>Victron</t>
  </si>
  <si>
    <t>Chint solid core current transformer 1000/5A</t>
  </si>
  <si>
    <t>Robert Yennah</t>
  </si>
  <si>
    <t>Madina Ogbojo</t>
  </si>
  <si>
    <t>Battery 24V 12Ah (288Wh)</t>
  </si>
  <si>
    <t>Cellular VPN Router</t>
  </si>
  <si>
    <t>UPS AC/DC 120W</t>
  </si>
  <si>
    <t>Ethernet switch (5 ports)</t>
  </si>
  <si>
    <t>I/O Module | Relay</t>
  </si>
  <si>
    <t>Relay - 24VDC coil</t>
  </si>
  <si>
    <t>Relay - 230VAC coil</t>
  </si>
  <si>
    <t>HMI supervision screen (eConf interface)</t>
  </si>
  <si>
    <t>Ethernet Network Surge Protector</t>
  </si>
  <si>
    <t>Surge Protection Device 230V</t>
  </si>
  <si>
    <t>Modbus Slave integration</t>
  </si>
  <si>
    <t>FTP push to third party servers</t>
  </si>
  <si>
    <t>Onsite commissioning (excl. travel /accommodation) per man.day</t>
  </si>
  <si>
    <t>Remote commissioning per man.day</t>
  </si>
  <si>
    <t>Mr. Blay</t>
  </si>
  <si>
    <t>Top Cable AC solar cable 1x70mm2 RV-K 0.6/1KV</t>
  </si>
  <si>
    <t>Phyllis Jackson</t>
  </si>
  <si>
    <t>02444984602</t>
  </si>
  <si>
    <t>Innocent Kon'ssa Koffi</t>
  </si>
  <si>
    <t>+2250707994797</t>
  </si>
  <si>
    <t>Mounting Structure for Metal/ Tile Roof (per set of 4 panels) - 4.64 meter</t>
  </si>
  <si>
    <t>Network Router</t>
  </si>
  <si>
    <t>0544116953</t>
  </si>
  <si>
    <t>Nii - Dawhenya</t>
  </si>
  <si>
    <t>Stuart R. Brown</t>
  </si>
  <si>
    <t>0549778866</t>
  </si>
  <si>
    <t>Mr. Perci</t>
  </si>
  <si>
    <t>Léopold M. ZANNOU</t>
  </si>
  <si>
    <t>Benin</t>
  </si>
  <si>
    <t>+22670213848</t>
  </si>
  <si>
    <t>1x4mm2 RV-K 0.6/1KV Yellow/Green Earth Cable</t>
  </si>
  <si>
    <t>Korle-Bu Teaching Hospital</t>
  </si>
  <si>
    <t xml:space="preserve">BEACON SCHOOL </t>
  </si>
  <si>
    <t>Joseph Antwi - Josanti</t>
  </si>
  <si>
    <t>‎0244888285</t>
  </si>
  <si>
    <t>ABSA Bank Ghana</t>
  </si>
  <si>
    <t>High Street</t>
  </si>
  <si>
    <t>Nestle Ghana 48V/5kVA LMI - Warehouse</t>
  </si>
  <si>
    <t>Korea International Cooperation Agency (KOICA) Ghana</t>
  </si>
  <si>
    <t>0261719445</t>
  </si>
  <si>
    <t>Francis</t>
  </si>
  <si>
    <t>Kwadjo Asamoah</t>
  </si>
  <si>
    <t>0553636808</t>
  </si>
  <si>
    <t>Mr. Ayiku</t>
  </si>
  <si>
    <t>Afienya</t>
  </si>
  <si>
    <t>Whitespoon Drinks</t>
  </si>
  <si>
    <t>0244378153</t>
  </si>
  <si>
    <t>Philip Oppong-Manu</t>
  </si>
  <si>
    <t>0206429560</t>
  </si>
  <si>
    <t>Duke</t>
  </si>
  <si>
    <t>'0242110110</t>
  </si>
  <si>
    <t>BYD MLKT-36-182 K545 Watts Solar panel</t>
  </si>
  <si>
    <t>Moif</t>
  </si>
  <si>
    <t>0550907290</t>
  </si>
  <si>
    <t>Victron Inverters</t>
  </si>
  <si>
    <t>Phocos Inverters</t>
  </si>
  <si>
    <t>Elum Hybrid Controllers and Accessories</t>
  </si>
  <si>
    <t>Solar Panels</t>
  </si>
  <si>
    <t>Victron Charge Controllers</t>
  </si>
  <si>
    <t>Service Charge</t>
  </si>
  <si>
    <t>Maintenance Service</t>
  </si>
  <si>
    <t>Battery Racks and Pipes</t>
  </si>
  <si>
    <t>Mounting Structure</t>
  </si>
  <si>
    <t>BMV and GX Devices</t>
  </si>
  <si>
    <t>Busbars, Combiner Boxes, Surge Protection Devices</t>
  </si>
  <si>
    <t>Data Cables</t>
  </si>
  <si>
    <t>Cables</t>
  </si>
  <si>
    <t>Circuit Breakers, Change-over Switches, Connectors and Enclosures</t>
  </si>
  <si>
    <t>Batteries</t>
  </si>
  <si>
    <t>Fronius Inverters and Accessories</t>
  </si>
  <si>
    <t>Solar Streetlights and Solar Water Pumps</t>
  </si>
  <si>
    <t>400A Manual Transfer Switch</t>
  </si>
  <si>
    <t>IPMC</t>
  </si>
  <si>
    <t xml:space="preserve"> +233 59 382 7877</t>
  </si>
  <si>
    <t>Debasish Chatterjee</t>
  </si>
  <si>
    <t>The Chief Executive</t>
  </si>
  <si>
    <t>Ghana Grid Company</t>
  </si>
  <si>
    <t>P.O. Box CS 7979</t>
  </si>
  <si>
    <t xml:space="preserve">+233 24 3979107 </t>
  </si>
  <si>
    <r>
      <rPr>
        <b/>
        <sz val="12"/>
        <color theme="1"/>
        <rFont val="Times New Roman"/>
        <family val="1"/>
      </rPr>
      <t>Validity: 9</t>
    </r>
    <r>
      <rPr>
        <sz val="12"/>
        <color theme="1"/>
        <rFont val="Times New Roman"/>
        <family val="1"/>
      </rPr>
      <t>0 days from date of invoice</t>
    </r>
  </si>
  <si>
    <r>
      <rPr>
        <b/>
        <sz val="12"/>
        <color theme="1"/>
        <rFont val="Times New Roman"/>
        <family val="1"/>
      </rPr>
      <t xml:space="preserve">Warranty: </t>
    </r>
    <r>
      <rPr>
        <sz val="12"/>
        <color theme="1"/>
        <rFont val="Times New Roman"/>
        <family val="1"/>
      </rPr>
      <t>2 Years for lead-acid batteries</t>
    </r>
  </si>
  <si>
    <t>Delivery: Immediate upon confirmation of payment</t>
  </si>
  <si>
    <t>Global Mamas</t>
  </si>
  <si>
    <t>Victron Multi RS Solar 48/6000/100-450/100 1 tracker</t>
  </si>
  <si>
    <t>Deye Inverters</t>
  </si>
  <si>
    <t>Deye SUN-3K-SG04LP1- EU - Single phase 3kW LV hybrid inverter</t>
  </si>
  <si>
    <t>Deye SUN-5K-SG03LP1- EU - Single phase 5kW LV hybrid inverter</t>
  </si>
  <si>
    <t>Deye SUN-6K-SG05LP1- EU- Single phase 6kW LV hybrid inverter</t>
  </si>
  <si>
    <t>Deye SUN-8K-SG01LP1- EU- Single phase 8kW LV hybrid inverter</t>
  </si>
  <si>
    <t>Deye SUN-16K-SG01LP1- EU- Single phase 16kW LV hybrid inverter</t>
  </si>
  <si>
    <t>Deye SUN-10K-SG04LP3- EU - Three phase 10kW LV hybrid inverter</t>
  </si>
  <si>
    <t>Deye SUN-12K-SG04LP3- EU - Three phase 12kW LV hybrid inverter</t>
  </si>
  <si>
    <t>Any-Bridge IOT Gateway + Phocoslink Cloud Report</t>
  </si>
  <si>
    <t>Huawei iSitePower-M-Power Module</t>
  </si>
  <si>
    <t>Huawei iSitePower-M-Bat Module</t>
  </si>
  <si>
    <t>Huawei iSitePower-M Base</t>
  </si>
  <si>
    <t>SEEPACS Eng. Ltd - ICT Hub</t>
  </si>
  <si>
    <t>Ring Road</t>
  </si>
  <si>
    <t>0241978392</t>
  </si>
  <si>
    <t>oklutimothy@yahoo.com</t>
  </si>
  <si>
    <t>Timothy Oklu</t>
  </si>
  <si>
    <t>Col. Shooter</t>
  </si>
  <si>
    <t>Victron MultiPlus 24/500/20-16 230V VE.Bus</t>
  </si>
  <si>
    <t>Victron MultiPlus 24/800/35-16 230V VE.Bus</t>
  </si>
  <si>
    <t>Victron MultiPlus 24/1200/50-16 230V VE.Bus</t>
  </si>
  <si>
    <t>Victron MultiPlus 24/1600/70-16 230V VE.Bus</t>
  </si>
  <si>
    <t>Victron MultiPlus 24/2000/80-32 230V VE.Bus</t>
  </si>
  <si>
    <t>Victron MultiPlus 48/2000/25-32 230V VE.Bus</t>
  </si>
  <si>
    <t>Jinko JKS-B48100 4.8kWh Lithium Battery</t>
  </si>
  <si>
    <t>Victron MC4 connection plug/socket 4,0 - 6,0 mm2, Ø 5,0 - 6.0mm</t>
  </si>
  <si>
    <t>Victron MC4 connection plug 4,0 - 6,0 mm2, Ø 5,9 - 8.8mm</t>
  </si>
  <si>
    <t>Jonathan Kofi</t>
  </si>
  <si>
    <t>Oyibi</t>
  </si>
  <si>
    <t>0244680247</t>
  </si>
  <si>
    <t>Huawei Inverters</t>
  </si>
  <si>
    <t>Araba</t>
  </si>
  <si>
    <t>+447766593974</t>
  </si>
  <si>
    <t>4D1A</t>
  </si>
  <si>
    <t>Resistance of copper conductors in m Ω /m at 20°C</t>
  </si>
  <si>
    <t>4D1B</t>
  </si>
  <si>
    <t>Ref A      1-Phase</t>
  </si>
  <si>
    <t>Ref A      3-Phase</t>
  </si>
  <si>
    <t>Ref B      1-Phase</t>
  </si>
  <si>
    <t>Ref B      3-Phase</t>
  </si>
  <si>
    <t>Ref C      Touching 1-Phase Flat</t>
  </si>
  <si>
    <t>Ref C      Touching 3-Phase</t>
  </si>
  <si>
    <t>Ref F      Touching 1-Phase Flat</t>
  </si>
  <si>
    <t>Ref F      Touching 3-Phase Flat</t>
  </si>
  <si>
    <t>Ref F      Touching 3-Phase Trefoil</t>
  </si>
  <si>
    <t>Ref F      Spaced    Flat Horizontal</t>
  </si>
  <si>
    <t>Ref F      Spaced   Flat Vertical</t>
  </si>
  <si>
    <t>Cable Size</t>
  </si>
  <si>
    <t>Conductor</t>
  </si>
  <si>
    <t>Resistance</t>
  </si>
  <si>
    <t>Ref C      1-Phase</t>
  </si>
  <si>
    <t>Ref C       3-Phase</t>
  </si>
  <si>
    <t>Ref E      1-Phase</t>
  </si>
  <si>
    <t>Ref E       3-Phase</t>
  </si>
  <si>
    <t>4D2A</t>
  </si>
  <si>
    <t>4D2B</t>
  </si>
  <si>
    <t xml:space="preserve">1-Phase Two-core </t>
  </si>
  <si>
    <t>3-Phase</t>
  </si>
  <si>
    <t>1-Phase Single-core</t>
  </si>
  <si>
    <t>4D3A</t>
  </si>
  <si>
    <t>Resistance of Aluminium conductors in m Ω /m at 20°C</t>
  </si>
  <si>
    <t>4D3B</t>
  </si>
  <si>
    <t>Ref C      Touching 3-Phase Flat</t>
  </si>
  <si>
    <t>Ref F      Spaced   D.C.   Horizontal</t>
  </si>
  <si>
    <t>Ref F      Spaced   D.C.   Vertical</t>
  </si>
  <si>
    <t>Ref F      Spaced     1-Phase   Horizontal</t>
  </si>
  <si>
    <t>Ref F      Spaced   1-Phase   Vertical</t>
  </si>
  <si>
    <t>Ref F      Spaced     3-Phase   Horizontal</t>
  </si>
  <si>
    <t>Ref F      Spaced     3-Phase   Vertical</t>
  </si>
  <si>
    <t>4D4A</t>
  </si>
  <si>
    <t>4D4B</t>
  </si>
  <si>
    <t>Ref C     3-Phase</t>
  </si>
  <si>
    <t>Ref E      3-Phase</t>
  </si>
  <si>
    <t>Ref D      1-Phase2</t>
  </si>
  <si>
    <t>Ref D       3-Phase</t>
  </si>
  <si>
    <t>4D5A</t>
  </si>
  <si>
    <t>Method 100</t>
  </si>
  <si>
    <t>Method 101</t>
  </si>
  <si>
    <t>Method 102</t>
  </si>
  <si>
    <t>Method 103</t>
  </si>
  <si>
    <t xml:space="preserve">Ref C      </t>
  </si>
  <si>
    <t>Ref A</t>
  </si>
  <si>
    <t>Voltage Drop</t>
  </si>
  <si>
    <t>4E1A</t>
  </si>
  <si>
    <t>4E1B</t>
  </si>
  <si>
    <t>Standard Breaker Capacities (kVA)</t>
  </si>
  <si>
    <t>Ref F      Spaced   Flat Horizontal</t>
  </si>
  <si>
    <t>4E2A</t>
  </si>
  <si>
    <t>4E2B</t>
  </si>
  <si>
    <t>Ref C      3-Phase</t>
  </si>
  <si>
    <t>Ref E     3-Phase</t>
  </si>
  <si>
    <t>4E3A</t>
  </si>
  <si>
    <t>4E3B</t>
  </si>
  <si>
    <t>4E4A</t>
  </si>
  <si>
    <t>4E4B</t>
  </si>
  <si>
    <t>4F1A</t>
  </si>
  <si>
    <t>4F1B</t>
  </si>
  <si>
    <t>4F2A</t>
  </si>
  <si>
    <t>4F2B</t>
  </si>
  <si>
    <t>4F3A</t>
  </si>
  <si>
    <t>4F3B</t>
  </si>
  <si>
    <t xml:space="preserve">1-Phase </t>
  </si>
  <si>
    <t>Mass Support</t>
  </si>
  <si>
    <t>4G1A</t>
  </si>
  <si>
    <t>4G1B</t>
  </si>
  <si>
    <t>Ref C      3-Phase Trefoil</t>
  </si>
  <si>
    <t>Ref C     3-Phase Flat</t>
  </si>
  <si>
    <t>Ref E,F,G      1-Phase</t>
  </si>
  <si>
    <t>Ref E,F,G      3-Phase Trefoil</t>
  </si>
  <si>
    <t>Ref E,F,G      Touching 3-Phase Flat</t>
  </si>
  <si>
    <t>Ref E,F,G      Spaced     3-Phase Flat Vertical</t>
  </si>
  <si>
    <t>Ref E,F,G      Spaced     3-Phase Flat Horizontal</t>
  </si>
  <si>
    <t>500V Light Duty</t>
  </si>
  <si>
    <t>750V Heavy Duty</t>
  </si>
  <si>
    <t>4G2A</t>
  </si>
  <si>
    <t>4G2B</t>
  </si>
  <si>
    <t>4H1A</t>
  </si>
  <si>
    <t>4H1B</t>
  </si>
  <si>
    <t>Column2</t>
  </si>
  <si>
    <t>Column1</t>
  </si>
  <si>
    <t>4H2A</t>
  </si>
  <si>
    <t>4H2B</t>
  </si>
  <si>
    <t>4H3A</t>
  </si>
  <si>
    <t>4H3B</t>
  </si>
  <si>
    <t>4H4A</t>
  </si>
  <si>
    <t>4H4B</t>
  </si>
  <si>
    <t>4J1A</t>
  </si>
  <si>
    <t>4J1B</t>
  </si>
  <si>
    <t>4J2A</t>
  </si>
  <si>
    <t>4J2B</t>
  </si>
  <si>
    <t>4J3A</t>
  </si>
  <si>
    <t>4J3B</t>
  </si>
  <si>
    <t>4J4A</t>
  </si>
  <si>
    <t>4J4B</t>
  </si>
  <si>
    <t>Designer's Input</t>
  </si>
  <si>
    <t>Program Output</t>
  </si>
  <si>
    <t>Watts</t>
  </si>
  <si>
    <t>PB-G10</t>
  </si>
  <si>
    <t>PB-G20</t>
  </si>
  <si>
    <t>PB-G30</t>
  </si>
  <si>
    <t>PB-G40</t>
  </si>
  <si>
    <t>PB-G50</t>
  </si>
  <si>
    <t>PB-G60</t>
  </si>
  <si>
    <t>PB-G70</t>
  </si>
  <si>
    <t>PB-G80</t>
  </si>
  <si>
    <t>PB-G90</t>
  </si>
  <si>
    <t>Unit</t>
  </si>
  <si>
    <t>Sub Total (kW)</t>
  </si>
  <si>
    <t>After Diversity Maximum Demand - ADMD @66% (kW)</t>
  </si>
  <si>
    <t xml:space="preserve">kVA Rating @ 0.8 p.f. </t>
  </si>
  <si>
    <t>Allow for 10% load Growth (kVA)</t>
  </si>
  <si>
    <t>Total kVA</t>
  </si>
  <si>
    <t>Current Per     Line</t>
  </si>
  <si>
    <t>Total Current (A) Line 1</t>
  </si>
  <si>
    <t>Total Current (A) Line 2</t>
  </si>
  <si>
    <t>Total Current (A) Line 3</t>
  </si>
  <si>
    <r>
      <t>I</t>
    </r>
    <r>
      <rPr>
        <vertAlign val="subscript"/>
        <sz val="12"/>
        <rFont val="Times New Roman"/>
        <family val="1"/>
      </rPr>
      <t>b</t>
    </r>
  </si>
  <si>
    <t>Total Current</t>
  </si>
  <si>
    <t>Highest Current per Line (Hypothetical Scenario)</t>
  </si>
  <si>
    <r>
      <t>I</t>
    </r>
    <r>
      <rPr>
        <vertAlign val="subscript"/>
        <sz val="12"/>
        <rFont val="Times New Roman"/>
        <family val="1"/>
      </rPr>
      <t>n</t>
    </r>
  </si>
  <si>
    <t>Standard Capacity of Breaker Required</t>
  </si>
  <si>
    <r>
      <t>=I</t>
    </r>
    <r>
      <rPr>
        <vertAlign val="subscript"/>
        <sz val="12"/>
        <rFont val="Times New Roman"/>
        <family val="1"/>
      </rPr>
      <t xml:space="preserve">n </t>
    </r>
    <r>
      <rPr>
        <sz val="12"/>
        <rFont val="Times New Roman"/>
        <family val="1"/>
      </rPr>
      <t>/C</t>
    </r>
  </si>
  <si>
    <t>Proposed Current Carrying Capacity of Conductor</t>
  </si>
  <si>
    <r>
      <t>I</t>
    </r>
    <r>
      <rPr>
        <vertAlign val="subscript"/>
        <sz val="12"/>
        <rFont val="Times New Roman"/>
        <family val="1"/>
      </rPr>
      <t>z</t>
    </r>
  </si>
  <si>
    <t>Actual Current Carrying Capacity of Conductor</t>
  </si>
  <si>
    <r>
      <t>I</t>
    </r>
    <r>
      <rPr>
        <vertAlign val="subscript"/>
        <sz val="12"/>
        <rFont val="Times New Roman"/>
        <family val="1"/>
      </rPr>
      <t>t</t>
    </r>
  </si>
  <si>
    <t>Tabulated Cable Current Carrying Capacity</t>
  </si>
  <si>
    <t>Class of Breaker Required</t>
  </si>
  <si>
    <t>C</t>
  </si>
  <si>
    <t>Size of Transformer Required</t>
  </si>
  <si>
    <t>Size of Generator Required</t>
  </si>
  <si>
    <t>Size of Circuit Protective Conductor (CPC)</t>
  </si>
  <si>
    <t>Cable Diameter</t>
  </si>
  <si>
    <t>COPPER</t>
  </si>
  <si>
    <t>Cable Description</t>
  </si>
  <si>
    <t>ALUMINIUM</t>
  </si>
  <si>
    <t>Cable Selection Table</t>
  </si>
  <si>
    <t>Table Number ( 4D1, 4D2, 4D1, etc. )</t>
  </si>
  <si>
    <t>4D2</t>
  </si>
  <si>
    <t>4D1</t>
  </si>
  <si>
    <t>Column Number (2, 3, 4, etc. )</t>
  </si>
  <si>
    <t>AC or DC</t>
  </si>
  <si>
    <t>AC</t>
  </si>
  <si>
    <t>Number of Phases (1, 3)</t>
  </si>
  <si>
    <t>Light Duty (500V) Or Heavy Duty (750V)</t>
  </si>
  <si>
    <t>500V</t>
  </si>
  <si>
    <t>Rating Factors</t>
  </si>
  <si>
    <r>
      <t>Ambient Temperature C</t>
    </r>
    <r>
      <rPr>
        <vertAlign val="subscript"/>
        <sz val="12"/>
        <rFont val="Times New Roman"/>
        <family val="1"/>
      </rPr>
      <t>a</t>
    </r>
  </si>
  <si>
    <r>
      <t>Circuits Buried in the Ground C</t>
    </r>
    <r>
      <rPr>
        <vertAlign val="subscript"/>
        <sz val="12"/>
        <rFont val="Times New Roman"/>
        <family val="1"/>
      </rPr>
      <t>c</t>
    </r>
  </si>
  <si>
    <r>
      <t>Depth of Burial C</t>
    </r>
    <r>
      <rPr>
        <vertAlign val="subscript"/>
        <sz val="12"/>
        <rFont val="Times New Roman"/>
        <family val="1"/>
      </rPr>
      <t>d</t>
    </r>
  </si>
  <si>
    <r>
      <t>Semi-enclosed fuse to BS 3036 C</t>
    </r>
    <r>
      <rPr>
        <vertAlign val="subscript"/>
        <sz val="12"/>
        <rFont val="Times New Roman"/>
        <family val="1"/>
      </rPr>
      <t>f</t>
    </r>
  </si>
  <si>
    <r>
      <t>Grouping C</t>
    </r>
    <r>
      <rPr>
        <vertAlign val="subscript"/>
        <sz val="12"/>
        <rFont val="Times New Roman"/>
        <family val="1"/>
      </rPr>
      <t>g</t>
    </r>
  </si>
  <si>
    <t>Thermal Insulation Ci</t>
  </si>
  <si>
    <r>
      <t>Thermal Resistivity of Soil C</t>
    </r>
    <r>
      <rPr>
        <vertAlign val="subscript"/>
        <sz val="12"/>
        <rFont val="Times New Roman"/>
        <family val="1"/>
      </rPr>
      <t>s</t>
    </r>
  </si>
  <si>
    <t>Length of Circuit</t>
  </si>
  <si>
    <t>Type of Earthing (TT, TNS, TNCS)</t>
  </si>
  <si>
    <t>TNCS</t>
  </si>
  <si>
    <t>Initial Tabulated Cable Current Carrying Capacity</t>
  </si>
  <si>
    <t>Cable Size Initially</t>
  </si>
  <si>
    <t>Cable Size After Considering Voltage Drop per Amp per Meter</t>
  </si>
  <si>
    <t>Cable Size After Considering Earth Loop Impedance</t>
  </si>
  <si>
    <t>CPC Size Initially</t>
  </si>
  <si>
    <r>
      <t>Resistance of the Line Conductor R</t>
    </r>
    <r>
      <rPr>
        <vertAlign val="subscript"/>
        <sz val="12"/>
        <rFont val="Times New Roman"/>
        <family val="1"/>
      </rPr>
      <t>1</t>
    </r>
  </si>
  <si>
    <r>
      <t>Resistance of the Circuit Protective Conductor R</t>
    </r>
    <r>
      <rPr>
        <vertAlign val="subscript"/>
        <sz val="12"/>
        <rFont val="Times New Roman"/>
        <family val="1"/>
      </rPr>
      <t>2</t>
    </r>
  </si>
  <si>
    <r>
      <t>External Impedance (Z</t>
    </r>
    <r>
      <rPr>
        <vertAlign val="subscript"/>
        <sz val="12"/>
        <rFont val="Times New Roman"/>
        <family val="1"/>
      </rPr>
      <t>e</t>
    </r>
    <r>
      <rPr>
        <sz val="12"/>
        <rFont val="Times New Roman"/>
        <family val="1"/>
      </rPr>
      <t>)</t>
    </r>
  </si>
  <si>
    <r>
      <t>Internal Impedance (R</t>
    </r>
    <r>
      <rPr>
        <vertAlign val="subscript"/>
        <sz val="12"/>
        <rFont val="Times New Roman"/>
        <family val="1"/>
      </rPr>
      <t>1</t>
    </r>
    <r>
      <rPr>
        <sz val="12"/>
        <rFont val="Times New Roman"/>
        <family val="1"/>
      </rPr>
      <t xml:space="preserve"> + R</t>
    </r>
    <r>
      <rPr>
        <vertAlign val="subscript"/>
        <sz val="12"/>
        <rFont val="Times New Roman"/>
        <family val="1"/>
      </rPr>
      <t>2</t>
    </r>
    <r>
      <rPr>
        <sz val="12"/>
        <rFont val="Times New Roman"/>
        <family val="1"/>
      </rPr>
      <t>)</t>
    </r>
  </si>
  <si>
    <r>
      <t>Earth Fault Loop Impedance (Z</t>
    </r>
    <r>
      <rPr>
        <vertAlign val="subscript"/>
        <sz val="12"/>
        <rFont val="Times New Roman"/>
        <family val="1"/>
      </rPr>
      <t>s</t>
    </r>
    <r>
      <rPr>
        <sz val="12"/>
        <rFont val="Times New Roman"/>
        <family val="1"/>
      </rPr>
      <t>)</t>
    </r>
  </si>
  <si>
    <t>Copper</t>
  </si>
  <si>
    <t>Initial</t>
  </si>
  <si>
    <t>Aluminium</t>
  </si>
  <si>
    <t>Final</t>
  </si>
  <si>
    <r>
      <t>Single-Core, Non-Armoured, With or Without Sheath      Ambient Temperature: 30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</si>
  <si>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A</t>
  </si>
  <si>
    <t>B</t>
  </si>
  <si>
    <t>D</t>
  </si>
  <si>
    <t>E</t>
  </si>
  <si>
    <t>F</t>
  </si>
  <si>
    <t>G</t>
  </si>
  <si>
    <t>Reference Method ( A, B, C, etc. )</t>
  </si>
  <si>
    <t>Reference Methods</t>
  </si>
  <si>
    <t>Number of Cables ( 2 or 3 or 4 )</t>
  </si>
  <si>
    <t>3 or 4</t>
  </si>
  <si>
    <t>2 or 3</t>
  </si>
  <si>
    <t>Touching or Spaced ( T or S )</t>
  </si>
  <si>
    <t>Touching</t>
  </si>
  <si>
    <t>Spaced</t>
  </si>
  <si>
    <t>Flat or Trefoil ( F or T )</t>
  </si>
  <si>
    <t>Flat</t>
  </si>
  <si>
    <t>Horizontal or Vertical  ( H or V )</t>
  </si>
  <si>
    <t>Vertical</t>
  </si>
  <si>
    <r>
      <t>Multi-Core, Thermoplastic Sheathed, Non-Armoured      Ambient Temperature: 30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</si>
  <si>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4D3</t>
  </si>
  <si>
    <r>
      <t>Single-Core, Armoured, With or Without Sheath              Ambient Temperature: 30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</si>
  <si>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Trefoil</t>
  </si>
  <si>
    <t>Horizontal</t>
  </si>
  <si>
    <t>DC</t>
  </si>
  <si>
    <t>4D4</t>
  </si>
  <si>
    <r>
      <t>Multi-Core, Armoured                                                                 Air Ambient Temperature: 30</t>
    </r>
    <r>
      <rPr>
        <b/>
        <vertAlign val="superscript"/>
        <sz val="12"/>
        <rFont val="Times New Roman"/>
        <family val="1"/>
      </rPr>
      <t>0</t>
    </r>
    <r>
      <rPr>
        <b/>
        <sz val="12"/>
        <rFont val="Times New Roman"/>
        <family val="1"/>
      </rPr>
      <t>C                                          Ground Ambient Temperature: 20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</si>
  <si>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4D5</t>
  </si>
  <si>
    <r>
      <t>Sheathed, Flat Cable, With Protective Conductor             Ambient Temperature: 30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</si>
  <si>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4E1</t>
  </si>
  <si>
    <r>
      <t>Single-Core, Non-Armoured, With or Without Sheath      Ambient Temperature: 30</t>
    </r>
    <r>
      <rPr>
        <b/>
        <vertAlign val="superscript"/>
        <sz val="12"/>
        <rFont val="Times New Roman"/>
        <family val="1"/>
      </rPr>
      <t>0</t>
    </r>
    <r>
      <rPr>
        <b/>
        <sz val="12"/>
        <rFont val="Times New Roman"/>
        <family val="1"/>
      </rPr>
      <t>C                                            Conductor Operating Temperature: 90</t>
    </r>
    <r>
      <rPr>
        <b/>
        <vertAlign val="superscript"/>
        <sz val="12"/>
        <rFont val="Times New Roman"/>
        <family val="1"/>
      </rPr>
      <t>0</t>
    </r>
    <r>
      <rPr>
        <b/>
        <sz val="12"/>
        <rFont val="Times New Roman"/>
        <family val="1"/>
      </rPr>
      <t>C</t>
    </r>
  </si>
  <si>
    <t>4E2</t>
  </si>
  <si>
    <r>
      <t>Multi-Core, Thermoplastic Sheathed, Non-Armoured      Ambient Temperature: 30</t>
    </r>
    <r>
      <rPr>
        <b/>
        <vertAlign val="superscript"/>
        <sz val="12"/>
        <rFont val="Times New Roman"/>
        <family val="1"/>
      </rPr>
      <t>0</t>
    </r>
    <r>
      <rPr>
        <b/>
        <sz val="12"/>
        <rFont val="Times New Roman"/>
        <family val="1"/>
      </rPr>
      <t>C                                            Conductor Operating Temperature: 90</t>
    </r>
    <r>
      <rPr>
        <b/>
        <vertAlign val="superscript"/>
        <sz val="12"/>
        <rFont val="Times New Roman"/>
        <family val="1"/>
      </rPr>
      <t>0</t>
    </r>
    <r>
      <rPr>
        <b/>
        <sz val="12"/>
        <rFont val="Times New Roman"/>
        <family val="1"/>
      </rPr>
      <t>C</t>
    </r>
  </si>
  <si>
    <t>4E3</t>
  </si>
  <si>
    <r>
      <t>Single-Core, Armoured, With or Without Sheath              Ambient Temperature: 30</t>
    </r>
    <r>
      <rPr>
        <b/>
        <vertAlign val="superscript"/>
        <sz val="12"/>
        <rFont val="Times New Roman"/>
        <family val="1"/>
      </rPr>
      <t>0</t>
    </r>
    <r>
      <rPr>
        <b/>
        <sz val="12"/>
        <rFont val="Times New Roman"/>
        <family val="1"/>
      </rPr>
      <t>C                                            Conductor Operating Temperature: 90</t>
    </r>
    <r>
      <rPr>
        <b/>
        <vertAlign val="superscript"/>
        <sz val="12"/>
        <rFont val="Times New Roman"/>
        <family val="1"/>
      </rPr>
      <t>0</t>
    </r>
    <r>
      <rPr>
        <b/>
        <sz val="12"/>
        <rFont val="Times New Roman"/>
        <family val="1"/>
      </rPr>
      <t>C</t>
    </r>
  </si>
  <si>
    <t>4E4</t>
  </si>
  <si>
    <r>
      <t>Multi-Core, Armoured                                                                 Air Ambient Temperature: 30</t>
    </r>
    <r>
      <rPr>
        <b/>
        <vertAlign val="superscript"/>
        <sz val="12"/>
        <rFont val="Times New Roman"/>
        <family val="1"/>
      </rPr>
      <t>0</t>
    </r>
    <r>
      <rPr>
        <b/>
        <sz val="12"/>
        <rFont val="Times New Roman"/>
        <family val="1"/>
      </rPr>
      <t>C                                          Ground Ambient Temperature: 20</t>
    </r>
    <r>
      <rPr>
        <b/>
        <vertAlign val="superscript"/>
        <sz val="12"/>
        <rFont val="Times New Roman"/>
        <family val="1"/>
      </rPr>
      <t>0</t>
    </r>
    <r>
      <rPr>
        <b/>
        <sz val="12"/>
        <rFont val="Times New Roman"/>
        <family val="1"/>
      </rPr>
      <t>C                                         Conductor Operating Temperature: 90</t>
    </r>
    <r>
      <rPr>
        <b/>
        <vertAlign val="superscript"/>
        <sz val="12"/>
        <rFont val="Times New Roman"/>
        <family val="1"/>
      </rPr>
      <t>0</t>
    </r>
    <r>
      <rPr>
        <b/>
        <sz val="12"/>
        <rFont val="Times New Roman"/>
        <family val="1"/>
      </rPr>
      <t>C</t>
    </r>
  </si>
  <si>
    <t>4F1</t>
  </si>
  <si>
    <r>
      <t>60</t>
    </r>
    <r>
      <rPr>
        <b/>
        <vertAlign val="superscript"/>
        <sz val="12"/>
        <rFont val="Times New Roman"/>
        <family val="1"/>
      </rPr>
      <t>0</t>
    </r>
    <r>
      <rPr>
        <b/>
        <sz val="12"/>
        <rFont val="Times New Roman"/>
        <family val="1"/>
      </rPr>
      <t xml:space="preserve"> Thermosetting Insulated, Sheathed, Non-Armoured Ambient Temperature: 30</t>
    </r>
    <r>
      <rPr>
        <b/>
        <vertAlign val="superscript"/>
        <sz val="12"/>
        <rFont val="Times New Roman"/>
        <family val="1"/>
      </rPr>
      <t>0</t>
    </r>
    <r>
      <rPr>
        <b/>
        <sz val="12"/>
        <rFont val="Times New Roman"/>
        <family val="1"/>
      </rPr>
      <t>C                                                           Conductor Operating Temperature: 60</t>
    </r>
    <r>
      <rPr>
        <b/>
        <vertAlign val="superscript"/>
        <sz val="12"/>
        <rFont val="Times New Roman"/>
        <family val="1"/>
      </rPr>
      <t>0</t>
    </r>
    <r>
      <rPr>
        <b/>
        <sz val="12"/>
        <rFont val="Times New Roman"/>
        <family val="1"/>
      </rPr>
      <t>C</t>
    </r>
  </si>
  <si>
    <t>3 or4or 5</t>
  </si>
  <si>
    <t>Single-Core or Multi-Core</t>
  </si>
  <si>
    <t>Multi</t>
  </si>
  <si>
    <t>Single</t>
  </si>
  <si>
    <t>4F2</t>
  </si>
  <si>
    <r>
      <t>90</t>
    </r>
    <r>
      <rPr>
        <b/>
        <vertAlign val="superscript"/>
        <sz val="12"/>
        <rFont val="Times New Roman"/>
        <family val="1"/>
      </rPr>
      <t xml:space="preserve">0 </t>
    </r>
    <r>
      <rPr>
        <b/>
        <sz val="12"/>
        <rFont val="Times New Roman"/>
        <family val="1"/>
      </rPr>
      <t>/180</t>
    </r>
    <r>
      <rPr>
        <b/>
        <vertAlign val="superscript"/>
        <sz val="12"/>
        <rFont val="Times New Roman"/>
        <family val="1"/>
      </rPr>
      <t>0</t>
    </r>
    <r>
      <rPr>
        <b/>
        <sz val="12"/>
        <rFont val="Times New Roman"/>
        <family val="1"/>
      </rPr>
      <t xml:space="preserve"> Thermosetting Insulated, Sheathed, Non-Armoured                                                                           Ambient Temperature: 30</t>
    </r>
    <r>
      <rPr>
        <b/>
        <vertAlign val="superscript"/>
        <sz val="12"/>
        <rFont val="Times New Roman"/>
        <family val="1"/>
      </rPr>
      <t>0</t>
    </r>
    <r>
      <rPr>
        <b/>
        <sz val="12"/>
        <rFont val="Times New Roman"/>
        <family val="1"/>
      </rPr>
      <t>C                                            Conductor Operating Temperature: 90</t>
    </r>
    <r>
      <rPr>
        <b/>
        <vertAlign val="superscript"/>
        <sz val="12"/>
        <rFont val="Times New Roman"/>
        <family val="1"/>
      </rPr>
      <t>0</t>
    </r>
    <r>
      <rPr>
        <b/>
        <sz val="12"/>
        <rFont val="Times New Roman"/>
        <family val="1"/>
      </rPr>
      <t>C</t>
    </r>
  </si>
  <si>
    <t>4F3</t>
  </si>
  <si>
    <t>Non-Armoured</t>
  </si>
  <si>
    <t>1-Phase</t>
  </si>
  <si>
    <t>4G1</t>
  </si>
  <si>
    <r>
      <t>Sheathed, Thermoplastic Covered or Bare and Exposed to Touch                                                                                    Ambient Temperature: 30</t>
    </r>
    <r>
      <rPr>
        <b/>
        <vertAlign val="superscript"/>
        <sz val="12"/>
        <rFont val="Times New Roman"/>
        <family val="1"/>
      </rPr>
      <t>0</t>
    </r>
    <r>
      <rPr>
        <b/>
        <sz val="12"/>
        <rFont val="Times New Roman"/>
        <family val="1"/>
      </rPr>
      <t>C                                                 Sheath Operating Temperature: 70</t>
    </r>
    <r>
      <rPr>
        <b/>
        <vertAlign val="superscript"/>
        <sz val="12"/>
        <rFont val="Times New Roman"/>
        <family val="1"/>
      </rPr>
      <t>0</t>
    </r>
    <r>
      <rPr>
        <b/>
        <sz val="12"/>
        <rFont val="Times New Roman"/>
        <family val="1"/>
      </rPr>
      <t>C</t>
    </r>
  </si>
  <si>
    <t>E, F, G</t>
  </si>
  <si>
    <t>4G2</t>
  </si>
  <si>
    <r>
      <t>Bare, Not Exposed to Touch, Not in Contact with Combustible Material                                                                               Ambient Temperature: 30</t>
    </r>
    <r>
      <rPr>
        <b/>
        <vertAlign val="superscript"/>
        <sz val="12"/>
        <rFont val="Times New Roman"/>
        <family val="1"/>
      </rPr>
      <t>0</t>
    </r>
    <r>
      <rPr>
        <b/>
        <sz val="12"/>
        <rFont val="Times New Roman"/>
        <family val="1"/>
      </rPr>
      <t>C                                                 Sheath Operating Temperature: 105</t>
    </r>
    <r>
      <rPr>
        <b/>
        <vertAlign val="superscript"/>
        <sz val="12"/>
        <rFont val="Times New Roman"/>
        <family val="1"/>
      </rPr>
      <t>0</t>
    </r>
    <r>
      <rPr>
        <b/>
        <sz val="12"/>
        <rFont val="Times New Roman"/>
        <family val="1"/>
      </rPr>
      <t>C</t>
    </r>
  </si>
  <si>
    <t>4H1</t>
  </si>
  <si>
    <t>4H2</t>
  </si>
  <si>
    <r>
      <t>Multi-Core, Thermoplastic Sheathed, Non-Armoured      Ambient Temperature: 30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</si>
  <si>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4H3</t>
  </si>
  <si>
    <r>
      <t>Single-Core, Armoured, With or Without Sheath              Ambient Temperature: 30</t>
    </r>
    <r>
      <rPr>
        <b/>
        <vertAlign val="superscript"/>
        <sz val="12"/>
        <rFont val="Times New Roman"/>
        <family val="1"/>
      </rPr>
      <t>0</t>
    </r>
    <r>
      <rPr>
        <b/>
        <sz val="12"/>
        <rFont val="Times New Roman"/>
        <family val="1"/>
      </rPr>
      <t>C                                            Conductor Operating Temperature: 70</t>
    </r>
    <r>
      <rPr>
        <b/>
        <vertAlign val="superscript"/>
        <sz val="12"/>
        <rFont val="Times New Roman"/>
        <family val="1"/>
      </rPr>
      <t>0</t>
    </r>
    <r>
      <rPr>
        <b/>
        <sz val="12"/>
        <rFont val="Times New Roman"/>
        <family val="1"/>
      </rPr>
      <t>C</t>
    </r>
  </si>
  <si>
    <t>4H4</t>
  </si>
  <si>
    <t>4J1</t>
  </si>
  <si>
    <t>4J2</t>
  </si>
  <si>
    <t>4J3</t>
  </si>
  <si>
    <t>4J4</t>
  </si>
  <si>
    <t>Jinko JKM555M-72HL4-V - 555 Watts Solar Panel</t>
  </si>
  <si>
    <t>Auto</t>
  </si>
  <si>
    <t>Manual</t>
  </si>
  <si>
    <t>Patricia Tuffuor</t>
  </si>
  <si>
    <t>Abokobi Borga Town</t>
  </si>
  <si>
    <t>0540115573</t>
  </si>
  <si>
    <t>sabek2g@gmail.com</t>
  </si>
  <si>
    <t>0203642964</t>
  </si>
  <si>
    <t>Battery</t>
  </si>
  <si>
    <t>Phoenix</t>
  </si>
  <si>
    <t>Phase</t>
  </si>
  <si>
    <t>System Voltage</t>
  </si>
  <si>
    <t>Grid-Tied</t>
  </si>
  <si>
    <t>Multiplus</t>
  </si>
  <si>
    <t>Quattro</t>
  </si>
  <si>
    <t>EasySolar</t>
  </si>
  <si>
    <t>type</t>
  </si>
  <si>
    <t>Deye</t>
  </si>
  <si>
    <t>Huawei</t>
  </si>
  <si>
    <t>Galvo</t>
  </si>
  <si>
    <t>Primo</t>
  </si>
  <si>
    <t>Symo</t>
  </si>
  <si>
    <t>Eco</t>
  </si>
  <si>
    <t>Tauro</t>
  </si>
  <si>
    <t>Battery List</t>
  </si>
  <si>
    <t>BYD_Lithium</t>
  </si>
  <si>
    <t>Jinko_Lithium</t>
  </si>
  <si>
    <t>Huawei_Lithium</t>
  </si>
  <si>
    <t>Victron_AGM</t>
  </si>
  <si>
    <t>Victron_Gel</t>
  </si>
  <si>
    <t>Hoppecke_OPzV</t>
  </si>
  <si>
    <t>Hoppecke_Lead_Acid</t>
  </si>
  <si>
    <t>12/250</t>
  </si>
  <si>
    <t>12/375</t>
  </si>
  <si>
    <t>12/500</t>
  </si>
  <si>
    <t>12/800</t>
  </si>
  <si>
    <t>12/1200</t>
  </si>
  <si>
    <t>24/250</t>
  </si>
  <si>
    <t>24/375</t>
  </si>
  <si>
    <t>24/500</t>
  </si>
  <si>
    <t>24/800</t>
  </si>
  <si>
    <t>24/1200</t>
  </si>
  <si>
    <t>48/250</t>
  </si>
  <si>
    <t>48/375</t>
  </si>
  <si>
    <t>48/500</t>
  </si>
  <si>
    <t>48/800</t>
  </si>
  <si>
    <t>48/1200</t>
  </si>
  <si>
    <t>12/1600</t>
  </si>
  <si>
    <t>24/2000</t>
  </si>
  <si>
    <t>24/1600</t>
  </si>
  <si>
    <t>12/2000</t>
  </si>
  <si>
    <t>12V/8Ah</t>
  </si>
  <si>
    <t>12V/14Ah</t>
  </si>
  <si>
    <t>12V/22Ah</t>
  </si>
  <si>
    <t>12V/38Ah</t>
  </si>
  <si>
    <t>12V/60Ah</t>
  </si>
  <si>
    <t>12V/90Ah</t>
  </si>
  <si>
    <t>12V/110Ah</t>
  </si>
  <si>
    <t>12V/220Ah</t>
  </si>
  <si>
    <t>12V/100Ah</t>
  </si>
  <si>
    <t>12V/200Ah</t>
  </si>
  <si>
    <t>Hoppecke 2-Volts 26.30kwh/ 48V 7 Sun Opzv VRL 620</t>
  </si>
  <si>
    <t>48V/620Ah</t>
  </si>
  <si>
    <t>12V/150Ah</t>
  </si>
  <si>
    <t>6V/250Ah</t>
  </si>
  <si>
    <t>24/3000</t>
  </si>
  <si>
    <t>24/5000</t>
  </si>
  <si>
    <t>48/1600</t>
  </si>
  <si>
    <t>48/2000</t>
  </si>
  <si>
    <t>48/3000</t>
  </si>
  <si>
    <t>48/5000</t>
  </si>
  <si>
    <t>48/6000</t>
  </si>
  <si>
    <t>48/8000</t>
  </si>
  <si>
    <t>48/10000</t>
  </si>
  <si>
    <t>48/15000</t>
  </si>
  <si>
    <t>Multiplus_II</t>
  </si>
  <si>
    <t>Multiplus_II_GX</t>
  </si>
  <si>
    <t>EasySolar_II</t>
  </si>
  <si>
    <t>Phocos_H</t>
  </si>
  <si>
    <t>Phocos_B</t>
  </si>
  <si>
    <t>48/16000</t>
  </si>
  <si>
    <t>48/12000</t>
  </si>
  <si>
    <t>48/20000</t>
  </si>
  <si>
    <t>48/30000</t>
  </si>
  <si>
    <t>48/40000</t>
  </si>
  <si>
    <t>48/50000</t>
  </si>
  <si>
    <t>Gen_24_Primo</t>
  </si>
  <si>
    <t>Gen_24_Symo</t>
  </si>
  <si>
    <t>3kW Grid-Tied</t>
  </si>
  <si>
    <t>5kW Grid-Tied</t>
  </si>
  <si>
    <t>8.2kW Grid-Tied</t>
  </si>
  <si>
    <t>6kW Grid-Tied</t>
  </si>
  <si>
    <t>10kW Grid-Tied</t>
  </si>
  <si>
    <t>15kW Grid-Tied</t>
  </si>
  <si>
    <t>20kW Grid-Tied</t>
  </si>
  <si>
    <t>25kW Grid-Tied</t>
  </si>
  <si>
    <t>27kW Grid-Tied</t>
  </si>
  <si>
    <t>50kW Grid-Tied</t>
  </si>
  <si>
    <t>100kW Grid-Tied</t>
  </si>
  <si>
    <t>48V/3kW</t>
  </si>
  <si>
    <t>48V/5kW</t>
  </si>
  <si>
    <t>48V/6kW</t>
  </si>
  <si>
    <t>48V/4kW</t>
  </si>
  <si>
    <t>48V/8kW</t>
  </si>
  <si>
    <t>48V/10kW</t>
  </si>
  <si>
    <t>5kWh</t>
  </si>
  <si>
    <t>4kWh</t>
  </si>
  <si>
    <t>15.4kWh</t>
  </si>
  <si>
    <t>2.56kWh</t>
  </si>
  <si>
    <t>4.8kWh</t>
  </si>
  <si>
    <t>Sharp - NUJC415 Mono 415Wp Solar Panel</t>
  </si>
  <si>
    <t>Sharp_Solar_Panel</t>
  </si>
  <si>
    <t>JA_Solar_Panel</t>
  </si>
  <si>
    <t>Jinko_Solar_Panel</t>
  </si>
  <si>
    <t>Victron_Solar_Panel</t>
  </si>
  <si>
    <t>530W Mono</t>
  </si>
  <si>
    <t>545W Mono</t>
  </si>
  <si>
    <t>555W Mono</t>
  </si>
  <si>
    <t>415W Mono</t>
  </si>
  <si>
    <t>115W Poly</t>
  </si>
  <si>
    <t>270W Poly</t>
  </si>
  <si>
    <t>305W Mono</t>
  </si>
  <si>
    <t>BYD_Solar_Panel</t>
  </si>
  <si>
    <t>Solar Panel List</t>
  </si>
  <si>
    <t>Inverter List</t>
  </si>
  <si>
    <t>24/3000/70-50</t>
  </si>
  <si>
    <t>48/3000/35-16</t>
  </si>
  <si>
    <t>48/3000/35-50</t>
  </si>
  <si>
    <t>12/1200 VE.Direct</t>
  </si>
  <si>
    <t>kW</t>
  </si>
  <si>
    <t>Voc</t>
  </si>
  <si>
    <t>V Mppt</t>
  </si>
  <si>
    <t>V System</t>
  </si>
  <si>
    <t>Emmanuel Atsu</t>
  </si>
  <si>
    <t>0547141736</t>
  </si>
  <si>
    <t>fiahagbeatsuemmanuel@gmail.com</t>
  </si>
  <si>
    <t>Teledata</t>
  </si>
  <si>
    <t>McCathy Hills</t>
  </si>
  <si>
    <t>0205035150/ 
0544315993</t>
  </si>
  <si>
    <t>St. Ignatius Catholic Church - Church Building</t>
  </si>
  <si>
    <t>St. Ignatius Catholic Church - School Building</t>
  </si>
  <si>
    <t>Battery Rack for up to 2 Batteries - Lithium Batteries</t>
  </si>
  <si>
    <t>Bismark</t>
  </si>
  <si>
    <t>0543942501</t>
  </si>
  <si>
    <t>Alex Kyei - Afram Plains</t>
  </si>
  <si>
    <t>Chris Agyeman</t>
  </si>
  <si>
    <t>0541151835</t>
  </si>
  <si>
    <t>Melissa Boateng</t>
  </si>
  <si>
    <t>Assin Akrofuom</t>
  </si>
  <si>
    <t>0572666376</t>
  </si>
  <si>
    <t>melissa.boateng@solidaridadnetwork.org</t>
  </si>
  <si>
    <t>Huawei SUN 2000-2KTL-L1</t>
  </si>
  <si>
    <t>Huawei SUN 2000-3KTL-L1</t>
  </si>
  <si>
    <t>Huawei SUN 2000-5KTL-L1</t>
  </si>
  <si>
    <t>Huawei SUN 2000-5KTL-M1</t>
  </si>
  <si>
    <t>Huawei SUN 2000-10KTL-M1</t>
  </si>
  <si>
    <t>Huawei SUN2000-20KTL-M5</t>
  </si>
  <si>
    <t>Huawei SUN2000-30KTL-M3</t>
  </si>
  <si>
    <t>Huawei SUN2000-40KTL-M3</t>
  </si>
  <si>
    <t>Huawei SUN 2000-50KTL-M3</t>
  </si>
  <si>
    <t>Huawei Function Module, Smart Dongle-WLAN-FE, SDongleA-05, WLAN-FE Wireless Module, EQ-10N</t>
  </si>
  <si>
    <t>Huawei Function Module, Inverter external 4G dongle, Supporting the communication for 10 devices at most</t>
  </si>
  <si>
    <t>Huawei SmartLogger 3000A01GL</t>
  </si>
  <si>
    <t>Huawei DTSU666-H 250A/50mA 3-Phase Smart Power Sensor</t>
  </si>
  <si>
    <t>Huawei DDSU666-H</t>
  </si>
  <si>
    <t>Huawei IOT outdoor 4G module</t>
  </si>
  <si>
    <t>0208178946</t>
  </si>
  <si>
    <t>Alfred Gyasi</t>
  </si>
  <si>
    <t>Mpere</t>
  </si>
  <si>
    <t>Adukrom</t>
  </si>
  <si>
    <t>0554762025</t>
  </si>
  <si>
    <t>Emmanuel Abewini</t>
  </si>
  <si>
    <t>0503139703</t>
  </si>
  <si>
    <t>Ato Brown</t>
  </si>
  <si>
    <t>Aseseeso</t>
  </si>
  <si>
    <t>0542357821</t>
  </si>
  <si>
    <t>ECOLIGO GHA ASSETS ONE LTD</t>
  </si>
  <si>
    <t>+233594031521</t>
  </si>
  <si>
    <t>Regus Office, 7th Floor, Atlantic Towers, Airport, Liberation Road</t>
  </si>
  <si>
    <t>Johnny</t>
  </si>
  <si>
    <t>0554550781</t>
  </si>
  <si>
    <t>Dr. Bernard Aryee</t>
  </si>
  <si>
    <t>Amrahia - Greenfields Estates</t>
  </si>
  <si>
    <t>0209058841</t>
  </si>
  <si>
    <t>Romeo Bugyei</t>
  </si>
  <si>
    <t>Thomas Okai</t>
  </si>
  <si>
    <t>0205409179</t>
  </si>
  <si>
    <t>Francis Aboagye</t>
  </si>
  <si>
    <t>Paul Vegas</t>
  </si>
  <si>
    <t>Lakeside-Kumasi</t>
  </si>
  <si>
    <t>0243840512</t>
  </si>
  <si>
    <t>Tim</t>
  </si>
  <si>
    <t>Cal Bank</t>
  </si>
  <si>
    <t>Bank Name: CAL BANK GHANA LIMITED</t>
  </si>
  <si>
    <t>Account No: 1400007916096 (GHS)</t>
  </si>
  <si>
    <t>Account No: 14000079000234 (USD)</t>
  </si>
  <si>
    <t>Swift Code: ACCCGHACXXX</t>
  </si>
  <si>
    <t>Sort Code: 140101</t>
  </si>
  <si>
    <t>Bank Branch: Independence Avenue</t>
  </si>
  <si>
    <t>Kay</t>
  </si>
  <si>
    <t>+1 (720) 642-8998</t>
  </si>
  <si>
    <t>Ama Thompson</t>
  </si>
  <si>
    <t>KNIGHTS A.S. GHANA LIMITED</t>
  </si>
  <si>
    <t>205 ASERE AYITEY STREET KANESHIE, NORTH KANESHIE</t>
  </si>
  <si>
    <t>EL Studios</t>
  </si>
  <si>
    <t>Kwame Adzudzor</t>
  </si>
  <si>
    <t>0243338896</t>
  </si>
  <si>
    <t>Ing. Isaac Kweku Boakye</t>
  </si>
  <si>
    <t>0243567620</t>
  </si>
  <si>
    <t>Paul Ajomah</t>
  </si>
  <si>
    <t>0244651542</t>
  </si>
  <si>
    <t>Mr. Eric</t>
  </si>
  <si>
    <t>0244886798</t>
  </si>
  <si>
    <t>Kweku Sekyi Aidoo</t>
  </si>
  <si>
    <t>0244370818</t>
  </si>
  <si>
    <t>Mr. Arnold Parker</t>
  </si>
  <si>
    <t>NMS Infrastructure - Fomena Hospital</t>
  </si>
  <si>
    <t>NMS Infrastructure - Kumawu Hospital</t>
  </si>
  <si>
    <t>6th Floor, One Airport Square, 
215 Liberation Road, 
Airport City</t>
  </si>
  <si>
    <t>Elsie Yaokumah - Afienya</t>
  </si>
  <si>
    <t>Albert Awuku Young</t>
  </si>
  <si>
    <t>0506588446</t>
  </si>
  <si>
    <t>Emmanuel - Kwabenya</t>
  </si>
  <si>
    <t>0549202500</t>
  </si>
  <si>
    <t>Elder Benjamin Yeboah</t>
  </si>
  <si>
    <t>0208557074</t>
  </si>
  <si>
    <t>Ebow Philips</t>
  </si>
  <si>
    <t>0246827533</t>
  </si>
  <si>
    <t>Kojo</t>
  </si>
  <si>
    <t>0243954766</t>
  </si>
  <si>
    <t>Abdella Salia - Adjringanor</t>
  </si>
  <si>
    <t>Abdella Salia - Ridge</t>
  </si>
  <si>
    <t>Haruna</t>
  </si>
  <si>
    <t>0267485834</t>
  </si>
  <si>
    <t>Daniel Justice Akpalu</t>
  </si>
  <si>
    <t>0540113133</t>
  </si>
  <si>
    <t>Philip Mumuni</t>
  </si>
  <si>
    <t>0205794112</t>
  </si>
  <si>
    <t>0501668998</t>
  </si>
  <si>
    <t>Tim - Van</t>
  </si>
  <si>
    <t>Frank - Tema</t>
  </si>
  <si>
    <t>0242746880</t>
  </si>
  <si>
    <t>Ben Nkrumah</t>
  </si>
  <si>
    <t>0243102412</t>
  </si>
  <si>
    <t>Solar Enablers / Prof. Peter Quartey</t>
  </si>
  <si>
    <t>Samuel</t>
  </si>
  <si>
    <t>+23278104818</t>
  </si>
  <si>
    <t xml:space="preserve">PURC Regional Headoffice </t>
  </si>
  <si>
    <t>Amex Healthcare</t>
  </si>
  <si>
    <t>0505359149</t>
  </si>
  <si>
    <t>Emmanuel -</t>
  </si>
  <si>
    <t>Moif - North</t>
  </si>
  <si>
    <t>Madam Augustina</t>
  </si>
  <si>
    <t>0501867503</t>
  </si>
  <si>
    <t>KT</t>
  </si>
  <si>
    <t>0508408949</t>
  </si>
  <si>
    <t>Mr. John</t>
  </si>
  <si>
    <t>0243314251</t>
  </si>
  <si>
    <t>Alex Yeboah</t>
  </si>
  <si>
    <t>0244677997</t>
  </si>
  <si>
    <t>Madam Florence</t>
  </si>
  <si>
    <t>0532114347</t>
  </si>
  <si>
    <t>St. Mark Methodist Church</t>
  </si>
  <si>
    <t>Rev. Kojo</t>
  </si>
  <si>
    <t>0546670946</t>
  </si>
  <si>
    <t>Darkuman</t>
  </si>
  <si>
    <t>0261323558</t>
  </si>
  <si>
    <t>Prof. Akua Britwum</t>
  </si>
  <si>
    <t>Claudia</t>
  </si>
  <si>
    <t>0549127233 / 0508194122</t>
  </si>
  <si>
    <t>Inverter Brand:</t>
  </si>
  <si>
    <t xml:space="preserve">System Type: </t>
  </si>
  <si>
    <t>Mini-Grid</t>
  </si>
  <si>
    <t>Hybrid</t>
  </si>
  <si>
    <t>Backup</t>
  </si>
  <si>
    <t>System Type</t>
  </si>
  <si>
    <t>Inverter Brand</t>
  </si>
  <si>
    <t>Battery Brand</t>
  </si>
  <si>
    <t>BYD</t>
  </si>
  <si>
    <t>Jinko</t>
  </si>
  <si>
    <t>Battery Type</t>
  </si>
  <si>
    <t>Inverter Quantity:</t>
  </si>
  <si>
    <t>System Voltage:</t>
  </si>
  <si>
    <t>Solar Panel Brand</t>
  </si>
  <si>
    <t>Solar Panel Brand:</t>
  </si>
  <si>
    <t>Solar Panel Capacity (kWp)</t>
  </si>
  <si>
    <t>JA Solar</t>
  </si>
  <si>
    <t>Sharp</t>
  </si>
  <si>
    <t>Number of Phases</t>
  </si>
  <si>
    <t>MANUAL</t>
  </si>
  <si>
    <t>Solar Panel to Inverter (MPPT) Length</t>
  </si>
  <si>
    <t>Inverter to Tie-in point Length</t>
  </si>
  <si>
    <t>Chint 320A 4-Pole AC MCCB</t>
  </si>
  <si>
    <t>Chint 400A 4-Pole AC MCCB</t>
  </si>
  <si>
    <t>Saeed Adnan</t>
  </si>
  <si>
    <t>Mr. Frank Amoah</t>
  </si>
  <si>
    <t>No. 3 Oyster Gulf, Pool Side Road, Gulf City</t>
  </si>
  <si>
    <t>Ghana National Credit Unions Training Center</t>
  </si>
  <si>
    <t>Voltage Drop V/A/m</t>
  </si>
  <si>
    <t>Number of Panels per String:</t>
  </si>
  <si>
    <t>%Drop</t>
  </si>
  <si>
    <t>Mr. Ghartey</t>
  </si>
  <si>
    <t>0242981694</t>
  </si>
  <si>
    <t>Remote Monitoring</t>
  </si>
  <si>
    <t>Yes</t>
  </si>
  <si>
    <t>No</t>
  </si>
  <si>
    <t>Roof Mount</t>
  </si>
  <si>
    <t>Mounting Structure:</t>
  </si>
  <si>
    <t>Ground Mount</t>
  </si>
  <si>
    <t>Carport</t>
  </si>
  <si>
    <t>Victoria</t>
  </si>
  <si>
    <t>0246781494</t>
  </si>
  <si>
    <t>TINO SOLUTIONS INVOICE PREPARATION QUESTIONNAIRE</t>
  </si>
  <si>
    <t>TOTAL COST</t>
  </si>
  <si>
    <t>CLIENT NAME</t>
  </si>
  <si>
    <t>TOWN</t>
  </si>
  <si>
    <t>CITY/REGION</t>
  </si>
  <si>
    <t>PHONE NUMBER</t>
  </si>
  <si>
    <t>CODE</t>
  </si>
  <si>
    <t>CONTACT PEERSON</t>
  </si>
  <si>
    <t>EMAIL ADDRESS</t>
  </si>
  <si>
    <t>Recommended (kWp)</t>
  </si>
  <si>
    <t>Recommended (Pcs)</t>
  </si>
  <si>
    <t>shardico@yahoo.com</t>
  </si>
  <si>
    <t>0249176864</t>
  </si>
  <si>
    <t>Shadrach Owusu</t>
  </si>
  <si>
    <t>Mr. Samson</t>
  </si>
  <si>
    <t>0244206728</t>
  </si>
  <si>
    <t>Elkhart</t>
  </si>
  <si>
    <t>Barnabas</t>
  </si>
  <si>
    <t>0266361785</t>
  </si>
  <si>
    <t>Jeff Aniwa</t>
  </si>
  <si>
    <t>Mr. Theophilus</t>
  </si>
  <si>
    <t>0244997752</t>
  </si>
  <si>
    <t>Mr. Freddy Engman</t>
  </si>
  <si>
    <t>Kpone Bawaleshie</t>
  </si>
  <si>
    <t>0591954335</t>
  </si>
  <si>
    <t>theoadu@gmail.com</t>
  </si>
  <si>
    <t>Fiifi</t>
  </si>
  <si>
    <t>0202055517</t>
  </si>
  <si>
    <t>Mr. Kaleb</t>
  </si>
  <si>
    <t>0202674019</t>
  </si>
  <si>
    <t>Elliot</t>
  </si>
  <si>
    <t>0241095746</t>
  </si>
  <si>
    <t>Toyota Ghana Limited</t>
  </si>
  <si>
    <t>0246432239</t>
  </si>
  <si>
    <t>Herman</t>
  </si>
  <si>
    <t>0244059109</t>
  </si>
  <si>
    <t xml:space="preserve">Madam Charlotte </t>
  </si>
  <si>
    <t>Mr. Adjaso Solomon / GMM Solutions</t>
  </si>
  <si>
    <t>Mr. Lawrence</t>
  </si>
  <si>
    <t>0243922636</t>
  </si>
  <si>
    <t>Obed Ashie</t>
  </si>
  <si>
    <t>0244037856</t>
  </si>
  <si>
    <t>Mr. Bonful</t>
  </si>
  <si>
    <t>0244978493</t>
  </si>
  <si>
    <t>0244475607</t>
  </si>
  <si>
    <t>Aurelius Awuku</t>
  </si>
  <si>
    <t>Fairview Community, Ankonam Junction,  Oyarifa</t>
  </si>
  <si>
    <t>marcusadkam@gmail.com</t>
  </si>
  <si>
    <t>0244650750</t>
  </si>
  <si>
    <t>Hadisu Alhassan</t>
  </si>
  <si>
    <t>0552512985</t>
  </si>
  <si>
    <t>hadisu2@yahoo.com</t>
  </si>
  <si>
    <t>Redtop, New Bortianor</t>
  </si>
  <si>
    <t>Gabriel Amegbanu</t>
  </si>
  <si>
    <t>gabriel.amegbanu@gmail.com</t>
  </si>
  <si>
    <t>0249396338</t>
  </si>
  <si>
    <t>SYLVESTER ABAANE</t>
  </si>
  <si>
    <t>0245160782</t>
  </si>
  <si>
    <t>abaane.sylvester@yahoo.com</t>
  </si>
  <si>
    <t>SIKAMAN- OYIBI</t>
  </si>
  <si>
    <t>Hashim Ibrahim</t>
  </si>
  <si>
    <t>0244384958</t>
  </si>
  <si>
    <t>William Ghanney</t>
  </si>
  <si>
    <t>0202009321</t>
  </si>
  <si>
    <t>Collins</t>
  </si>
  <si>
    <t>0203747508</t>
  </si>
  <si>
    <t>Ezekiel Bruce</t>
  </si>
  <si>
    <t>Daniel Ofosuhene</t>
  </si>
  <si>
    <t>0261346988</t>
  </si>
  <si>
    <t>Madam Angela</t>
  </si>
  <si>
    <t>0277718563</t>
  </si>
  <si>
    <t>Mr. Jones</t>
  </si>
  <si>
    <t>0592500142</t>
  </si>
  <si>
    <t>Wood Processing Company</t>
  </si>
  <si>
    <t>Mr. Kojo Fynn</t>
  </si>
  <si>
    <t>0244328889</t>
  </si>
  <si>
    <t>Kindern Zukunft geben - Ghana e.V</t>
  </si>
  <si>
    <t>Roger Addico</t>
  </si>
  <si>
    <t>Anyaa- Ablekuma</t>
  </si>
  <si>
    <t>0544349594</t>
  </si>
  <si>
    <t>Madam Karin</t>
  </si>
  <si>
    <t>0557492640</t>
  </si>
  <si>
    <t>Bank Name: ABSA BANK GHANA LIMITED</t>
  </si>
  <si>
    <t>Account No: 0000001075713 (GHS)</t>
  </si>
  <si>
    <t>Account No: 0000001504475 (USD)</t>
  </si>
  <si>
    <t>Swift Code: BARCGHACXXX</t>
  </si>
  <si>
    <t>Bank Branch: Ring Road Central</t>
  </si>
  <si>
    <t>Sort Code: 030114</t>
  </si>
  <si>
    <t>Otinibi</t>
  </si>
  <si>
    <t>0244528754</t>
  </si>
  <si>
    <t>Selorm Dovie</t>
  </si>
  <si>
    <t>bsdovie@gmai.com</t>
  </si>
  <si>
    <t>Small AC Cable</t>
  </si>
  <si>
    <t>4mm PV Cable</t>
  </si>
  <si>
    <t>6mm PV Cable</t>
  </si>
  <si>
    <t>10mm PV Cable</t>
  </si>
  <si>
    <t>16mm PV Cable</t>
  </si>
  <si>
    <t>Inverter Battery Cable</t>
  </si>
  <si>
    <t>Main AC Cable</t>
  </si>
  <si>
    <t>Hon. Andrew Asiamah Amoako</t>
  </si>
  <si>
    <t>Alfred Agbley</t>
  </si>
  <si>
    <t>50A 4-Pole AC Circuit Breaker</t>
  </si>
  <si>
    <t>50A 2-Pole AC Circuit Breaker</t>
  </si>
  <si>
    <t>320A 2-Pole AC Circuit Breaker</t>
  </si>
  <si>
    <t>Top Cable AC solar cable 1x185mm2 RV-K 0.6/1KV</t>
  </si>
  <si>
    <t>Top Cable AC solar cable 1x400mm2 RV-K 0.6/1KV</t>
  </si>
  <si>
    <t>Top Cable AC solar cable 1x500mm2 RV-K 0.6/1KV</t>
  </si>
  <si>
    <t>rahimcrewe@gmail.com</t>
  </si>
  <si>
    <t>Adenta, Housing Down</t>
  </si>
  <si>
    <t>0201734735</t>
  </si>
  <si>
    <t>Abdul Rahim</t>
  </si>
  <si>
    <t>Samuel Opoku Sarkodie</t>
  </si>
  <si>
    <t>0558454707</t>
  </si>
  <si>
    <t>Sarkcuss@gmail.com</t>
  </si>
  <si>
    <t>125A 4-Pole AC Circuit Breaker</t>
  </si>
  <si>
    <t>125A 2-Pole AC Circuit Breaker</t>
  </si>
  <si>
    <t>Mr. Ameyaw</t>
  </si>
  <si>
    <t>0200241125</t>
  </si>
  <si>
    <t>Payment: 100% Payment with order</t>
  </si>
  <si>
    <t>Mr. Joseph</t>
  </si>
  <si>
    <t>0541670040</t>
  </si>
  <si>
    <t>Delta Engineering Limited</t>
  </si>
  <si>
    <t>0242140000</t>
  </si>
  <si>
    <t>dannyshaar@yahoo.com</t>
  </si>
  <si>
    <t>Danny Chaar</t>
  </si>
  <si>
    <t>Chint solid core current transformer 2000/5A</t>
  </si>
  <si>
    <t>Paul Badger</t>
  </si>
  <si>
    <t>0241367363</t>
  </si>
  <si>
    <t>Fafa Degbor</t>
  </si>
  <si>
    <t>John</t>
  </si>
  <si>
    <t>0261404219</t>
  </si>
  <si>
    <t>Mr. Bossman Hammond</t>
  </si>
  <si>
    <t>Saltpond</t>
  </si>
  <si>
    <t>0505527415</t>
  </si>
  <si>
    <t>Sylvester Ehwiah</t>
  </si>
  <si>
    <t>0248028589</t>
  </si>
  <si>
    <t>Dr. Dominic Obeng-Andoh</t>
  </si>
  <si>
    <t>0244373986</t>
  </si>
  <si>
    <t>Elatech</t>
  </si>
  <si>
    <t>Michael Yeboah</t>
  </si>
  <si>
    <t>0244494138</t>
  </si>
  <si>
    <t>800A 4-Pole AC MCCB</t>
  </si>
  <si>
    <t>Mr. Ebenezer Ashie</t>
  </si>
  <si>
    <t>Frederick</t>
  </si>
  <si>
    <t>0240364274</t>
  </si>
  <si>
    <t>David Yeboah</t>
  </si>
  <si>
    <t>0544048467</t>
  </si>
  <si>
    <t>Grace</t>
  </si>
  <si>
    <t>0200046499/ 0549181502</t>
  </si>
  <si>
    <t>Nyameye</t>
  </si>
  <si>
    <t>0501055752</t>
  </si>
  <si>
    <t>Number or Generators</t>
  </si>
  <si>
    <t>Mankoadze - Winneba</t>
  </si>
  <si>
    <t>Kent International School - Academic Block</t>
  </si>
  <si>
    <t>JA Solar JAM72-S30 565 Watts Solar Panel</t>
  </si>
  <si>
    <t>Kwame Owusu Asiedu</t>
  </si>
  <si>
    <t>0553480080/ 0207732790</t>
  </si>
  <si>
    <t>565W Mono</t>
  </si>
  <si>
    <t>Charles Kofigah</t>
  </si>
  <si>
    <t>0241387078/ 0553725366</t>
  </si>
  <si>
    <t>Kow Sam</t>
  </si>
  <si>
    <t>0244619735</t>
  </si>
  <si>
    <t>Solar Panel Rating</t>
  </si>
  <si>
    <t>Solar Panel Rating (Wp):</t>
  </si>
  <si>
    <t>2nd Inverter Rating</t>
  </si>
  <si>
    <t>1st Inverter Rating</t>
  </si>
  <si>
    <t>Dr. Apambire</t>
  </si>
  <si>
    <t>0244763326</t>
  </si>
  <si>
    <t>George</t>
  </si>
  <si>
    <t>Fronius</t>
  </si>
  <si>
    <t>Battery Brand &amp; per unit capacity</t>
  </si>
  <si>
    <t>Battery Quantity:</t>
  </si>
  <si>
    <t xml:space="preserve">, </t>
  </si>
  <si>
    <t>Daniel Aggrey</t>
  </si>
  <si>
    <t>Prime Infrra</t>
  </si>
  <si>
    <t>0244961757</t>
  </si>
  <si>
    <t>Ekow Gyasi Aggrey</t>
  </si>
  <si>
    <t>Adjein Kotoku off the Nsawam Road</t>
  </si>
  <si>
    <t>Fabian</t>
  </si>
  <si>
    <t>series</t>
  </si>
  <si>
    <t>parallel</t>
  </si>
  <si>
    <t>250V</t>
  </si>
  <si>
    <t>450V</t>
  </si>
  <si>
    <t>150V</t>
  </si>
  <si>
    <t>2/1</t>
  </si>
  <si>
    <t>3/1</t>
  </si>
  <si>
    <t>4/1</t>
  </si>
  <si>
    <t>Type</t>
  </si>
  <si>
    <t>Combiner</t>
  </si>
  <si>
    <t>0249815479</t>
  </si>
  <si>
    <t>Michael Mac-Carthy</t>
  </si>
  <si>
    <t>Modulus</t>
  </si>
  <si>
    <t>150V MPPT</t>
  </si>
  <si>
    <t>250V MPPT</t>
  </si>
  <si>
    <t>LAST NON EMPTY COLUMN</t>
  </si>
  <si>
    <t>LEFT OVER PANELS</t>
  </si>
  <si>
    <t>COMBINER TYPE</t>
  </si>
  <si>
    <t>COMBINER MAXIMUM PV GENERATE</t>
  </si>
  <si>
    <t>100V MPPT</t>
  </si>
  <si>
    <t>Number of Strings (Non-Victron MPPT):</t>
  </si>
  <si>
    <t>Number of Strings (Total):</t>
  </si>
  <si>
    <t>Mini-Grid 6mm PV Cable</t>
  </si>
  <si>
    <t>Mini-Grid 4mm PV Cable</t>
  </si>
  <si>
    <t>Richmond</t>
  </si>
  <si>
    <t>+233 59 536 4717</t>
  </si>
  <si>
    <t>Mr. Patrick</t>
  </si>
  <si>
    <t>Mr. Joe</t>
  </si>
  <si>
    <t>Mr. David</t>
  </si>
  <si>
    <t>Trasacco North</t>
  </si>
  <si>
    <t>Mr. Calvin</t>
  </si>
  <si>
    <t>Victron Type</t>
  </si>
  <si>
    <t>Victron MultiPlus 24/3000/35-50 230V VE.Bus</t>
  </si>
  <si>
    <t>Victron MultiPlus-II 24/3000/35-32 230V</t>
  </si>
  <si>
    <t>Victron MultiPlus-II 24/5000/70-50 230V</t>
  </si>
  <si>
    <t>Victron MultiPlus-II 48/10000/140-100 230V</t>
  </si>
  <si>
    <t>Victron MultiPlus-II 48/15000/200-100 230V</t>
  </si>
  <si>
    <t>Victron Quattro-II 48/5000/70-50/50 230V VE.Bus</t>
  </si>
  <si>
    <t>Fronius Primo 6kw light</t>
  </si>
  <si>
    <t>Fronius Verto 30.0 SPD 1+2</t>
  </si>
  <si>
    <t>Fronius Verto 30.0 SPD 2</t>
  </si>
  <si>
    <t>Fronius Verto 33.3 SPD 1+2</t>
  </si>
  <si>
    <t>Fronius Verto 33.3 SPD 2</t>
  </si>
  <si>
    <t>Hobut solid core current transformer 300/5A</t>
  </si>
  <si>
    <t>Hobut solid core current transformer 400/5A</t>
  </si>
  <si>
    <t>Fronius smart meter 50A-3</t>
  </si>
  <si>
    <t>Fronius smart meter 63A-1</t>
  </si>
  <si>
    <t>Fronius smart meter TS 5kA-3</t>
  </si>
  <si>
    <t>Fronius smart meter TS 65-3</t>
  </si>
  <si>
    <t>Citel DC Surge Protection Device DS240S-130DC</t>
  </si>
  <si>
    <t>Citel DC Surge Protection Device DPVN40CVGS-21Y-1200</t>
  </si>
  <si>
    <t>Victron Cerbo GX MK2</t>
  </si>
  <si>
    <t>Victron Cerbo-S GX</t>
  </si>
  <si>
    <t>Victron GX Touch 70 protection cover</t>
  </si>
  <si>
    <t>Victron Ekrano GX</t>
  </si>
  <si>
    <t>Victron CCGX WiFi module long range (Netgear AC1200)</t>
  </si>
  <si>
    <t>Victron Energy Meter EM540 - 3 phase - max 65A/phase</t>
  </si>
  <si>
    <t>Victron Energy Meter VM-3P75CT</t>
  </si>
  <si>
    <t>Victron Interface MK2.2b (VE.Bus to RS232)</t>
  </si>
  <si>
    <t>Victron CANUSB interface</t>
  </si>
  <si>
    <t>Victron Interface MK3-USB-C (VE.Bus to USB-C)</t>
  </si>
  <si>
    <t>Victron VE.Direct to BMV60xS Cable 3m</t>
  </si>
  <si>
    <t>Victron VE.Direct to USB-C interface</t>
  </si>
  <si>
    <t>Victron SmartSolar MPPT 150/60-MC4</t>
  </si>
  <si>
    <t>Victron SmartSolar MPPT 250/60-MC4</t>
  </si>
  <si>
    <t>Victron Solar Panel 330W-24V Poly 1980x1002x40mm series 4b</t>
  </si>
  <si>
    <t>Victron Solar Panel 305W-20V Mono 1658x1002x35mm series 4b</t>
  </si>
  <si>
    <t>Victron Solar Panel 115W-12V Poly 1030x668x30mm series 4b</t>
  </si>
  <si>
    <t>330W Mono</t>
  </si>
  <si>
    <t>Mounting Structure for Ground/Flat Roof (per set of 10 panels of 565W)</t>
  </si>
  <si>
    <t>Victron Busbar to connect 5 CIP100200100</t>
  </si>
  <si>
    <t>Victron Busbar to connect 6 CIP100200100</t>
  </si>
  <si>
    <t>Victron ANL-fuse 400A/80V for 48V products (package of 5 pcs)</t>
  </si>
  <si>
    <t>Victron ANL-fuse 300A/80V for 48V products (package of 5 pcs)</t>
  </si>
  <si>
    <t>Victron MEGA-fuse 80A/80V (package of 5 pcs)</t>
  </si>
  <si>
    <t>Victron MEGA-fuse 500A/80V (package of 5 pcs)</t>
  </si>
  <si>
    <t>Victron Lynx Distributor (M10)</t>
  </si>
  <si>
    <t>Victron Solar Busbar 150A 2P with 10 screws +cover</t>
  </si>
  <si>
    <t>Victron Solar Busbar 150A 2P with 20 screws +cover</t>
  </si>
  <si>
    <t>Victron Solar Busbar 150A 4P +cover</t>
  </si>
  <si>
    <t>Victron Solar Busbar 250A 2P with 6 screws +cover</t>
  </si>
  <si>
    <t>Victron Solar Busbar 250A 2P with 12 screws +cover</t>
  </si>
  <si>
    <t>Victron Solar Busbar 250A 4P +cover</t>
  </si>
  <si>
    <t>Victron Solar Busbar 250A 6P +cover</t>
  </si>
  <si>
    <t>Victron MIDI-fuse 100A/58V for 48V products (1 pc)</t>
  </si>
  <si>
    <t>Fronius Symo Advanced 10.0-3-M 10kw light</t>
  </si>
  <si>
    <t>Fronius Symo Advanced 15.0-3-M 15kw light</t>
  </si>
  <si>
    <t>Fronius Symo Advanced 20.0-3-M 20kw light</t>
  </si>
  <si>
    <t>Mr. Michel</t>
  </si>
  <si>
    <t>ARQ Engineering</t>
  </si>
  <si>
    <t>Gabriel</t>
  </si>
  <si>
    <t>0244665620</t>
  </si>
  <si>
    <t>30kW Grid-Tied</t>
  </si>
  <si>
    <t>33.3kW Grid-Tied</t>
  </si>
  <si>
    <t>Verto</t>
  </si>
  <si>
    <t>BYD LV 5.0KWH Lithium Battery</t>
  </si>
  <si>
    <t>Validity: 2 weeks from date of invoice</t>
  </si>
  <si>
    <t>Mr. Lamin</t>
  </si>
  <si>
    <t>0248469911</t>
  </si>
  <si>
    <t>INITIAL MPPT VOLTAGE</t>
  </si>
  <si>
    <t>FINAL MPPT VOLTAGE</t>
  </si>
  <si>
    <t>Jennifer Mills</t>
  </si>
  <si>
    <t>0244267125</t>
  </si>
  <si>
    <t>Shalom Premier Guest House</t>
  </si>
  <si>
    <t>Saboba</t>
  </si>
  <si>
    <t>Northern Region</t>
  </si>
  <si>
    <t>Emmanuel - Sunyani Technical University</t>
  </si>
  <si>
    <t>0558655268</t>
  </si>
  <si>
    <t>Prosper Success</t>
  </si>
  <si>
    <t>0555139583</t>
  </si>
  <si>
    <t>Bremen Energy</t>
  </si>
  <si>
    <t>0531033985</t>
  </si>
  <si>
    <t>Joyce Mateko Apotsi</t>
  </si>
  <si>
    <t>joyce.apotsi@bremenenergie.com</t>
  </si>
  <si>
    <t>Pasico Ghana Limited</t>
  </si>
  <si>
    <t>Plot No. B6, 2nd Hannah Lane, Community 5</t>
  </si>
  <si>
    <t>0244 112105</t>
  </si>
  <si>
    <t>Dominic ACOLATSE</t>
  </si>
  <si>
    <t>Physical address: 38 Amrahia-Katamanso Road, Opposite East-Amarahia, off the Adenta-Dodowa Road, Accra, Ghana ; Email: info@tinosolutions.com</t>
  </si>
  <si>
    <t>Tax Identification Number (TIN): C0003648001</t>
  </si>
  <si>
    <t>Aboagye</t>
  </si>
  <si>
    <t>0541262794</t>
  </si>
  <si>
    <t>Potentia Engineering Limited</t>
  </si>
  <si>
    <t>Awutu Bereku</t>
  </si>
  <si>
    <t>+447572991797</t>
  </si>
  <si>
    <t>Sammy</t>
  </si>
  <si>
    <t>0277860203</t>
  </si>
  <si>
    <t>Francis - Don Bosco Institute</t>
  </si>
  <si>
    <t>0546515918</t>
  </si>
  <si>
    <t>Mr. Blason</t>
  </si>
  <si>
    <t>Mr. Nurifa</t>
  </si>
  <si>
    <t>0544338229</t>
  </si>
  <si>
    <t>Ahmed Bedwei - Takoradi</t>
  </si>
  <si>
    <t>Mr. Ruben</t>
  </si>
  <si>
    <t>0534188330</t>
  </si>
  <si>
    <t>Andrew Vormawor</t>
  </si>
  <si>
    <t>Trede</t>
  </si>
  <si>
    <t>0249225797</t>
  </si>
  <si>
    <t>Prima Medical Center</t>
  </si>
  <si>
    <t>Mr. Andrew Vormawor</t>
  </si>
  <si>
    <t>Ariel Ammah</t>
  </si>
  <si>
    <t>0202007786</t>
  </si>
  <si>
    <t>John Banda</t>
  </si>
  <si>
    <t>0244234277</t>
  </si>
  <si>
    <t>Albert</t>
  </si>
  <si>
    <t>Aburi-Nsawam Road</t>
  </si>
  <si>
    <t>0507712477</t>
  </si>
  <si>
    <t>Delft Imaging</t>
  </si>
  <si>
    <t>0501535999</t>
  </si>
  <si>
    <t>John - Energy Commission</t>
  </si>
  <si>
    <t>Richard - Amasaman</t>
  </si>
  <si>
    <t>Abdullai</t>
  </si>
  <si>
    <t>Warranty: 10 years for battery, 5 years for inverter and accessories, 10 years for solar panels</t>
  </si>
  <si>
    <t>Scope: Solar to cater for all gadgets in facility</t>
  </si>
  <si>
    <t>INVOICE</t>
  </si>
  <si>
    <t>Victron GX Touch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</si>
</sst>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quot;$&quot;* #,##0.00_);_(&quot;$&quot;* \(#,##0.00\);_(&quot;$&quot;* &quot;-&quot;??_);_(@_)"/>
    <numFmt numFmtId="165" formatCode="_-* #,##0.00_-;\-* #,##0.00_-;_-* &quot;-&quot;??_-;_-@_-"/>
    <numFmt numFmtId="166" formatCode="dd/mm/yyyy;@"/>
    <numFmt numFmtId="167" formatCode="_(* #,##0_);_(* \(#,##0\);_(* &quot;-&quot;??_);_(@_)"/>
    <numFmt numFmtId="168" formatCode="[$-F800]dddd\,\ mmmm\ dd\,\ yyyy"/>
    <numFmt numFmtId="169" formatCode="h:mm;@"/>
    <numFmt numFmtId="170" formatCode="0.0%"/>
  </numFmts>
  <fonts count="60">
    <font>
      <sz val="11"/>
      <color theme="1"/>
      <name val="Calibri"/>
      <family val="2"/>
      <scheme val="minor"/>
    </font>
    <font>
      <sz val="12"/>
      <color theme="1"/>
      <name val="Calibri"/>
      <family val="2"/>
      <scheme val="minor"/>
    </font>
    <font>
      <sz val="12"/>
      <color theme="1"/>
      <name val="Calibri"/>
      <family val="2"/>
      <scheme val="minor"/>
    </font>
    <font>
      <sz val="10"/>
      <name val="Arial"/>
      <family val="2"/>
    </font>
    <font>
      <b/>
      <sz val="14"/>
      <color indexed="17"/>
      <name val="Trebuchet MS"/>
      <family val="2"/>
    </font>
    <font>
      <b/>
      <sz val="12"/>
      <color indexed="17"/>
      <name val="Trebuchet MS"/>
      <family val="2"/>
    </font>
    <font>
      <sz val="12"/>
      <name val="Trebuchet MS"/>
      <family val="2"/>
    </font>
    <font>
      <i/>
      <sz val="10"/>
      <name val="Arial"/>
      <family val="2"/>
    </font>
    <font>
      <b/>
      <sz val="10"/>
      <name val="Arial"/>
      <family val="2"/>
    </font>
    <font>
      <b/>
      <sz val="10"/>
      <color indexed="10"/>
      <name val="System"/>
      <family val="2"/>
    </font>
    <font>
      <sz val="10"/>
      <name val="Trebuchet MS"/>
      <family val="2"/>
    </font>
    <font>
      <b/>
      <sz val="10"/>
      <color indexed="53"/>
      <name val="Arial"/>
      <family val="2"/>
    </font>
    <font>
      <b/>
      <sz val="10"/>
      <name val="Trebuchet MS"/>
      <family val="2"/>
    </font>
    <font>
      <b/>
      <u/>
      <sz val="10"/>
      <name val="Trebuchet MS"/>
      <family val="2"/>
    </font>
    <font>
      <b/>
      <sz val="10"/>
      <color rgb="FFFF0000"/>
      <name val="Arial"/>
      <family val="2"/>
    </font>
    <font>
      <b/>
      <sz val="10"/>
      <color rgb="FFFF0000"/>
      <name val="Trebuchet MS"/>
      <family val="2"/>
    </font>
    <font>
      <b/>
      <sz val="10"/>
      <color indexed="8"/>
      <name val="Trebuchet MS"/>
      <family val="2"/>
    </font>
    <font>
      <i/>
      <sz val="10"/>
      <name val="Trebuchet MS"/>
      <family val="2"/>
    </font>
    <font>
      <b/>
      <sz val="10"/>
      <color indexed="17"/>
      <name val="Trebuchet MS"/>
      <family val="2"/>
    </font>
    <font>
      <b/>
      <i/>
      <u/>
      <sz val="10"/>
      <name val="Trebuchet MS"/>
      <family val="2"/>
    </font>
    <font>
      <b/>
      <sz val="12"/>
      <color theme="1"/>
      <name val="Times New Roman"/>
      <family val="1"/>
    </font>
    <font>
      <sz val="11"/>
      <color theme="1"/>
      <name val="Times New Roman"/>
      <family val="1"/>
    </font>
    <font>
      <sz val="12"/>
      <color theme="1"/>
      <name val="Times New Roman"/>
      <family val="1"/>
    </font>
    <font>
      <b/>
      <sz val="12"/>
      <color theme="0"/>
      <name val="Times New Roman"/>
      <family val="1"/>
    </font>
    <font>
      <sz val="8"/>
      <name val="Calibri"/>
      <family val="2"/>
      <scheme val="minor"/>
    </font>
    <font>
      <sz val="12"/>
      <color theme="1"/>
      <name val="Calibri"/>
      <family val="2"/>
      <scheme val="minor"/>
    </font>
    <font>
      <sz val="11"/>
      <color indexed="8"/>
      <name val="Calibri"/>
      <family val="2"/>
    </font>
    <font>
      <b/>
      <sz val="10"/>
      <color theme="0"/>
      <name val="Arial"/>
      <family val="2"/>
    </font>
    <font>
      <b/>
      <sz val="12"/>
      <color indexed="8"/>
      <name val="Trebuchet MS"/>
      <family val="2"/>
    </font>
    <font>
      <u/>
      <sz val="11"/>
      <color theme="10"/>
      <name val="Calibri"/>
      <family val="2"/>
      <scheme val="minor"/>
    </font>
    <font>
      <b/>
      <sz val="12"/>
      <name val="Times New Roman"/>
      <family val="1"/>
    </font>
    <font>
      <sz val="19"/>
      <color rgb="FF000000"/>
      <name val="Arial"/>
      <family val="2"/>
    </font>
    <font>
      <sz val="12"/>
      <name val="Times New Roman"/>
      <family val="1"/>
    </font>
    <font>
      <sz val="11"/>
      <color rgb="FF000000"/>
      <name val="Calibri"/>
      <family val="2"/>
      <scheme val="minor"/>
    </font>
    <font>
      <sz val="12"/>
      <color rgb="FF000000"/>
      <name val="Times New Roman"/>
      <family val="1"/>
    </font>
    <font>
      <sz val="11"/>
      <color theme="1"/>
      <name val="Calibri"/>
      <family val="2"/>
      <scheme val="minor"/>
    </font>
    <font>
      <b/>
      <i/>
      <sz val="10"/>
      <color theme="0"/>
      <name val="Weibei SC Bold"/>
    </font>
    <font>
      <b/>
      <i/>
      <sz val="12"/>
      <color theme="1"/>
      <name val="Times New Roman"/>
      <family val="1"/>
    </font>
    <font>
      <sz val="12"/>
      <color theme="1"/>
      <name val="Helvetica"/>
      <family val="2"/>
    </font>
    <font>
      <b/>
      <sz val="12"/>
      <color rgb="FFFF0000"/>
      <name val="Times New Roman"/>
      <family val="1"/>
    </font>
    <font>
      <b/>
      <u/>
      <sz val="12"/>
      <name val="Times New Roman"/>
      <family val="1"/>
    </font>
    <font>
      <sz val="12"/>
      <color theme="4"/>
      <name val="Times New Roman"/>
      <family val="1"/>
    </font>
    <font>
      <vertAlign val="subscript"/>
      <sz val="12"/>
      <name val="Times New Roman"/>
      <family val="1"/>
    </font>
    <font>
      <b/>
      <vertAlign val="superscript"/>
      <sz val="12"/>
      <name val="Times New Roman"/>
      <family val="1"/>
    </font>
    <font>
      <b/>
      <sz val="12"/>
      <color indexed="81"/>
      <name val="Times New Roman"/>
      <family val="1"/>
    </font>
    <font>
      <b/>
      <sz val="12"/>
      <color rgb="FF000000"/>
      <name val="Times New Roman"/>
      <family val="1"/>
    </font>
    <font>
      <b/>
      <sz val="12"/>
      <color rgb="FF000000"/>
      <name val="Tahoma"/>
      <family val="2"/>
    </font>
    <font>
      <sz val="12"/>
      <color rgb="FF454545"/>
      <name val="Times New Roman"/>
      <family val="1"/>
    </font>
    <font>
      <sz val="10"/>
      <color rgb="FF0C0D0E"/>
      <name val="Var(--ff-mono)"/>
    </font>
    <font>
      <b/>
      <sz val="14"/>
      <color theme="1"/>
      <name val="Times New Roman"/>
      <family val="1"/>
    </font>
    <font>
      <b/>
      <sz val="11"/>
      <color theme="1"/>
      <name val="Times New Roman"/>
      <family val="1"/>
    </font>
    <font>
      <b/>
      <sz val="11"/>
      <color rgb="FF000000"/>
      <name val="Times New Roman"/>
      <family val="1"/>
    </font>
    <font>
      <sz val="11"/>
      <color rgb="FFFF0000"/>
      <name val="Times New Roman"/>
      <family val="1"/>
    </font>
    <font>
      <u/>
      <sz val="12"/>
      <color theme="1"/>
      <name val="Times New Roman"/>
      <family val="1"/>
    </font>
    <font>
      <i/>
      <sz val="11"/>
      <color theme="1"/>
      <name val="Times New Roman"/>
      <family val="1"/>
    </font>
    <font>
      <sz val="11"/>
      <name val="Times New Roman"/>
      <family val="1"/>
    </font>
    <font>
      <b/>
      <sz val="10"/>
      <color rgb="FF002060"/>
      <name val="Trebuchet MS"/>
      <family val="2"/>
    </font>
    <font>
      <b/>
      <sz val="20"/>
      <name val="Times New Roman"/>
      <family val="1"/>
    </font>
    <font>
      <b/>
      <sz val="10"/>
      <name val="Times New Roman"/>
      <family val="1"/>
    </font>
    <font>
      <b/>
      <sz val="10"/>
      <color theme="8" tint="0.59999389629810485"/>
      <name val="Arial"/>
      <family val="2"/>
    </font>
  </fonts>
  <fills count="21">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mediumGray">
        <fgColor indexed="9"/>
        <bgColor indexed="9"/>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59996337778862885"/>
        <bgColor indexed="64"/>
      </patternFill>
    </fill>
    <fill>
      <patternFill patternType="solid">
        <fgColor theme="6" tint="0.39997558519241921"/>
        <bgColor indexed="64"/>
      </patternFill>
    </fill>
  </fills>
  <borders count="62">
    <border>
      <left/>
      <right/>
      <top/>
      <bottom/>
      <diagonal/>
    </border>
    <border>
      <left/>
      <right/>
      <top style="thick">
        <color indexed="54"/>
      </top>
      <bottom style="hair">
        <color indexed="37"/>
      </bottom>
      <diagonal/>
    </border>
    <border>
      <left/>
      <right/>
      <top/>
      <bottom style="hair">
        <color indexed="37"/>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medium">
        <color indexed="64"/>
      </left>
      <right style="hair">
        <color indexed="64"/>
      </right>
      <top style="medium">
        <color indexed="64"/>
      </top>
      <bottom/>
      <diagonal/>
    </border>
    <border>
      <left/>
      <right style="hair">
        <color indexed="64"/>
      </right>
      <top/>
      <bottom/>
      <diagonal/>
    </border>
    <border>
      <left/>
      <right/>
      <top/>
      <bottom style="hair">
        <color indexed="22"/>
      </bottom>
      <diagonal/>
    </border>
    <border>
      <left/>
      <right style="hair">
        <color indexed="64"/>
      </right>
      <top/>
      <bottom style="hair">
        <color indexed="22"/>
      </bottom>
      <diagonal/>
    </border>
    <border>
      <left/>
      <right/>
      <top style="hair">
        <color indexed="22"/>
      </top>
      <bottom style="hair">
        <color indexed="22"/>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ck">
        <color auto="1"/>
      </top>
      <bottom/>
      <diagonal/>
    </border>
    <border>
      <left/>
      <right style="thin">
        <color indexed="64"/>
      </right>
      <top/>
      <bottom/>
      <diagonal/>
    </border>
    <border>
      <left/>
      <right/>
      <top style="thin">
        <color theme="1"/>
      </top>
      <bottom style="thin">
        <color theme="1"/>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top style="thin">
        <color auto="1"/>
      </top>
      <bottom/>
      <diagonal/>
    </border>
    <border>
      <left/>
      <right style="thin">
        <color theme="0"/>
      </right>
      <top style="thin">
        <color theme="0"/>
      </top>
      <bottom style="thin">
        <color theme="0"/>
      </bottom>
      <diagonal/>
    </border>
    <border>
      <left style="thick">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ck">
        <color indexed="64"/>
      </top>
      <bottom/>
      <diagonal/>
    </border>
    <border>
      <left/>
      <right style="thin">
        <color indexed="64"/>
      </right>
      <top style="thin">
        <color indexed="64"/>
      </top>
      <bottom style="thin">
        <color indexed="64"/>
      </bottom>
      <diagonal/>
    </border>
    <border>
      <left/>
      <right/>
      <top style="thick">
        <color indexed="54"/>
      </top>
      <bottom style="hair">
        <color indexed="37"/>
      </bottom>
      <diagonal/>
    </border>
    <border>
      <left/>
      <right/>
      <top/>
      <bottom style="thick">
        <color indexed="54"/>
      </bottom>
      <diagonal/>
    </border>
    <border>
      <left style="hair">
        <color indexed="64"/>
      </left>
      <right style="hair">
        <color indexed="64"/>
      </right>
      <top style="hair">
        <color indexed="64"/>
      </top>
      <bottom/>
      <diagonal/>
    </border>
    <border>
      <left/>
      <right/>
      <top style="hair">
        <color indexed="37"/>
      </top>
      <bottom/>
      <diagonal/>
    </border>
  </borders>
  <cellStyleXfs count="6">
    <xf numFmtId="0" fontId="0" fillId="0" borderId="0"/>
    <xf numFmtId="0" fontId="3" fillId="0" borderId="0"/>
    <xf numFmtId="164" fontId="3" fillId="0" borderId="0" applyFont="0" applyFill="0" applyBorder="0" applyAlignment="0" applyProtection="0"/>
    <xf numFmtId="0" fontId="29" fillId="0" borderId="0" applyNumberFormat="0" applyFill="0" applyBorder="0" applyAlignment="0" applyProtection="0"/>
    <xf numFmtId="43" fontId="35" fillId="0" borderId="0" applyFont="0" applyFill="0" applyBorder="0" applyAlignment="0" applyProtection="0"/>
    <xf numFmtId="9" fontId="35" fillId="0" borderId="0" applyFont="0" applyFill="0" applyBorder="0" applyAlignment="0" applyProtection="0"/>
  </cellStyleXfs>
  <cellXfs count="397">
    <xf numFmtId="0" fontId="0" fillId="0" borderId="0" xfId="0"/>
    <xf numFmtId="0" fontId="3" fillId="3" borderId="0" xfId="1" applyFill="1"/>
    <xf numFmtId="0" fontId="3" fillId="2" borderId="0" xfId="1" applyFill="1"/>
    <xf numFmtId="0" fontId="7" fillId="3" borderId="0" xfId="1" applyFont="1" applyFill="1" applyAlignment="1" applyProtection="1">
      <alignment horizontal="left" vertical="center" wrapText="1"/>
      <protection locked="0"/>
    </xf>
    <xf numFmtId="0" fontId="8" fillId="3" borderId="0" xfId="1" applyFont="1" applyFill="1"/>
    <xf numFmtId="0" fontId="9" fillId="3" borderId="0" xfId="1" applyFont="1" applyFill="1" applyProtection="1">
      <protection locked="0"/>
    </xf>
    <xf numFmtId="1" fontId="9" fillId="3" borderId="0" xfId="1" applyNumberFormat="1" applyFont="1" applyFill="1"/>
    <xf numFmtId="0" fontId="3" fillId="0" borderId="0" xfId="1"/>
    <xf numFmtId="0" fontId="11" fillId="3" borderId="0" xfId="1" applyFont="1" applyFill="1"/>
    <xf numFmtId="0" fontId="3" fillId="3" borderId="1" xfId="1" applyFill="1" applyBorder="1"/>
    <xf numFmtId="0" fontId="3" fillId="3" borderId="2" xfId="1" applyFill="1" applyBorder="1"/>
    <xf numFmtId="0" fontId="12" fillId="3" borderId="3" xfId="1" applyFont="1" applyFill="1" applyBorder="1"/>
    <xf numFmtId="0" fontId="10" fillId="3" borderId="4" xfId="1" applyFont="1" applyFill="1" applyBorder="1"/>
    <xf numFmtId="0" fontId="10" fillId="3" borderId="0" xfId="1" applyFont="1" applyFill="1"/>
    <xf numFmtId="0" fontId="10" fillId="3" borderId="7" xfId="1" applyFont="1" applyFill="1" applyBorder="1"/>
    <xf numFmtId="0" fontId="10" fillId="3" borderId="8" xfId="1" applyFont="1" applyFill="1" applyBorder="1"/>
    <xf numFmtId="0" fontId="10" fillId="3" borderId="10" xfId="1" applyFont="1" applyFill="1" applyBorder="1" applyAlignment="1" applyProtection="1">
      <alignment horizontal="left"/>
      <protection locked="0"/>
    </xf>
    <xf numFmtId="0" fontId="12" fillId="3" borderId="0" xfId="1" applyFont="1" applyFill="1"/>
    <xf numFmtId="0" fontId="12" fillId="3" borderId="12" xfId="1" applyFont="1" applyFill="1" applyBorder="1" applyAlignment="1">
      <alignment horizontal="center"/>
    </xf>
    <xf numFmtId="0" fontId="12" fillId="3" borderId="15" xfId="1" applyFont="1" applyFill="1" applyBorder="1" applyAlignment="1">
      <alignment horizontal="center"/>
    </xf>
    <xf numFmtId="0" fontId="8" fillId="2" borderId="0" xfId="1" applyFont="1" applyFill="1"/>
    <xf numFmtId="0" fontId="14" fillId="3" borderId="0" xfId="1" applyFont="1" applyFill="1"/>
    <xf numFmtId="0" fontId="15" fillId="3" borderId="19" xfId="1" applyFont="1" applyFill="1" applyBorder="1" applyAlignment="1" applyProtection="1">
      <alignment horizontal="center"/>
      <protection locked="0"/>
    </xf>
    <xf numFmtId="0" fontId="14" fillId="2" borderId="0" xfId="1" applyFont="1" applyFill="1"/>
    <xf numFmtId="0" fontId="10" fillId="3" borderId="21" xfId="1" applyFont="1" applyFill="1" applyBorder="1" applyAlignment="1" applyProtection="1">
      <alignment horizontal="center"/>
      <protection locked="0"/>
    </xf>
    <xf numFmtId="0" fontId="10" fillId="3" borderId="0" xfId="1" quotePrefix="1" applyFont="1" applyFill="1" applyAlignment="1">
      <alignment horizontal="right"/>
    </xf>
    <xf numFmtId="0" fontId="12" fillId="3" borderId="0" xfId="1" quotePrefix="1" applyFont="1" applyFill="1" applyAlignment="1">
      <alignment horizontal="right"/>
    </xf>
    <xf numFmtId="0" fontId="10" fillId="3" borderId="0" xfId="1" quotePrefix="1" applyFont="1" applyFill="1"/>
    <xf numFmtId="0" fontId="10" fillId="3" borderId="1" xfId="1" applyFont="1" applyFill="1" applyBorder="1"/>
    <xf numFmtId="49" fontId="17" fillId="3" borderId="0" xfId="1" applyNumberFormat="1" applyFont="1" applyFill="1" applyAlignment="1" applyProtection="1">
      <alignment horizontal="left"/>
      <protection locked="0"/>
    </xf>
    <xf numFmtId="49" fontId="17" fillId="3" borderId="20" xfId="1" applyNumberFormat="1" applyFont="1" applyFill="1" applyBorder="1" applyAlignment="1" applyProtection="1">
      <alignment horizontal="left"/>
      <protection locked="0"/>
    </xf>
    <xf numFmtId="49" fontId="17" fillId="3" borderId="8" xfId="1" applyNumberFormat="1" applyFont="1" applyFill="1" applyBorder="1" applyAlignment="1" applyProtection="1">
      <alignment horizontal="left"/>
      <protection locked="0"/>
    </xf>
    <xf numFmtId="49" fontId="19" fillId="3" borderId="20" xfId="1" applyNumberFormat="1" applyFont="1" applyFill="1" applyBorder="1" applyAlignment="1" applyProtection="1">
      <alignment horizontal="left"/>
      <protection locked="0"/>
    </xf>
    <xf numFmtId="0" fontId="12" fillId="3" borderId="0" xfId="1" applyFont="1" applyFill="1" applyProtection="1">
      <protection locked="0"/>
    </xf>
    <xf numFmtId="49" fontId="12" fillId="3" borderId="0" xfId="1" applyNumberFormat="1" applyFont="1" applyFill="1" applyProtection="1">
      <protection locked="0"/>
    </xf>
    <xf numFmtId="17" fontId="12" fillId="3" borderId="0" xfId="1" applyNumberFormat="1" applyFont="1" applyFill="1" applyProtection="1">
      <protection locked="0"/>
    </xf>
    <xf numFmtId="0" fontId="17" fillId="3" borderId="0" xfId="1" applyFont="1" applyFill="1" applyAlignment="1" applyProtection="1">
      <alignment vertical="center" wrapText="1"/>
      <protection locked="0"/>
    </xf>
    <xf numFmtId="0" fontId="12" fillId="3" borderId="0" xfId="1" applyFont="1" applyFill="1" applyAlignment="1" applyProtection="1">
      <alignment vertical="center"/>
      <protection locked="0"/>
    </xf>
    <xf numFmtId="49" fontId="17" fillId="3" borderId="0" xfId="1" applyNumberFormat="1" applyFont="1" applyFill="1" applyProtection="1">
      <protection locked="0"/>
    </xf>
    <xf numFmtId="49" fontId="17" fillId="3" borderId="8" xfId="1" applyNumberFormat="1" applyFont="1" applyFill="1" applyBorder="1" applyProtection="1">
      <protection locked="0"/>
    </xf>
    <xf numFmtId="166" fontId="10" fillId="3" borderId="10" xfId="1" applyNumberFormat="1" applyFont="1" applyFill="1" applyBorder="1" applyAlignment="1" applyProtection="1">
      <alignment horizontal="left"/>
      <protection locked="0"/>
    </xf>
    <xf numFmtId="9" fontId="10" fillId="3" borderId="0" xfId="1" quotePrefix="1" applyNumberFormat="1" applyFont="1" applyFill="1" applyAlignment="1">
      <alignment horizontal="right"/>
    </xf>
    <xf numFmtId="0" fontId="25" fillId="0" borderId="0" xfId="0" applyFont="1"/>
    <xf numFmtId="49" fontId="10" fillId="3" borderId="23" xfId="1" applyNumberFormat="1" applyFont="1" applyFill="1" applyBorder="1" applyProtection="1">
      <protection locked="0"/>
    </xf>
    <xf numFmtId="49" fontId="10" fillId="3" borderId="24" xfId="1" applyNumberFormat="1" applyFont="1" applyFill="1" applyBorder="1" applyProtection="1">
      <protection locked="0"/>
    </xf>
    <xf numFmtId="0" fontId="12" fillId="3" borderId="11" xfId="1" applyFont="1" applyFill="1" applyBorder="1" applyProtection="1">
      <protection locked="0"/>
    </xf>
    <xf numFmtId="0" fontId="12" fillId="3" borderId="9" xfId="1" applyFont="1" applyFill="1" applyBorder="1" applyProtection="1">
      <protection locked="0"/>
    </xf>
    <xf numFmtId="0" fontId="10" fillId="3" borderId="22" xfId="1" applyFont="1" applyFill="1" applyBorder="1" applyProtection="1">
      <protection locked="0"/>
    </xf>
    <xf numFmtId="0" fontId="8" fillId="0" borderId="0" xfId="1" applyFont="1"/>
    <xf numFmtId="43" fontId="8" fillId="0" borderId="0" xfId="1" applyNumberFormat="1" applyFont="1"/>
    <xf numFmtId="0" fontId="21" fillId="17" borderId="0" xfId="0" applyFont="1" applyFill="1"/>
    <xf numFmtId="0" fontId="21" fillId="17" borderId="0" xfId="0" applyFont="1" applyFill="1" applyAlignment="1">
      <alignment horizontal="right" vertical="center"/>
    </xf>
    <xf numFmtId="0" fontId="50" fillId="17" borderId="0" xfId="0" applyFont="1" applyFill="1"/>
    <xf numFmtId="0" fontId="51" fillId="17" borderId="0" xfId="0" applyFont="1" applyFill="1" applyAlignment="1">
      <alignment horizontal="right" vertical="center"/>
    </xf>
    <xf numFmtId="0" fontId="21" fillId="17" borderId="0" xfId="0" applyFont="1" applyFill="1" applyAlignment="1">
      <alignment horizontal="left" vertical="center"/>
    </xf>
    <xf numFmtId="0" fontId="21" fillId="17" borderId="0" xfId="0" applyFont="1" applyFill="1" applyAlignment="1">
      <alignment horizontal="left"/>
    </xf>
    <xf numFmtId="0" fontId="21" fillId="17" borderId="43" xfId="0" applyFont="1" applyFill="1" applyBorder="1"/>
    <xf numFmtId="0" fontId="21" fillId="17" borderId="37" xfId="0" applyFont="1" applyFill="1" applyBorder="1" applyAlignment="1">
      <alignment horizontal="right" vertical="center"/>
    </xf>
    <xf numFmtId="0" fontId="21" fillId="17" borderId="37" xfId="0" applyFont="1" applyFill="1" applyBorder="1"/>
    <xf numFmtId="0" fontId="21" fillId="17" borderId="31" xfId="0" applyFont="1" applyFill="1" applyBorder="1"/>
    <xf numFmtId="0" fontId="21" fillId="17" borderId="34" xfId="0" applyFont="1" applyFill="1" applyBorder="1"/>
    <xf numFmtId="0" fontId="21" fillId="17" borderId="26" xfId="0" applyFont="1" applyFill="1" applyBorder="1"/>
    <xf numFmtId="0" fontId="21" fillId="17" borderId="38" xfId="0" applyFont="1" applyFill="1" applyBorder="1"/>
    <xf numFmtId="0" fontId="21" fillId="17" borderId="28" xfId="0" applyFont="1" applyFill="1" applyBorder="1" applyAlignment="1">
      <alignment horizontal="right" vertical="center"/>
    </xf>
    <xf numFmtId="0" fontId="21" fillId="17" borderId="28" xfId="0" applyFont="1" applyFill="1" applyBorder="1"/>
    <xf numFmtId="0" fontId="21" fillId="17" borderId="39" xfId="0" applyFont="1" applyFill="1" applyBorder="1"/>
    <xf numFmtId="0" fontId="49" fillId="17" borderId="25" xfId="0" applyFont="1" applyFill="1" applyBorder="1" applyAlignment="1">
      <alignment horizontal="center" vertical="center"/>
    </xf>
    <xf numFmtId="0" fontId="21" fillId="17" borderId="43" xfId="0" applyFont="1" applyFill="1" applyBorder="1" applyAlignment="1">
      <alignment horizontal="left" vertical="center"/>
    </xf>
    <xf numFmtId="0" fontId="21" fillId="17" borderId="37" xfId="0" applyFont="1" applyFill="1" applyBorder="1" applyAlignment="1">
      <alignment horizontal="left" vertical="center"/>
    </xf>
    <xf numFmtId="0" fontId="21" fillId="17" borderId="34" xfId="0" applyFont="1" applyFill="1" applyBorder="1" applyAlignment="1">
      <alignment horizontal="left" vertical="center"/>
    </xf>
    <xf numFmtId="0" fontId="21" fillId="17" borderId="38" xfId="0" applyFont="1" applyFill="1" applyBorder="1" applyAlignment="1">
      <alignment horizontal="left" vertical="center"/>
    </xf>
    <xf numFmtId="0" fontId="21" fillId="17" borderId="28" xfId="0" applyFont="1" applyFill="1" applyBorder="1" applyAlignment="1">
      <alignment horizontal="left"/>
    </xf>
    <xf numFmtId="0" fontId="21" fillId="17" borderId="28" xfId="0" applyFont="1" applyFill="1" applyBorder="1" applyAlignment="1">
      <alignment horizontal="left" vertical="center"/>
    </xf>
    <xf numFmtId="0" fontId="21" fillId="17" borderId="38" xfId="0" applyFont="1" applyFill="1" applyBorder="1" applyAlignment="1">
      <alignment horizontal="right" vertical="center"/>
    </xf>
    <xf numFmtId="0" fontId="54" fillId="17" borderId="28" xfId="0" applyFont="1" applyFill="1" applyBorder="1" applyAlignment="1">
      <alignment horizontal="left" vertical="center"/>
    </xf>
    <xf numFmtId="0" fontId="8" fillId="14" borderId="0" xfId="1" applyFont="1" applyFill="1"/>
    <xf numFmtId="0" fontId="0" fillId="14" borderId="0" xfId="0" applyFill="1"/>
    <xf numFmtId="0" fontId="14" fillId="14" borderId="0" xfId="1" applyFont="1" applyFill="1"/>
    <xf numFmtId="0" fontId="12" fillId="14" borderId="16" xfId="1" applyFont="1" applyFill="1" applyBorder="1" applyAlignment="1">
      <alignment horizontal="center"/>
    </xf>
    <xf numFmtId="0" fontId="8" fillId="7" borderId="32" xfId="1" applyFont="1" applyFill="1" applyBorder="1"/>
    <xf numFmtId="0" fontId="8" fillId="7" borderId="29" xfId="1" applyFont="1" applyFill="1" applyBorder="1"/>
    <xf numFmtId="0" fontId="8" fillId="7" borderId="33" xfId="1" applyFont="1" applyFill="1" applyBorder="1"/>
    <xf numFmtId="0" fontId="27" fillId="7" borderId="45" xfId="1" applyFont="1" applyFill="1" applyBorder="1"/>
    <xf numFmtId="0" fontId="27" fillId="7" borderId="46" xfId="1" applyFont="1" applyFill="1" applyBorder="1"/>
    <xf numFmtId="0" fontId="8" fillId="7" borderId="47" xfId="1" applyFont="1" applyFill="1" applyBorder="1"/>
    <xf numFmtId="0" fontId="8" fillId="7" borderId="48" xfId="1" applyFont="1" applyFill="1" applyBorder="1"/>
    <xf numFmtId="0" fontId="27" fillId="7" borderId="49" xfId="1" applyFont="1" applyFill="1" applyBorder="1"/>
    <xf numFmtId="0" fontId="8" fillId="7" borderId="50" xfId="1" applyFont="1" applyFill="1" applyBorder="1"/>
    <xf numFmtId="0" fontId="8" fillId="7" borderId="49" xfId="1" applyFont="1" applyFill="1" applyBorder="1"/>
    <xf numFmtId="0" fontId="27" fillId="7" borderId="51" xfId="1" applyFont="1" applyFill="1" applyBorder="1"/>
    <xf numFmtId="0" fontId="27" fillId="7" borderId="52" xfId="1" applyFont="1" applyFill="1" applyBorder="1"/>
    <xf numFmtId="0" fontId="27" fillId="7" borderId="50" xfId="1" applyFont="1" applyFill="1" applyBorder="1"/>
    <xf numFmtId="0" fontId="27" fillId="7" borderId="47" xfId="1" applyFont="1" applyFill="1" applyBorder="1"/>
    <xf numFmtId="0" fontId="27" fillId="7" borderId="48" xfId="1" applyFont="1" applyFill="1" applyBorder="1"/>
    <xf numFmtId="0" fontId="8" fillId="7" borderId="51" xfId="1" applyFont="1" applyFill="1" applyBorder="1"/>
    <xf numFmtId="0" fontId="8" fillId="7" borderId="52" xfId="1" applyFont="1" applyFill="1" applyBorder="1"/>
    <xf numFmtId="0" fontId="36" fillId="7" borderId="47" xfId="1" applyFont="1" applyFill="1" applyBorder="1"/>
    <xf numFmtId="0" fontId="27" fillId="7" borderId="33" xfId="1" applyFont="1" applyFill="1" applyBorder="1" applyAlignment="1">
      <alignment horizontal="left"/>
    </xf>
    <xf numFmtId="0" fontId="27" fillId="7" borderId="33" xfId="1" applyFont="1" applyFill="1" applyBorder="1" applyAlignment="1">
      <alignment horizontal="right"/>
    </xf>
    <xf numFmtId="165" fontId="8" fillId="7" borderId="53" xfId="1" applyNumberFormat="1" applyFont="1" applyFill="1" applyBorder="1"/>
    <xf numFmtId="165" fontId="26" fillId="7" borderId="54" xfId="1" applyNumberFormat="1" applyFont="1" applyFill="1" applyBorder="1"/>
    <xf numFmtId="0" fontId="8" fillId="7" borderId="55" xfId="1" applyFont="1" applyFill="1" applyBorder="1"/>
    <xf numFmtId="0" fontId="0" fillId="0" borderId="0" xfId="0" applyProtection="1">
      <protection hidden="1"/>
    </xf>
    <xf numFmtId="0" fontId="22" fillId="0" borderId="0" xfId="0" applyFont="1" applyProtection="1">
      <protection hidden="1"/>
    </xf>
    <xf numFmtId="0" fontId="20" fillId="0" borderId="0" xfId="0" applyFont="1" applyProtection="1">
      <protection hidden="1"/>
    </xf>
    <xf numFmtId="0" fontId="32" fillId="0" borderId="0" xfId="1" applyFont="1" applyAlignment="1" applyProtection="1">
      <alignment horizontal="center" vertical="center"/>
      <protection hidden="1"/>
    </xf>
    <xf numFmtId="0" fontId="32" fillId="0" borderId="0" xfId="1" applyFont="1" applyAlignment="1" applyProtection="1">
      <alignment horizontal="left" vertical="center"/>
      <protection hidden="1"/>
    </xf>
    <xf numFmtId="0" fontId="3" fillId="0" borderId="0" xfId="1" applyAlignment="1" applyProtection="1">
      <alignment horizontal="center"/>
      <protection hidden="1"/>
    </xf>
    <xf numFmtId="0" fontId="32" fillId="0" borderId="0" xfId="1" applyFont="1" applyAlignment="1" applyProtection="1">
      <alignment horizontal="center" vertical="center" wrapText="1"/>
      <protection hidden="1"/>
    </xf>
    <xf numFmtId="0" fontId="32" fillId="0" borderId="27" xfId="1" applyFont="1" applyBorder="1" applyAlignment="1" applyProtection="1">
      <alignment horizontal="center" vertical="center" wrapText="1"/>
      <protection hidden="1"/>
    </xf>
    <xf numFmtId="0" fontId="32" fillId="13" borderId="0" xfId="1" applyFont="1" applyFill="1" applyAlignment="1" applyProtection="1">
      <alignment horizontal="center" vertical="center"/>
      <protection hidden="1"/>
    </xf>
    <xf numFmtId="0" fontId="32" fillId="0" borderId="28" xfId="1" applyFont="1" applyBorder="1" applyAlignment="1" applyProtection="1">
      <alignment horizontal="center" vertical="center"/>
      <protection hidden="1"/>
    </xf>
    <xf numFmtId="0" fontId="3" fillId="14" borderId="0" xfId="1" applyFill="1" applyProtection="1">
      <protection hidden="1"/>
    </xf>
    <xf numFmtId="0" fontId="3" fillId="15" borderId="0" xfId="1" applyFill="1" applyAlignment="1" applyProtection="1">
      <alignment horizontal="right"/>
      <protection hidden="1"/>
    </xf>
    <xf numFmtId="0" fontId="3" fillId="14" borderId="0" xfId="1" applyFill="1" applyAlignment="1" applyProtection="1">
      <alignment horizontal="center"/>
      <protection hidden="1"/>
    </xf>
    <xf numFmtId="0" fontId="3" fillId="6" borderId="0" xfId="1" applyFill="1" applyAlignment="1" applyProtection="1">
      <alignment horizontal="right"/>
      <protection hidden="1"/>
    </xf>
    <xf numFmtId="168" fontId="22" fillId="14" borderId="0" xfId="1" applyNumberFormat="1" applyFont="1" applyFill="1" applyAlignment="1" applyProtection="1">
      <alignment wrapText="1"/>
      <protection hidden="1"/>
    </xf>
    <xf numFmtId="168" fontId="22" fillId="14" borderId="0" xfId="1" applyNumberFormat="1" applyFont="1" applyFill="1" applyAlignment="1" applyProtection="1">
      <alignment horizontal="center" wrapText="1"/>
      <protection hidden="1"/>
    </xf>
    <xf numFmtId="169" fontId="22" fillId="14" borderId="0" xfId="1" applyNumberFormat="1" applyFont="1" applyFill="1" applyAlignment="1" applyProtection="1">
      <alignment horizontal="center" vertical="center"/>
      <protection hidden="1"/>
    </xf>
    <xf numFmtId="0" fontId="39" fillId="14" borderId="0" xfId="1" applyFont="1" applyFill="1" applyProtection="1">
      <protection hidden="1"/>
    </xf>
    <xf numFmtId="0" fontId="22" fillId="14" borderId="0" xfId="1" applyFont="1" applyFill="1" applyProtection="1">
      <protection hidden="1"/>
    </xf>
    <xf numFmtId="0" fontId="22" fillId="14" borderId="0" xfId="1" applyFont="1" applyFill="1" applyAlignment="1" applyProtection="1">
      <alignment horizontal="center" vertical="center"/>
      <protection hidden="1"/>
    </xf>
    <xf numFmtId="0" fontId="40" fillId="14" borderId="0" xfId="1" applyFont="1" applyFill="1" applyProtection="1">
      <protection hidden="1"/>
    </xf>
    <xf numFmtId="0" fontId="32" fillId="14" borderId="0" xfId="1" applyFont="1" applyFill="1" applyAlignment="1" applyProtection="1">
      <alignment horizontal="center" vertical="center"/>
      <protection hidden="1"/>
    </xf>
    <xf numFmtId="0" fontId="32" fillId="14" borderId="0" xfId="1" applyFont="1" applyFill="1" applyProtection="1">
      <protection hidden="1"/>
    </xf>
    <xf numFmtId="0" fontId="32" fillId="14" borderId="0" xfId="1" applyFont="1" applyFill="1" applyAlignment="1" applyProtection="1">
      <alignment horizontal="center"/>
      <protection hidden="1"/>
    </xf>
    <xf numFmtId="0" fontId="41" fillId="14" borderId="0" xfId="1" applyFont="1" applyFill="1" applyAlignment="1" applyProtection="1">
      <alignment horizontal="center" vertical="center"/>
      <protection hidden="1"/>
    </xf>
    <xf numFmtId="0" fontId="32" fillId="6" borderId="29" xfId="1" applyFont="1" applyFill="1" applyBorder="1" applyProtection="1">
      <protection hidden="1"/>
    </xf>
    <xf numFmtId="0" fontId="32" fillId="6" borderId="29" xfId="1" applyFont="1" applyFill="1" applyBorder="1" applyAlignment="1" applyProtection="1">
      <alignment horizontal="center"/>
      <protection hidden="1"/>
    </xf>
    <xf numFmtId="0" fontId="32" fillId="6" borderId="29" xfId="1" applyFont="1" applyFill="1" applyBorder="1" applyAlignment="1" applyProtection="1">
      <alignment horizontal="center" vertical="center"/>
      <protection hidden="1"/>
    </xf>
    <xf numFmtId="0" fontId="22" fillId="16" borderId="30" xfId="1" applyFont="1" applyFill="1" applyBorder="1" applyAlignment="1" applyProtection="1">
      <alignment wrapText="1"/>
      <protection hidden="1"/>
    </xf>
    <xf numFmtId="0" fontId="32" fillId="6" borderId="30" xfId="1" applyFont="1" applyFill="1" applyBorder="1" applyAlignment="1" applyProtection="1">
      <alignment horizontal="center"/>
      <protection hidden="1"/>
    </xf>
    <xf numFmtId="0" fontId="32" fillId="6" borderId="31" xfId="1" applyFont="1" applyFill="1" applyBorder="1" applyAlignment="1" applyProtection="1">
      <alignment horizontal="center"/>
      <protection hidden="1"/>
    </xf>
    <xf numFmtId="0" fontId="22" fillId="6" borderId="29" xfId="1" applyFont="1" applyFill="1" applyBorder="1" applyAlignment="1" applyProtection="1">
      <alignment horizontal="center" wrapText="1"/>
      <protection hidden="1"/>
    </xf>
    <xf numFmtId="0" fontId="32" fillId="6" borderId="32" xfId="1" applyFont="1" applyFill="1" applyBorder="1" applyProtection="1">
      <protection hidden="1"/>
    </xf>
    <xf numFmtId="0" fontId="32" fillId="6" borderId="32" xfId="1" applyFont="1" applyFill="1" applyBorder="1" applyAlignment="1" applyProtection="1">
      <alignment horizontal="center"/>
      <protection hidden="1"/>
    </xf>
    <xf numFmtId="0" fontId="32" fillId="6" borderId="32" xfId="1" applyFont="1" applyFill="1" applyBorder="1" applyAlignment="1" applyProtection="1">
      <alignment horizontal="center" vertical="center"/>
      <protection hidden="1"/>
    </xf>
    <xf numFmtId="0" fontId="32" fillId="16" borderId="32" xfId="1" applyFont="1" applyFill="1" applyBorder="1" applyAlignment="1" applyProtection="1">
      <alignment horizontal="center" vertical="center" wrapText="1"/>
      <protection hidden="1"/>
    </xf>
    <xf numFmtId="0" fontId="3" fillId="6" borderId="32" xfId="1" applyFill="1" applyBorder="1" applyAlignment="1" applyProtection="1">
      <alignment horizontal="center"/>
      <protection hidden="1"/>
    </xf>
    <xf numFmtId="0" fontId="32" fillId="16" borderId="33" xfId="1" applyFont="1" applyFill="1" applyBorder="1" applyProtection="1">
      <protection hidden="1"/>
    </xf>
    <xf numFmtId="0" fontId="32" fillId="16" borderId="33" xfId="1" applyFont="1" applyFill="1" applyBorder="1" applyAlignment="1" applyProtection="1">
      <alignment horizontal="center" vertical="center"/>
      <protection hidden="1"/>
    </xf>
    <xf numFmtId="0" fontId="3" fillId="6" borderId="29" xfId="1" applyFill="1" applyBorder="1" applyProtection="1">
      <protection hidden="1"/>
    </xf>
    <xf numFmtId="0" fontId="30" fillId="6" borderId="33" xfId="1" applyFont="1" applyFill="1" applyBorder="1" applyAlignment="1" applyProtection="1">
      <alignment horizontal="center"/>
      <protection hidden="1"/>
    </xf>
    <xf numFmtId="0" fontId="32" fillId="6" borderId="33" xfId="1" applyFont="1" applyFill="1" applyBorder="1" applyAlignment="1" applyProtection="1">
      <alignment horizontal="center"/>
      <protection hidden="1"/>
    </xf>
    <xf numFmtId="0" fontId="3" fillId="6" borderId="33" xfId="1" applyFill="1" applyBorder="1" applyProtection="1">
      <protection hidden="1"/>
    </xf>
    <xf numFmtId="0" fontId="30" fillId="6" borderId="32" xfId="1" applyFont="1" applyFill="1" applyBorder="1" applyAlignment="1" applyProtection="1">
      <alignment horizontal="center"/>
      <protection hidden="1"/>
    </xf>
    <xf numFmtId="0" fontId="30" fillId="6" borderId="33" xfId="1" applyFont="1" applyFill="1" applyBorder="1" applyAlignment="1" applyProtection="1">
      <alignment horizontal="center" vertical="center"/>
      <protection hidden="1"/>
    </xf>
    <xf numFmtId="0" fontId="30" fillId="14" borderId="0" xfId="1" applyFont="1" applyFill="1" applyAlignment="1" applyProtection="1">
      <alignment horizontal="center"/>
      <protection hidden="1"/>
    </xf>
    <xf numFmtId="0" fontId="32" fillId="6" borderId="30" xfId="1" applyFont="1" applyFill="1" applyBorder="1" applyProtection="1">
      <protection hidden="1"/>
    </xf>
    <xf numFmtId="0" fontId="30" fillId="6" borderId="36" xfId="1" applyFont="1" applyFill="1" applyBorder="1" applyAlignment="1" applyProtection="1">
      <alignment horizontal="center" vertical="center"/>
      <protection hidden="1"/>
    </xf>
    <xf numFmtId="0" fontId="30" fillId="6" borderId="30" xfId="1" applyFont="1" applyFill="1" applyBorder="1" applyAlignment="1" applyProtection="1">
      <alignment horizontal="center" vertical="center"/>
      <protection hidden="1"/>
    </xf>
    <xf numFmtId="0" fontId="32" fillId="6" borderId="33" xfId="1" applyFont="1" applyFill="1" applyBorder="1" applyProtection="1">
      <protection hidden="1"/>
    </xf>
    <xf numFmtId="0" fontId="32" fillId="6" borderId="33" xfId="1" applyFont="1" applyFill="1" applyBorder="1" applyAlignment="1" applyProtection="1">
      <alignment horizontal="center" vertical="center"/>
      <protection hidden="1"/>
    </xf>
    <xf numFmtId="0" fontId="3" fillId="6" borderId="33" xfId="1" applyFill="1" applyBorder="1" applyAlignment="1" applyProtection="1">
      <alignment horizontal="center"/>
      <protection hidden="1"/>
    </xf>
    <xf numFmtId="0" fontId="32" fillId="6" borderId="34" xfId="1" applyFont="1" applyFill="1" applyBorder="1" applyAlignment="1" applyProtection="1">
      <alignment horizontal="center" vertical="center"/>
      <protection hidden="1"/>
    </xf>
    <xf numFmtId="0" fontId="30" fillId="6" borderId="34" xfId="1" applyFont="1" applyFill="1" applyBorder="1" applyAlignment="1" applyProtection="1">
      <alignment horizontal="center" vertical="center"/>
      <protection hidden="1"/>
    </xf>
    <xf numFmtId="0" fontId="32" fillId="6" borderId="29" xfId="1" applyFont="1" applyFill="1" applyBorder="1" applyAlignment="1" applyProtection="1">
      <alignment horizontal="center" vertical="center" wrapText="1"/>
      <protection hidden="1"/>
    </xf>
    <xf numFmtId="0" fontId="30" fillId="6" borderId="29" xfId="1" applyFont="1" applyFill="1" applyBorder="1" applyAlignment="1" applyProtection="1">
      <alignment horizontal="center"/>
      <protection hidden="1"/>
    </xf>
    <xf numFmtId="0" fontId="32" fillId="6" borderId="33" xfId="1" applyFont="1" applyFill="1" applyBorder="1" applyAlignment="1" applyProtection="1">
      <alignment horizontal="center" vertical="center" wrapText="1"/>
      <protection hidden="1"/>
    </xf>
    <xf numFmtId="0" fontId="32" fillId="6" borderId="32" xfId="1" applyFont="1" applyFill="1" applyBorder="1" applyAlignment="1" applyProtection="1">
      <alignment horizontal="center" vertical="center" wrapText="1"/>
      <protection hidden="1"/>
    </xf>
    <xf numFmtId="0" fontId="3" fillId="6" borderId="32" xfId="1" applyFill="1" applyBorder="1" applyProtection="1">
      <protection hidden="1"/>
    </xf>
    <xf numFmtId="0" fontId="32" fillId="6" borderId="33" xfId="1" applyFont="1" applyFill="1" applyBorder="1" applyAlignment="1" applyProtection="1">
      <alignment horizontal="center" wrapText="1"/>
      <protection hidden="1"/>
    </xf>
    <xf numFmtId="0" fontId="32" fillId="12" borderId="33" xfId="1" applyFont="1" applyFill="1" applyBorder="1" applyAlignment="1" applyProtection="1">
      <alignment horizontal="center" vertical="center"/>
      <protection hidden="1"/>
    </xf>
    <xf numFmtId="0" fontId="32" fillId="6" borderId="33" xfId="1" quotePrefix="1" applyFont="1" applyFill="1" applyBorder="1" applyAlignment="1" applyProtection="1">
      <alignment horizontal="center" wrapText="1"/>
      <protection hidden="1"/>
    </xf>
    <xf numFmtId="0" fontId="32" fillId="12" borderId="29" xfId="1" applyFont="1" applyFill="1" applyBorder="1" applyAlignment="1" applyProtection="1">
      <alignment horizontal="center" vertical="center"/>
      <protection hidden="1"/>
    </xf>
    <xf numFmtId="0" fontId="32" fillId="6" borderId="33" xfId="1" applyFont="1" applyFill="1" applyBorder="1" applyAlignment="1" applyProtection="1">
      <alignment horizontal="center" vertical="center" textRotation="255" shrinkToFit="1"/>
      <protection hidden="1"/>
    </xf>
    <xf numFmtId="0" fontId="32" fillId="6" borderId="29" xfId="1" applyFont="1" applyFill="1" applyBorder="1" applyAlignment="1" applyProtection="1">
      <alignment horizontal="center" vertical="center" textRotation="255" shrinkToFit="1"/>
      <protection hidden="1"/>
    </xf>
    <xf numFmtId="0" fontId="32" fillId="6" borderId="29" xfId="1" applyFont="1" applyFill="1" applyBorder="1" applyAlignment="1" applyProtection="1">
      <alignment horizontal="left" vertical="center" wrapText="1"/>
      <protection hidden="1"/>
    </xf>
    <xf numFmtId="0" fontId="32" fillId="14" borderId="0" xfId="1" applyFont="1" applyFill="1" applyAlignment="1" applyProtection="1">
      <alignment horizontal="center" vertical="center" wrapText="1"/>
      <protection hidden="1"/>
    </xf>
    <xf numFmtId="0" fontId="32" fillId="6" borderId="32" xfId="1" applyFont="1" applyFill="1" applyBorder="1" applyAlignment="1" applyProtection="1">
      <alignment horizontal="center" vertical="center" textRotation="255" shrinkToFit="1"/>
      <protection hidden="1"/>
    </xf>
    <xf numFmtId="0" fontId="32" fillId="6" borderId="32" xfId="1" applyFont="1" applyFill="1" applyBorder="1" applyAlignment="1" applyProtection="1">
      <alignment horizontal="left" vertical="center" wrapText="1"/>
      <protection hidden="1"/>
    </xf>
    <xf numFmtId="0" fontId="32" fillId="14" borderId="0" xfId="1" applyFont="1" applyFill="1" applyAlignment="1" applyProtection="1">
      <alignment horizontal="left" vertical="center" wrapText="1"/>
      <protection hidden="1"/>
    </xf>
    <xf numFmtId="0" fontId="32" fillId="16" borderId="29" xfId="1" applyFont="1" applyFill="1" applyBorder="1" applyAlignment="1" applyProtection="1">
      <alignment horizontal="center"/>
      <protection hidden="1"/>
    </xf>
    <xf numFmtId="49" fontId="32" fillId="16" borderId="29" xfId="1" applyNumberFormat="1" applyFont="1" applyFill="1" applyBorder="1" applyAlignment="1" applyProtection="1">
      <alignment horizontal="center"/>
      <protection hidden="1"/>
    </xf>
    <xf numFmtId="49" fontId="32" fillId="6" borderId="29" xfId="1" applyNumberFormat="1" applyFont="1" applyFill="1" applyBorder="1" applyAlignment="1" applyProtection="1">
      <alignment horizontal="center"/>
      <protection hidden="1"/>
    </xf>
    <xf numFmtId="0" fontId="32" fillId="16" borderId="33" xfId="1" applyFont="1" applyFill="1" applyBorder="1" applyAlignment="1" applyProtection="1">
      <alignment horizontal="center"/>
      <protection hidden="1"/>
    </xf>
    <xf numFmtId="0" fontId="32" fillId="6" borderId="29" xfId="1" applyFont="1" applyFill="1" applyBorder="1" applyAlignment="1" applyProtection="1">
      <alignment horizontal="left" vertical="center"/>
      <protection hidden="1"/>
    </xf>
    <xf numFmtId="0" fontId="32" fillId="16" borderId="29" xfId="1" applyFont="1" applyFill="1" applyBorder="1" applyAlignment="1" applyProtection="1">
      <alignment horizontal="center" vertical="center"/>
      <protection hidden="1"/>
    </xf>
    <xf numFmtId="0" fontId="32" fillId="6" borderId="33" xfId="1" applyFont="1" applyFill="1" applyBorder="1" applyAlignment="1" applyProtection="1">
      <alignment horizontal="left" vertical="center"/>
      <protection hidden="1"/>
    </xf>
    <xf numFmtId="0" fontId="22" fillId="16" borderId="33" xfId="1" applyFont="1" applyFill="1" applyBorder="1" applyProtection="1">
      <protection hidden="1"/>
    </xf>
    <xf numFmtId="0" fontId="32" fillId="16" borderId="29" xfId="1" applyFont="1" applyFill="1" applyBorder="1" applyAlignment="1" applyProtection="1">
      <alignment horizontal="center" vertical="center" wrapText="1"/>
      <protection hidden="1"/>
    </xf>
    <xf numFmtId="0" fontId="32" fillId="6" borderId="33" xfId="1" applyFont="1" applyFill="1" applyBorder="1" applyAlignment="1" applyProtection="1">
      <alignment horizontal="left" vertical="center" wrapText="1"/>
      <protection hidden="1"/>
    </xf>
    <xf numFmtId="0" fontId="32" fillId="16" borderId="33" xfId="1" applyFont="1" applyFill="1" applyBorder="1" applyAlignment="1" applyProtection="1">
      <alignment horizontal="center" vertical="center" wrapText="1"/>
      <protection hidden="1"/>
    </xf>
    <xf numFmtId="0" fontId="32" fillId="6" borderId="32" xfId="1" applyFont="1" applyFill="1" applyBorder="1" applyAlignment="1" applyProtection="1">
      <alignment horizontal="left" vertical="center"/>
      <protection hidden="1"/>
    </xf>
    <xf numFmtId="0" fontId="32" fillId="6" borderId="30" xfId="1" applyFont="1" applyFill="1" applyBorder="1" applyAlignment="1" applyProtection="1">
      <alignment horizontal="center" vertical="center"/>
      <protection hidden="1"/>
    </xf>
    <xf numFmtId="0" fontId="32" fillId="6" borderId="30" xfId="1" applyFont="1" applyFill="1" applyBorder="1" applyAlignment="1" applyProtection="1">
      <alignment horizontal="left" vertical="center"/>
      <protection hidden="1"/>
    </xf>
    <xf numFmtId="0" fontId="32" fillId="14" borderId="0" xfId="1" applyFont="1" applyFill="1" applyAlignment="1" applyProtection="1">
      <alignment horizontal="left" vertical="center"/>
      <protection hidden="1"/>
    </xf>
    <xf numFmtId="0" fontId="32" fillId="6" borderId="29" xfId="1" applyFont="1" applyFill="1" applyBorder="1" applyAlignment="1" applyProtection="1">
      <alignment vertical="center"/>
      <protection hidden="1"/>
    </xf>
    <xf numFmtId="0" fontId="32" fillId="6" borderId="33" xfId="1" applyFont="1" applyFill="1" applyBorder="1" applyAlignment="1" applyProtection="1">
      <alignment vertical="center"/>
      <protection hidden="1"/>
    </xf>
    <xf numFmtId="0" fontId="32" fillId="6" borderId="32" xfId="1" applyFont="1" applyFill="1" applyBorder="1" applyAlignment="1" applyProtection="1">
      <alignment vertical="center"/>
      <protection hidden="1"/>
    </xf>
    <xf numFmtId="0" fontId="32" fillId="14" borderId="34" xfId="1" applyFont="1" applyFill="1" applyBorder="1" applyAlignment="1" applyProtection="1">
      <alignment horizontal="center" vertical="center" wrapText="1"/>
      <protection hidden="1"/>
    </xf>
    <xf numFmtId="0" fontId="32" fillId="14" borderId="37" xfId="1" applyFont="1" applyFill="1" applyBorder="1" applyAlignment="1" applyProtection="1">
      <alignment horizontal="center" vertical="center"/>
      <protection hidden="1"/>
    </xf>
    <xf numFmtId="0" fontId="32" fillId="14" borderId="37" xfId="1" applyFont="1" applyFill="1" applyBorder="1" applyAlignment="1" applyProtection="1">
      <alignment horizontal="left" vertical="center" wrapText="1"/>
      <protection hidden="1"/>
    </xf>
    <xf numFmtId="0" fontId="32" fillId="14" borderId="37" xfId="1" applyFont="1" applyFill="1" applyBorder="1" applyAlignment="1" applyProtection="1">
      <alignment horizontal="center" vertical="center" wrapText="1"/>
      <protection hidden="1"/>
    </xf>
    <xf numFmtId="170" fontId="32" fillId="14" borderId="37" xfId="5" applyNumberFormat="1" applyFont="1" applyFill="1" applyBorder="1" applyAlignment="1" applyProtection="1">
      <alignment horizontal="center" vertical="center" wrapText="1"/>
      <protection hidden="1"/>
    </xf>
    <xf numFmtId="0" fontId="30" fillId="6" borderId="30" xfId="1" applyFont="1" applyFill="1" applyBorder="1" applyAlignment="1" applyProtection="1">
      <alignment wrapText="1"/>
      <protection hidden="1"/>
    </xf>
    <xf numFmtId="0" fontId="32" fillId="14" borderId="30" xfId="1" applyFont="1" applyFill="1" applyBorder="1" applyAlignment="1" applyProtection="1">
      <alignment horizontal="center" vertical="center"/>
      <protection hidden="1"/>
    </xf>
    <xf numFmtId="0" fontId="32" fillId="14" borderId="38" xfId="1" applyFont="1" applyFill="1" applyBorder="1" applyAlignment="1" applyProtection="1">
      <alignment horizontal="center" vertical="center"/>
      <protection hidden="1"/>
    </xf>
    <xf numFmtId="0" fontId="32" fillId="14" borderId="28" xfId="1" applyFont="1" applyFill="1" applyBorder="1" applyAlignment="1" applyProtection="1">
      <alignment horizontal="center" vertical="center"/>
      <protection hidden="1"/>
    </xf>
    <xf numFmtId="0" fontId="32" fillId="14" borderId="28" xfId="1" applyFont="1" applyFill="1" applyBorder="1" applyProtection="1">
      <protection hidden="1"/>
    </xf>
    <xf numFmtId="0" fontId="32" fillId="14" borderId="28" xfId="1" applyFont="1" applyFill="1" applyBorder="1" applyAlignment="1" applyProtection="1">
      <alignment horizontal="center"/>
      <protection hidden="1"/>
    </xf>
    <xf numFmtId="0" fontId="32" fillId="14" borderId="39" xfId="1" applyFont="1" applyFill="1" applyBorder="1" applyAlignment="1" applyProtection="1">
      <alignment horizontal="center"/>
      <protection hidden="1"/>
    </xf>
    <xf numFmtId="49" fontId="32" fillId="14" borderId="0" xfId="1" applyNumberFormat="1" applyFont="1" applyFill="1" applyAlignment="1" applyProtection="1">
      <alignment horizontal="center" vertical="center"/>
      <protection hidden="1"/>
    </xf>
    <xf numFmtId="49" fontId="32" fillId="14" borderId="0" xfId="1" applyNumberFormat="1" applyFont="1" applyFill="1" applyProtection="1">
      <protection hidden="1"/>
    </xf>
    <xf numFmtId="0" fontId="32" fillId="14" borderId="34" xfId="1" applyFont="1" applyFill="1" applyBorder="1" applyAlignment="1" applyProtection="1">
      <alignment horizontal="center" vertical="center"/>
      <protection hidden="1"/>
    </xf>
    <xf numFmtId="0" fontId="22" fillId="0" borderId="0" xfId="0" applyFont="1" applyAlignment="1" applyProtection="1">
      <alignment horizontal="center" vertical="center" wrapText="1"/>
      <protection hidden="1"/>
    </xf>
    <xf numFmtId="0" fontId="22" fillId="0" borderId="0" xfId="0" applyFont="1" applyAlignment="1" applyProtection="1">
      <alignment vertical="center" wrapText="1"/>
      <protection locked="0"/>
    </xf>
    <xf numFmtId="0" fontId="22" fillId="0" borderId="0" xfId="0" applyFont="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Protection="1">
      <protection locked="0"/>
    </xf>
    <xf numFmtId="0" fontId="22" fillId="0" borderId="0" xfId="0" quotePrefix="1" applyFont="1" applyAlignment="1" applyProtection="1">
      <alignment horizontal="center" vertical="center" wrapText="1"/>
      <protection locked="0"/>
    </xf>
    <xf numFmtId="0" fontId="29" fillId="0" borderId="0" xfId="3" applyAlignment="1" applyProtection="1">
      <alignment horizontal="left" vertical="center"/>
      <protection locked="0"/>
    </xf>
    <xf numFmtId="0" fontId="0" fillId="0" borderId="0" xfId="0" applyAlignment="1" applyProtection="1">
      <alignment vertical="center"/>
      <protection locked="0"/>
    </xf>
    <xf numFmtId="0" fontId="33" fillId="0" borderId="0" xfId="0" applyFont="1" applyProtection="1">
      <protection locked="0"/>
    </xf>
    <xf numFmtId="0" fontId="34" fillId="0" borderId="0" xfId="0" applyFont="1" applyAlignment="1" applyProtection="1">
      <alignment vertical="center" wrapText="1"/>
      <protection locked="0"/>
    </xf>
    <xf numFmtId="0" fontId="34" fillId="0" borderId="0" xfId="0" applyFont="1" applyAlignment="1" applyProtection="1">
      <alignment horizontal="center" vertical="center" wrapText="1"/>
      <protection locked="0"/>
    </xf>
    <xf numFmtId="0" fontId="34" fillId="0" borderId="0" xfId="0" quotePrefix="1" applyFont="1" applyAlignment="1" applyProtection="1">
      <alignment horizontal="center" vertical="center" wrapText="1"/>
      <protection locked="0"/>
    </xf>
    <xf numFmtId="0" fontId="22" fillId="0" borderId="0" xfId="0" applyFont="1" applyAlignment="1" applyProtection="1">
      <alignment horizontal="left" vertical="center" wrapText="1"/>
      <protection locked="0"/>
    </xf>
    <xf numFmtId="0" fontId="33" fillId="0" borderId="0" xfId="0" applyFont="1" applyAlignment="1" applyProtection="1">
      <alignment horizontal="left" vertical="center"/>
      <protection locked="0"/>
    </xf>
    <xf numFmtId="0" fontId="29" fillId="0" borderId="0" xfId="3" applyProtection="1">
      <protection locked="0"/>
    </xf>
    <xf numFmtId="0" fontId="38" fillId="0" borderId="0" xfId="0" quotePrefix="1" applyFont="1" applyProtection="1">
      <protection locked="0"/>
    </xf>
    <xf numFmtId="0" fontId="21" fillId="0" borderId="0" xfId="0" applyFont="1" applyAlignment="1" applyProtection="1">
      <alignment vertical="center" wrapText="1"/>
      <protection locked="0"/>
    </xf>
    <xf numFmtId="0" fontId="21" fillId="0" borderId="0" xfId="0" applyFont="1" applyAlignment="1" applyProtection="1">
      <alignment horizontal="center" vertical="center" wrapText="1"/>
      <protection locked="0"/>
    </xf>
    <xf numFmtId="0" fontId="21" fillId="0" borderId="0" xfId="0" quotePrefix="1" applyFont="1" applyAlignment="1" applyProtection="1">
      <alignment horizontal="center" vertical="center" wrapText="1"/>
      <protection locked="0"/>
    </xf>
    <xf numFmtId="2" fontId="22" fillId="0" borderId="0" xfId="0" applyNumberFormat="1" applyFont="1" applyProtection="1">
      <protection hidden="1"/>
    </xf>
    <xf numFmtId="0" fontId="22" fillId="0" borderId="0" xfId="0" applyFont="1" applyAlignment="1" applyProtection="1">
      <alignment horizontal="right"/>
      <protection hidden="1"/>
    </xf>
    <xf numFmtId="0" fontId="22" fillId="0" borderId="0" xfId="0" applyFont="1" applyAlignment="1" applyProtection="1">
      <alignment horizontal="left"/>
      <protection hidden="1"/>
    </xf>
    <xf numFmtId="0" fontId="22" fillId="0" borderId="0" xfId="0" applyFont="1" applyAlignment="1" applyProtection="1">
      <alignment horizontal="center" vertical="center"/>
      <protection hidden="1"/>
    </xf>
    <xf numFmtId="0" fontId="23" fillId="0" borderId="0" xfId="0" applyFont="1" applyProtection="1">
      <protection hidden="1"/>
    </xf>
    <xf numFmtId="2" fontId="30" fillId="0" borderId="0" xfId="0" applyNumberFormat="1" applyFont="1" applyProtection="1">
      <protection hidden="1"/>
    </xf>
    <xf numFmtId="2" fontId="20" fillId="0" borderId="0" xfId="0" applyNumberFormat="1" applyFont="1" applyProtection="1">
      <protection hidden="1"/>
    </xf>
    <xf numFmtId="1" fontId="22" fillId="0" borderId="0" xfId="0" applyNumberFormat="1" applyFont="1" applyProtection="1">
      <protection hidden="1"/>
    </xf>
    <xf numFmtId="0" fontId="37" fillId="12" borderId="0" xfId="0" applyFont="1" applyFill="1" applyProtection="1">
      <protection hidden="1"/>
    </xf>
    <xf numFmtId="2" fontId="20" fillId="12" borderId="0" xfId="0" applyNumberFormat="1" applyFont="1" applyFill="1" applyProtection="1">
      <protection hidden="1"/>
    </xf>
    <xf numFmtId="2" fontId="22" fillId="12" borderId="0" xfId="0" applyNumberFormat="1" applyFont="1" applyFill="1" applyProtection="1">
      <protection hidden="1"/>
    </xf>
    <xf numFmtId="0" fontId="22" fillId="12" borderId="0" xfId="0" applyFont="1" applyFill="1" applyProtection="1">
      <protection hidden="1"/>
    </xf>
    <xf numFmtId="2" fontId="22" fillId="0" borderId="0" xfId="0" quotePrefix="1" applyNumberFormat="1" applyFont="1" applyProtection="1">
      <protection hidden="1"/>
    </xf>
    <xf numFmtId="0" fontId="22" fillId="7" borderId="0" xfId="0" applyFont="1" applyFill="1" applyProtection="1">
      <protection hidden="1"/>
    </xf>
    <xf numFmtId="2" fontId="22" fillId="7" borderId="0" xfId="0" applyNumberFormat="1" applyFont="1" applyFill="1" applyProtection="1">
      <protection hidden="1"/>
    </xf>
    <xf numFmtId="0" fontId="34" fillId="0" borderId="0" xfId="0" applyFont="1" applyProtection="1">
      <protection hidden="1"/>
    </xf>
    <xf numFmtId="0" fontId="47" fillId="0" borderId="0" xfId="0" applyFont="1" applyAlignment="1" applyProtection="1">
      <alignment horizontal="left"/>
      <protection hidden="1"/>
    </xf>
    <xf numFmtId="17" fontId="22" fillId="0" borderId="0" xfId="0" quotePrefix="1" applyNumberFormat="1" applyFont="1" applyProtection="1">
      <protection hidden="1"/>
    </xf>
    <xf numFmtId="0" fontId="22" fillId="0" borderId="0" xfId="0" quotePrefix="1" applyFont="1" applyProtection="1">
      <protection hidden="1"/>
    </xf>
    <xf numFmtId="0" fontId="22" fillId="7" borderId="0" xfId="0" applyFont="1" applyFill="1" applyAlignment="1" applyProtection="1">
      <alignment horizontal="left"/>
      <protection hidden="1"/>
    </xf>
    <xf numFmtId="0" fontId="22" fillId="9" borderId="0" xfId="0" applyFont="1" applyFill="1" applyAlignment="1" applyProtection="1">
      <alignment horizontal="left"/>
      <protection hidden="1"/>
    </xf>
    <xf numFmtId="2" fontId="22" fillId="9" borderId="0" xfId="0" applyNumberFormat="1" applyFont="1" applyFill="1" applyProtection="1">
      <protection hidden="1"/>
    </xf>
    <xf numFmtId="0" fontId="37" fillId="12" borderId="0" xfId="0" applyFont="1" applyFill="1" applyAlignment="1" applyProtection="1">
      <alignment horizontal="left"/>
      <protection hidden="1"/>
    </xf>
    <xf numFmtId="0" fontId="22" fillId="0" borderId="0" xfId="0" applyFont="1" applyAlignment="1" applyProtection="1">
      <alignment wrapText="1"/>
      <protection hidden="1"/>
    </xf>
    <xf numFmtId="0" fontId="22" fillId="8" borderId="0" xfId="0" applyFont="1" applyFill="1" applyAlignment="1" applyProtection="1">
      <alignment horizontal="left"/>
      <protection hidden="1"/>
    </xf>
    <xf numFmtId="2" fontId="22" fillId="8" borderId="0" xfId="0" applyNumberFormat="1" applyFont="1" applyFill="1" applyProtection="1">
      <protection hidden="1"/>
    </xf>
    <xf numFmtId="0" fontId="22" fillId="8" borderId="0" xfId="0" applyFont="1" applyFill="1" applyProtection="1">
      <protection hidden="1"/>
    </xf>
    <xf numFmtId="0" fontId="22" fillId="9" borderId="0" xfId="0" applyFont="1" applyFill="1" applyProtection="1">
      <protection hidden="1"/>
    </xf>
    <xf numFmtId="2" fontId="22" fillId="12" borderId="0" xfId="0" applyNumberFormat="1" applyFont="1" applyFill="1" applyAlignment="1" applyProtection="1">
      <alignment horizontal="right"/>
      <protection hidden="1"/>
    </xf>
    <xf numFmtId="0" fontId="22" fillId="6" borderId="0" xfId="0" applyFont="1" applyFill="1" applyProtection="1">
      <protection hidden="1"/>
    </xf>
    <xf numFmtId="2" fontId="22" fillId="6" borderId="0" xfId="0" applyNumberFormat="1" applyFont="1" applyFill="1" applyAlignment="1" applyProtection="1">
      <alignment horizontal="right"/>
      <protection hidden="1"/>
    </xf>
    <xf numFmtId="2" fontId="22" fillId="6" borderId="0" xfId="0" applyNumberFormat="1" applyFont="1" applyFill="1" applyProtection="1">
      <protection hidden="1"/>
    </xf>
    <xf numFmtId="2" fontId="22" fillId="0" borderId="0" xfId="0" applyNumberFormat="1" applyFont="1" applyAlignment="1" applyProtection="1">
      <alignment horizontal="right"/>
      <protection hidden="1"/>
    </xf>
    <xf numFmtId="0" fontId="22" fillId="6" borderId="0" xfId="0" applyFont="1" applyFill="1" applyAlignment="1" applyProtection="1">
      <alignment horizontal="left"/>
      <protection hidden="1"/>
    </xf>
    <xf numFmtId="2" fontId="22" fillId="9" borderId="0" xfId="0" applyNumberFormat="1" applyFont="1" applyFill="1" applyAlignment="1" applyProtection="1">
      <alignment horizontal="right"/>
      <protection hidden="1"/>
    </xf>
    <xf numFmtId="0" fontId="22" fillId="5" borderId="0" xfId="0" applyFont="1" applyFill="1" applyProtection="1">
      <protection hidden="1"/>
    </xf>
    <xf numFmtId="2" fontId="22" fillId="5" borderId="0" xfId="0" applyNumberFormat="1" applyFont="1" applyFill="1" applyProtection="1">
      <protection hidden="1"/>
    </xf>
    <xf numFmtId="2" fontId="22" fillId="8" borderId="0" xfId="0" applyNumberFormat="1" applyFont="1" applyFill="1" applyAlignment="1" applyProtection="1">
      <alignment horizontal="right"/>
      <protection hidden="1"/>
    </xf>
    <xf numFmtId="0" fontId="22" fillId="10" borderId="0" xfId="0" applyFont="1" applyFill="1" applyProtection="1">
      <protection hidden="1"/>
    </xf>
    <xf numFmtId="2" fontId="22" fillId="10" borderId="0" xfId="0" applyNumberFormat="1" applyFont="1" applyFill="1" applyProtection="1">
      <protection hidden="1"/>
    </xf>
    <xf numFmtId="2" fontId="22" fillId="7" borderId="0" xfId="0" applyNumberFormat="1" applyFont="1" applyFill="1" applyAlignment="1" applyProtection="1">
      <alignment horizontal="right"/>
      <protection hidden="1"/>
    </xf>
    <xf numFmtId="0" fontId="22" fillId="11" borderId="0" xfId="0" applyFont="1" applyFill="1" applyProtection="1">
      <protection hidden="1"/>
    </xf>
    <xf numFmtId="2" fontId="22" fillId="11" borderId="0" xfId="0" applyNumberFormat="1" applyFont="1" applyFill="1" applyProtection="1">
      <protection hidden="1"/>
    </xf>
    <xf numFmtId="2" fontId="32" fillId="7" borderId="0" xfId="0" applyNumberFormat="1" applyFont="1" applyFill="1" applyProtection="1">
      <protection hidden="1"/>
    </xf>
    <xf numFmtId="2" fontId="22" fillId="8" borderId="0" xfId="0" quotePrefix="1" applyNumberFormat="1" applyFont="1" applyFill="1" applyProtection="1">
      <protection hidden="1"/>
    </xf>
    <xf numFmtId="0" fontId="48" fillId="0" borderId="0" xfId="0" applyFont="1" applyProtection="1">
      <protection hidden="1"/>
    </xf>
    <xf numFmtId="0" fontId="22" fillId="0" borderId="0" xfId="0" applyFont="1" applyAlignment="1" applyProtection="1">
      <alignment horizontal="center"/>
      <protection locked="0"/>
    </xf>
    <xf numFmtId="0" fontId="53" fillId="0" borderId="0" xfId="0" applyFont="1" applyAlignment="1" applyProtection="1">
      <alignment horizontal="center"/>
      <protection locked="0"/>
    </xf>
    <xf numFmtId="4" fontId="52" fillId="17" borderId="0" xfId="0" applyNumberFormat="1" applyFont="1" applyFill="1" applyAlignment="1" applyProtection="1">
      <alignment horizontal="left" vertical="center"/>
      <protection hidden="1"/>
    </xf>
    <xf numFmtId="0" fontId="21" fillId="17" borderId="0" xfId="0" applyFont="1" applyFill="1" applyProtection="1">
      <protection hidden="1"/>
    </xf>
    <xf numFmtId="0" fontId="21" fillId="18" borderId="30" xfId="0" applyFont="1" applyFill="1" applyBorder="1" applyAlignment="1" applyProtection="1">
      <alignment horizontal="left" vertical="center"/>
      <protection locked="0"/>
    </xf>
    <xf numFmtId="0" fontId="21" fillId="18" borderId="30" xfId="0" applyFont="1" applyFill="1" applyBorder="1" applyAlignment="1" applyProtection="1">
      <alignment horizontal="left"/>
      <protection locked="0"/>
    </xf>
    <xf numFmtId="0" fontId="21" fillId="0" borderId="30" xfId="0" applyFont="1" applyBorder="1" applyAlignment="1" applyProtection="1">
      <alignment horizontal="left" vertical="center"/>
      <protection locked="0"/>
    </xf>
    <xf numFmtId="0" fontId="21" fillId="17" borderId="30" xfId="0" applyFont="1" applyFill="1" applyBorder="1" applyAlignment="1" applyProtection="1">
      <alignment horizontal="left" vertical="center"/>
      <protection locked="0"/>
    </xf>
    <xf numFmtId="43" fontId="12" fillId="14" borderId="19" xfId="2" applyNumberFormat="1" applyFont="1" applyFill="1" applyBorder="1" applyProtection="1">
      <protection hidden="1"/>
    </xf>
    <xf numFmtId="0" fontId="2" fillId="0" borderId="20" xfId="0" applyFont="1" applyBorder="1" applyAlignment="1" applyProtection="1">
      <alignment horizontal="left"/>
      <protection hidden="1"/>
    </xf>
    <xf numFmtId="0" fontId="25" fillId="0" borderId="0" xfId="0" applyFont="1" applyProtection="1">
      <protection hidden="1"/>
    </xf>
    <xf numFmtId="0" fontId="31" fillId="0" borderId="0" xfId="0" applyFont="1" applyProtection="1">
      <protection hidden="1"/>
    </xf>
    <xf numFmtId="43" fontId="10" fillId="3" borderId="8" xfId="2" applyNumberFormat="1" applyFont="1" applyFill="1" applyBorder="1" applyProtection="1">
      <protection hidden="1"/>
    </xf>
    <xf numFmtId="0" fontId="1" fillId="0" borderId="0" xfId="0" applyFont="1" applyProtection="1">
      <protection hidden="1"/>
    </xf>
    <xf numFmtId="0" fontId="25" fillId="0" borderId="0" xfId="0" applyFont="1" applyAlignment="1" applyProtection="1">
      <alignment horizontal="left"/>
      <protection hidden="1"/>
    </xf>
    <xf numFmtId="43" fontId="10" fillId="3" borderId="19" xfId="2" applyNumberFormat="1" applyFont="1" applyFill="1" applyBorder="1" applyProtection="1">
      <protection locked="0" hidden="1"/>
    </xf>
    <xf numFmtId="43" fontId="15" fillId="3" borderId="19" xfId="2" applyNumberFormat="1" applyFont="1" applyFill="1" applyBorder="1" applyProtection="1">
      <protection locked="0" hidden="1"/>
    </xf>
    <xf numFmtId="164" fontId="10" fillId="3" borderId="21" xfId="2" applyFont="1" applyFill="1" applyBorder="1" applyProtection="1">
      <protection locked="0" hidden="1"/>
    </xf>
    <xf numFmtId="4" fontId="16" fillId="3" borderId="15" xfId="2" applyNumberFormat="1" applyFont="1" applyFill="1" applyBorder="1" applyProtection="1">
      <protection hidden="1"/>
    </xf>
    <xf numFmtId="4" fontId="28" fillId="3" borderId="15" xfId="2" applyNumberFormat="1" applyFont="1" applyFill="1" applyBorder="1" applyAlignment="1" applyProtection="1">
      <alignment horizontal="right"/>
      <protection hidden="1"/>
    </xf>
    <xf numFmtId="0" fontId="27" fillId="7" borderId="29" xfId="1" applyFont="1" applyFill="1" applyBorder="1" applyProtection="1">
      <protection hidden="1"/>
    </xf>
    <xf numFmtId="0" fontId="27" fillId="7" borderId="33" xfId="1" applyFont="1" applyFill="1" applyBorder="1" applyProtection="1">
      <protection hidden="1"/>
    </xf>
    <xf numFmtId="0" fontId="27" fillId="7" borderId="32" xfId="1" applyFont="1" applyFill="1" applyBorder="1" applyProtection="1">
      <protection hidden="1"/>
    </xf>
    <xf numFmtId="0" fontId="7" fillId="0" borderId="0" xfId="1" applyFont="1" applyProtection="1">
      <protection locked="0"/>
    </xf>
    <xf numFmtId="0" fontId="12" fillId="3" borderId="20" xfId="1" applyFont="1" applyFill="1" applyBorder="1" applyAlignment="1" applyProtection="1">
      <alignment horizontal="center"/>
      <protection locked="0" hidden="1"/>
    </xf>
    <xf numFmtId="0" fontId="12" fillId="3" borderId="20" xfId="1" applyFont="1" applyFill="1" applyBorder="1" applyAlignment="1" applyProtection="1">
      <alignment horizontal="center"/>
      <protection locked="0"/>
    </xf>
    <xf numFmtId="0" fontId="27" fillId="7" borderId="33" xfId="1" applyFont="1" applyFill="1" applyBorder="1" applyProtection="1">
      <protection locked="0"/>
    </xf>
    <xf numFmtId="0" fontId="27" fillId="7" borderId="49" xfId="1" applyFont="1" applyFill="1" applyBorder="1" applyProtection="1">
      <protection locked="0"/>
    </xf>
    <xf numFmtId="0" fontId="8" fillId="0" borderId="50" xfId="1" applyFont="1" applyBorder="1" applyProtection="1">
      <protection locked="0"/>
    </xf>
    <xf numFmtId="0" fontId="8" fillId="0" borderId="56" xfId="1" applyFont="1" applyBorder="1" applyProtection="1">
      <protection locked="0"/>
    </xf>
    <xf numFmtId="0" fontId="10" fillId="3" borderId="5" xfId="1" applyFont="1" applyFill="1" applyBorder="1"/>
    <xf numFmtId="0" fontId="10" fillId="3" borderId="6" xfId="1" applyFont="1" applyFill="1" applyBorder="1"/>
    <xf numFmtId="49" fontId="12" fillId="3" borderId="9" xfId="1" applyNumberFormat="1" applyFont="1" applyFill="1" applyBorder="1"/>
    <xf numFmtId="0" fontId="12" fillId="3" borderId="11" xfId="1" applyFont="1" applyFill="1" applyBorder="1"/>
    <xf numFmtId="0" fontId="12" fillId="3" borderId="9" xfId="1" applyFont="1" applyFill="1" applyBorder="1"/>
    <xf numFmtId="0" fontId="21" fillId="17" borderId="0" xfId="0" applyFont="1" applyFill="1" applyAlignment="1">
      <alignment horizontal="right"/>
    </xf>
    <xf numFmtId="0" fontId="21" fillId="17" borderId="0" xfId="0" applyFont="1" applyFill="1" applyAlignment="1">
      <alignment horizontal="center"/>
    </xf>
    <xf numFmtId="0" fontId="21" fillId="19" borderId="30" xfId="0" applyFont="1" applyFill="1" applyBorder="1" applyAlignment="1" applyProtection="1">
      <alignment horizontal="left" vertical="center"/>
      <protection locked="0"/>
    </xf>
    <xf numFmtId="0" fontId="55" fillId="18" borderId="44" xfId="0" applyFont="1" applyFill="1" applyBorder="1" applyProtection="1">
      <protection hidden="1"/>
    </xf>
    <xf numFmtId="2" fontId="0" fillId="0" borderId="0" xfId="0" applyNumberFormat="1" applyProtection="1">
      <protection locked="0"/>
    </xf>
    <xf numFmtId="16" fontId="0" fillId="0" borderId="0" xfId="0" quotePrefix="1" applyNumberFormat="1" applyProtection="1">
      <protection locked="0"/>
    </xf>
    <xf numFmtId="0" fontId="0" fillId="0" borderId="0" xfId="0" quotePrefix="1" applyProtection="1">
      <protection locked="0"/>
    </xf>
    <xf numFmtId="0" fontId="0" fillId="0" borderId="0" xfId="0" applyAlignment="1" applyProtection="1">
      <alignment wrapText="1"/>
      <protection locked="0"/>
    </xf>
    <xf numFmtId="0" fontId="22" fillId="0" borderId="0" xfId="0" quotePrefix="1" applyFont="1" applyAlignment="1" applyProtection="1">
      <alignment horizontal="right"/>
      <protection hidden="1"/>
    </xf>
    <xf numFmtId="0" fontId="21" fillId="17" borderId="26" xfId="0" applyFont="1" applyFill="1" applyBorder="1" applyAlignment="1">
      <alignment horizontal="left"/>
    </xf>
    <xf numFmtId="0" fontId="21" fillId="0" borderId="30" xfId="0" applyFont="1" applyBorder="1" applyProtection="1">
      <protection locked="0"/>
    </xf>
    <xf numFmtId="0" fontId="21" fillId="18" borderId="30" xfId="0" applyFont="1" applyFill="1" applyBorder="1" applyAlignment="1" applyProtection="1">
      <alignment horizontal="center"/>
      <protection locked="0"/>
    </xf>
    <xf numFmtId="0" fontId="21" fillId="19" borderId="57" xfId="0" applyFont="1" applyFill="1" applyBorder="1" applyAlignment="1" applyProtection="1">
      <alignment horizontal="left" vertical="center"/>
      <protection locked="0"/>
    </xf>
    <xf numFmtId="0" fontId="21" fillId="0" borderId="57" xfId="0" applyFont="1" applyBorder="1" applyAlignment="1" applyProtection="1">
      <alignment horizontal="left" vertical="center"/>
      <protection locked="0"/>
    </xf>
    <xf numFmtId="2" fontId="32" fillId="0" borderId="0" xfId="0" applyNumberFormat="1" applyFont="1" applyProtection="1">
      <protection hidden="1"/>
    </xf>
    <xf numFmtId="2" fontId="32" fillId="12" borderId="0" xfId="0" applyNumberFormat="1" applyFont="1" applyFill="1" applyProtection="1">
      <protection hidden="1"/>
    </xf>
    <xf numFmtId="2" fontId="32" fillId="8" borderId="0" xfId="0" applyNumberFormat="1" applyFont="1" applyFill="1" applyProtection="1">
      <protection hidden="1"/>
    </xf>
    <xf numFmtId="2" fontId="32" fillId="12" borderId="0" xfId="0" applyNumberFormat="1" applyFont="1" applyFill="1" applyAlignment="1" applyProtection="1">
      <alignment horizontal="right"/>
      <protection hidden="1"/>
    </xf>
    <xf numFmtId="2" fontId="32" fillId="6" borderId="0" xfId="0" applyNumberFormat="1" applyFont="1" applyFill="1" applyAlignment="1" applyProtection="1">
      <alignment horizontal="right"/>
      <protection hidden="1"/>
    </xf>
    <xf numFmtId="2" fontId="32" fillId="0" borderId="0" xfId="0" applyNumberFormat="1" applyFont="1" applyAlignment="1" applyProtection="1">
      <alignment horizontal="right"/>
      <protection hidden="1"/>
    </xf>
    <xf numFmtId="2" fontId="32" fillId="6" borderId="0" xfId="0" applyNumberFormat="1" applyFont="1" applyFill="1" applyProtection="1">
      <protection hidden="1"/>
    </xf>
    <xf numFmtId="2" fontId="32" fillId="9" borderId="0" xfId="0" applyNumberFormat="1" applyFont="1" applyFill="1" applyAlignment="1" applyProtection="1">
      <alignment horizontal="right"/>
      <protection hidden="1"/>
    </xf>
    <xf numFmtId="2" fontId="32" fillId="5" borderId="0" xfId="0" applyNumberFormat="1" applyFont="1" applyFill="1" applyProtection="1">
      <protection hidden="1"/>
    </xf>
    <xf numFmtId="2" fontId="32" fillId="9" borderId="0" xfId="0" applyNumberFormat="1" applyFont="1" applyFill="1" applyProtection="1">
      <protection hidden="1"/>
    </xf>
    <xf numFmtId="2" fontId="32" fillId="8" borderId="0" xfId="0" applyNumberFormat="1" applyFont="1" applyFill="1" applyAlignment="1" applyProtection="1">
      <alignment horizontal="right"/>
      <protection hidden="1"/>
    </xf>
    <xf numFmtId="2" fontId="32" fillId="10" borderId="0" xfId="0" applyNumberFormat="1" applyFont="1" applyFill="1" applyProtection="1">
      <protection hidden="1"/>
    </xf>
    <xf numFmtId="2" fontId="32" fillId="7" borderId="0" xfId="0" applyNumberFormat="1" applyFont="1" applyFill="1" applyAlignment="1" applyProtection="1">
      <alignment horizontal="right"/>
      <protection hidden="1"/>
    </xf>
    <xf numFmtId="2" fontId="32" fillId="11" borderId="0" xfId="0" applyNumberFormat="1" applyFont="1" applyFill="1" applyProtection="1">
      <protection hidden="1"/>
    </xf>
    <xf numFmtId="2" fontId="32" fillId="8" borderId="0" xfId="0" quotePrefix="1" applyNumberFormat="1" applyFont="1" applyFill="1" applyProtection="1">
      <protection hidden="1"/>
    </xf>
    <xf numFmtId="167" fontId="8" fillId="0" borderId="0" xfId="4" applyNumberFormat="1" applyFont="1" applyFill="1"/>
    <xf numFmtId="43" fontId="8" fillId="0" borderId="0" xfId="4" applyFont="1" applyFill="1"/>
    <xf numFmtId="9" fontId="8" fillId="0" borderId="0" xfId="1" applyNumberFormat="1" applyFont="1"/>
    <xf numFmtId="14" fontId="8" fillId="0" borderId="0" xfId="1" applyNumberFormat="1" applyFont="1"/>
    <xf numFmtId="167" fontId="8" fillId="0" borderId="0" xfId="1" applyNumberFormat="1" applyFont="1"/>
    <xf numFmtId="4" fontId="8" fillId="0" borderId="0" xfId="1" applyNumberFormat="1" applyFont="1"/>
    <xf numFmtId="0" fontId="27" fillId="0" borderId="0" xfId="1" applyFont="1"/>
    <xf numFmtId="14" fontId="27" fillId="0" borderId="0" xfId="1" applyNumberFormat="1" applyFont="1"/>
    <xf numFmtId="0" fontId="21" fillId="17" borderId="34" xfId="0" applyFont="1" applyFill="1" applyBorder="1" applyAlignment="1">
      <alignment horizontal="right" vertical="center"/>
    </xf>
    <xf numFmtId="0" fontId="32" fillId="8" borderId="0" xfId="0" applyFont="1" applyFill="1" applyProtection="1">
      <protection hidden="1"/>
    </xf>
    <xf numFmtId="2" fontId="32" fillId="6" borderId="0" xfId="0" quotePrefix="1" applyNumberFormat="1" applyFont="1" applyFill="1" applyProtection="1">
      <protection hidden="1"/>
    </xf>
    <xf numFmtId="0" fontId="22" fillId="6" borderId="0" xfId="0" applyFont="1" applyFill="1" applyAlignment="1" applyProtection="1">
      <alignment wrapText="1"/>
      <protection hidden="1"/>
    </xf>
    <xf numFmtId="0" fontId="22" fillId="20" borderId="0" xfId="0" applyFont="1" applyFill="1" applyProtection="1">
      <protection hidden="1"/>
    </xf>
    <xf numFmtId="2" fontId="22" fillId="20" borderId="0" xfId="0" applyNumberFormat="1" applyFont="1" applyFill="1" applyProtection="1">
      <protection hidden="1"/>
    </xf>
    <xf numFmtId="0" fontId="22" fillId="10" borderId="0" xfId="0" applyFont="1" applyFill="1" applyAlignment="1" applyProtection="1">
      <alignment horizontal="left"/>
      <protection hidden="1"/>
    </xf>
    <xf numFmtId="0" fontId="22" fillId="10" borderId="0" xfId="0" applyFont="1" applyFill="1" applyAlignment="1" applyProtection="1">
      <alignment horizontal="left" wrapText="1"/>
      <protection hidden="1"/>
    </xf>
    <xf numFmtId="0" fontId="22" fillId="7" borderId="0" xfId="0" applyFont="1" applyFill="1" applyAlignment="1" applyProtection="1">
      <alignment wrapText="1"/>
      <protection hidden="1"/>
    </xf>
    <xf numFmtId="0" fontId="22" fillId="11" borderId="0" xfId="0" applyFont="1" applyFill="1" applyAlignment="1" applyProtection="1">
      <alignment horizontal="left"/>
      <protection hidden="1"/>
    </xf>
    <xf numFmtId="0" fontId="22" fillId="11" borderId="0" xfId="0" applyFont="1" applyFill="1" applyAlignment="1" applyProtection="1">
      <alignment horizontal="left" wrapText="1"/>
      <protection hidden="1"/>
    </xf>
    <xf numFmtId="0" fontId="0" fillId="0" borderId="0" xfId="0" applyAlignment="1" applyProtection="1">
      <alignment horizontal="center" wrapText="1"/>
      <protection locked="0"/>
    </xf>
    <xf numFmtId="0" fontId="56" fillId="3" borderId="59" xfId="1" applyFont="1" applyFill="1" applyBorder="1"/>
    <xf numFmtId="0" fontId="18" fillId="3" borderId="58" xfId="1" applyFont="1" applyFill="1" applyBorder="1"/>
    <xf numFmtId="43" fontId="12" fillId="14" borderId="60" xfId="2" applyNumberFormat="1" applyFont="1" applyFill="1" applyBorder="1" applyProtection="1">
      <protection locked="0" hidden="1"/>
    </xf>
    <xf numFmtId="0" fontId="13" fillId="14" borderId="17" xfId="1" applyFont="1" applyFill="1" applyBorder="1" applyAlignment="1" applyProtection="1">
      <alignment vertical="center"/>
      <protection locked="0" hidden="1"/>
    </xf>
    <xf numFmtId="43" fontId="13" fillId="14" borderId="16" xfId="1" applyNumberFormat="1" applyFont="1" applyFill="1" applyBorder="1" applyAlignment="1" applyProtection="1">
      <alignment vertical="center"/>
      <protection locked="0" hidden="1"/>
    </xf>
    <xf numFmtId="0" fontId="55" fillId="12" borderId="0" xfId="0" applyFont="1" applyFill="1"/>
    <xf numFmtId="0" fontId="59" fillId="17" borderId="0" xfId="1" applyFont="1" applyFill="1"/>
    <xf numFmtId="0" fontId="17" fillId="3" borderId="17" xfId="1" applyFont="1" applyFill="1" applyBorder="1" applyAlignment="1" applyProtection="1">
      <alignment horizontal="center" vertical="center" wrapText="1"/>
      <protection locked="0"/>
    </xf>
    <xf numFmtId="0" fontId="17" fillId="3" borderId="0" xfId="1" applyFont="1" applyFill="1" applyAlignment="1" applyProtection="1">
      <alignment horizontal="center" vertical="center" wrapText="1"/>
      <protection locked="0"/>
    </xf>
    <xf numFmtId="0" fontId="10" fillId="4" borderId="17" xfId="1" applyFont="1" applyFill="1" applyBorder="1" applyAlignment="1" applyProtection="1">
      <alignment vertical="top" wrapText="1"/>
      <protection locked="0"/>
    </xf>
    <xf numFmtId="0" fontId="10" fillId="4" borderId="18" xfId="1" applyFont="1" applyFill="1" applyBorder="1" applyAlignment="1" applyProtection="1">
      <alignment vertical="top" wrapText="1"/>
      <protection locked="0"/>
    </xf>
    <xf numFmtId="0" fontId="10" fillId="4" borderId="0" xfId="1" applyFont="1" applyFill="1" applyAlignment="1" applyProtection="1">
      <alignment vertical="top" wrapText="1"/>
      <protection locked="0"/>
    </xf>
    <xf numFmtId="0" fontId="10" fillId="4" borderId="8" xfId="1" applyFont="1" applyFill="1" applyBorder="1" applyAlignment="1" applyProtection="1">
      <alignment vertical="top" wrapText="1"/>
      <protection locked="0"/>
    </xf>
    <xf numFmtId="0" fontId="10" fillId="4" borderId="23" xfId="1" applyFont="1" applyFill="1" applyBorder="1" applyAlignment="1" applyProtection="1">
      <alignment vertical="top" wrapText="1"/>
      <protection locked="0"/>
    </xf>
    <xf numFmtId="0" fontId="10" fillId="4" borderId="24" xfId="1" applyFont="1" applyFill="1" applyBorder="1" applyAlignment="1" applyProtection="1">
      <alignment vertical="top" wrapText="1"/>
      <protection locked="0"/>
    </xf>
    <xf numFmtId="0" fontId="12" fillId="3" borderId="12" xfId="1" applyFont="1" applyFill="1" applyBorder="1" applyAlignment="1">
      <alignment horizontal="center"/>
    </xf>
    <xf numFmtId="0" fontId="12" fillId="3" borderId="13" xfId="1" applyFont="1" applyFill="1" applyBorder="1" applyAlignment="1">
      <alignment horizontal="center"/>
    </xf>
    <xf numFmtId="0" fontId="12" fillId="3" borderId="14" xfId="1" applyFont="1" applyFill="1" applyBorder="1" applyAlignment="1">
      <alignment horizontal="center"/>
    </xf>
    <xf numFmtId="0" fontId="4" fillId="3" borderId="0" xfId="1" applyFont="1" applyFill="1" applyAlignment="1" applyProtection="1">
      <alignment horizontal="left" vertical="top" wrapText="1"/>
      <protection locked="0"/>
    </xf>
    <xf numFmtId="0" fontId="57" fillId="3" borderId="61" xfId="1" applyFont="1" applyFill="1" applyBorder="1" applyAlignment="1">
      <alignment horizontal="center" vertical="center" wrapText="1"/>
    </xf>
    <xf numFmtId="0" fontId="58" fillId="3" borderId="61" xfId="1" applyFont="1" applyFill="1" applyBorder="1" applyAlignment="1">
      <alignment horizontal="center" vertical="center" wrapText="1"/>
    </xf>
    <xf numFmtId="0" fontId="58" fillId="3" borderId="3" xfId="1" applyFont="1" applyFill="1" applyBorder="1" applyAlignment="1">
      <alignment horizontal="center" vertical="center" wrapText="1"/>
    </xf>
    <xf numFmtId="0" fontId="49" fillId="17" borderId="40" xfId="0" applyFont="1" applyFill="1" applyBorder="1" applyAlignment="1">
      <alignment horizontal="center" vertical="center"/>
    </xf>
    <xf numFmtId="0" fontId="49" fillId="17" borderId="41" xfId="0" applyFont="1" applyFill="1" applyBorder="1" applyAlignment="1">
      <alignment horizontal="center" vertical="center"/>
    </xf>
    <xf numFmtId="0" fontId="49" fillId="17" borderId="42" xfId="0" applyFont="1" applyFill="1" applyBorder="1" applyAlignment="1">
      <alignment horizontal="center" vertical="center"/>
    </xf>
    <xf numFmtId="0" fontId="50" fillId="17" borderId="36" xfId="0" applyFont="1" applyFill="1" applyBorder="1" applyAlignment="1">
      <alignment horizontal="center" vertical="center" wrapText="1"/>
    </xf>
    <xf numFmtId="0" fontId="50" fillId="17" borderId="35" xfId="0" applyFont="1" applyFill="1" applyBorder="1" applyAlignment="1">
      <alignment horizontal="center" vertical="center" wrapText="1"/>
    </xf>
    <xf numFmtId="0" fontId="50" fillId="17" borderId="57" xfId="0" applyFont="1" applyFill="1" applyBorder="1" applyAlignment="1">
      <alignment horizontal="center" vertical="center" wrapText="1"/>
    </xf>
    <xf numFmtId="0" fontId="50" fillId="17" borderId="34" xfId="0" applyFont="1" applyFill="1" applyBorder="1" applyAlignment="1">
      <alignment horizontal="center" vertical="center" wrapText="1"/>
    </xf>
    <xf numFmtId="0" fontId="50" fillId="17" borderId="0" xfId="0" applyFont="1" applyFill="1" applyAlignment="1">
      <alignment horizontal="center" vertical="center" wrapText="1"/>
    </xf>
    <xf numFmtId="0" fontId="50" fillId="17" borderId="26" xfId="0" applyFont="1" applyFill="1" applyBorder="1" applyAlignment="1">
      <alignment horizontal="center" vertical="center" wrapText="1"/>
    </xf>
    <xf numFmtId="49" fontId="32" fillId="6" borderId="29" xfId="1" applyNumberFormat="1" applyFont="1" applyFill="1" applyBorder="1" applyAlignment="1" applyProtection="1">
      <alignment horizontal="center" vertical="center"/>
      <protection hidden="1"/>
    </xf>
    <xf numFmtId="49" fontId="32" fillId="6" borderId="33" xfId="1" applyNumberFormat="1" applyFont="1" applyFill="1" applyBorder="1" applyAlignment="1" applyProtection="1">
      <alignment horizontal="center" vertical="center"/>
      <protection hidden="1"/>
    </xf>
    <xf numFmtId="49" fontId="32" fillId="6" borderId="32" xfId="1" applyNumberFormat="1" applyFont="1" applyFill="1" applyBorder="1" applyAlignment="1" applyProtection="1">
      <alignment horizontal="center" vertical="center"/>
      <protection hidden="1"/>
    </xf>
    <xf numFmtId="0" fontId="32" fillId="6" borderId="29" xfId="1" applyFont="1" applyFill="1" applyBorder="1" applyAlignment="1" applyProtection="1">
      <alignment horizontal="center" vertical="center"/>
      <protection hidden="1"/>
    </xf>
    <xf numFmtId="0" fontId="32" fillId="6" borderId="33" xfId="1" applyFont="1" applyFill="1" applyBorder="1" applyAlignment="1" applyProtection="1">
      <alignment horizontal="center" vertical="center"/>
      <protection hidden="1"/>
    </xf>
    <xf numFmtId="0" fontId="32" fillId="6" borderId="32" xfId="1" applyFont="1" applyFill="1" applyBorder="1" applyAlignment="1" applyProtection="1">
      <alignment horizontal="center" vertical="center"/>
      <protection hidden="1"/>
    </xf>
    <xf numFmtId="0" fontId="32" fillId="6" borderId="29" xfId="1" applyFont="1" applyFill="1" applyBorder="1" applyAlignment="1" applyProtection="1">
      <alignment horizontal="center" vertical="center" wrapText="1"/>
      <protection hidden="1"/>
    </xf>
    <xf numFmtId="0" fontId="32" fillId="6" borderId="33" xfId="1" applyFont="1" applyFill="1" applyBorder="1" applyAlignment="1" applyProtection="1">
      <alignment horizontal="center" vertical="center" wrapText="1"/>
      <protection hidden="1"/>
    </xf>
    <xf numFmtId="0" fontId="32" fillId="6" borderId="32" xfId="1" applyFont="1" applyFill="1" applyBorder="1" applyAlignment="1" applyProtection="1">
      <alignment horizontal="center" vertical="center" wrapText="1"/>
      <protection hidden="1"/>
    </xf>
    <xf numFmtId="0" fontId="32" fillId="6" borderId="29" xfId="1" applyFont="1" applyFill="1" applyBorder="1" applyAlignment="1" applyProtection="1">
      <alignment horizontal="left" vertical="center" wrapText="1"/>
      <protection hidden="1"/>
    </xf>
    <xf numFmtId="0" fontId="32" fillId="6" borderId="33" xfId="1" applyFont="1" applyFill="1" applyBorder="1" applyAlignment="1" applyProtection="1">
      <alignment horizontal="left" vertical="center" wrapText="1"/>
      <protection hidden="1"/>
    </xf>
    <xf numFmtId="0" fontId="32" fillId="6" borderId="32" xfId="1" applyFont="1" applyFill="1" applyBorder="1" applyAlignment="1" applyProtection="1">
      <alignment horizontal="left" vertical="center" wrapText="1"/>
      <protection hidden="1"/>
    </xf>
  </cellXfs>
  <cellStyles count="6">
    <cellStyle name="Comma" xfId="4" builtinId="3"/>
    <cellStyle name="Currency 2" xfId="2" xr:uid="{00000000-0005-0000-0000-000000000000}"/>
    <cellStyle name="Hyperlink" xfId="3" builtinId="8"/>
    <cellStyle name="Normal" xfId="0" builtinId="0"/>
    <cellStyle name="Normal 2" xfId="1" xr:uid="{00000000-0005-0000-0000-000003000000}"/>
    <cellStyle name="Per cent" xfId="5" builtinId="5"/>
  </cellStyles>
  <dxfs count="469">
    <dxf>
      <numFmt numFmtId="171" formatCode=";;"/>
    </dxf>
    <dxf>
      <numFmt numFmtId="171" formatCode=";;"/>
    </dxf>
    <dxf>
      <numFmt numFmtId="171" formatCode=";;"/>
    </dxf>
    <dxf>
      <numFmt numFmtId="171" formatCode=";;"/>
    </dxf>
    <dxf>
      <numFmt numFmtId="171" formatCode=";;"/>
    </dxf>
    <dxf>
      <fill>
        <patternFill>
          <bgColor theme="0" tint="-0.14996795556505021"/>
        </patternFill>
      </fill>
    </dxf>
    <dxf>
      <numFmt numFmtId="171" formatCode=";;"/>
    </dxf>
    <dxf>
      <numFmt numFmtId="171" formatCode=";;"/>
    </dxf>
    <dxf>
      <numFmt numFmtId="171" formatCode=";;"/>
    </dxf>
    <dxf>
      <numFmt numFmtId="171" formatCode=";;"/>
    </dxf>
    <dxf>
      <font>
        <color rgb="FF9C0006"/>
      </font>
      <fill>
        <patternFill>
          <bgColor rgb="FFFFC7CE"/>
        </patternFill>
      </fill>
    </dxf>
    <dxf>
      <font>
        <color theme="8" tint="0.59996337778862885"/>
      </font>
    </dxf>
    <dxf>
      <font>
        <color theme="8" tint="0.59996337778862885"/>
      </font>
    </dxf>
    <dxf>
      <font>
        <color theme="8" tint="0.59996337778862885"/>
      </font>
      <fill>
        <patternFill>
          <bgColor theme="8" tint="0.59996337778862885"/>
        </patternFill>
      </fill>
      <border>
        <right style="thin">
          <color auto="1"/>
        </right>
        <top/>
        <bottom/>
        <vertical/>
        <horizontal/>
      </border>
    </dxf>
    <dxf>
      <font>
        <color theme="8" tint="0.59996337778862885"/>
      </font>
      <fill>
        <patternFill>
          <bgColor theme="8" tint="0.59996337778862885"/>
        </patternFill>
      </fill>
      <border>
        <left/>
        <right style="thin">
          <color auto="1"/>
        </right>
        <top/>
        <bottom/>
        <vertical/>
        <horizontal/>
      </border>
    </dxf>
    <dxf>
      <font>
        <color rgb="FF9C0006"/>
      </font>
      <fill>
        <patternFill>
          <bgColor rgb="FFFFC7CE"/>
        </patternFill>
      </fill>
    </dxf>
    <dxf>
      <font>
        <color rgb="FF9C0006"/>
      </font>
      <fill>
        <patternFill>
          <bgColor rgb="FFFFC7CE"/>
        </patternFill>
      </fill>
    </dxf>
    <dxf>
      <font>
        <color theme="8" tint="0.59996337778862885"/>
      </font>
      <fill>
        <patternFill>
          <bgColor theme="8" tint="0.59996337778862885"/>
        </patternFill>
      </fill>
      <border>
        <right style="thin">
          <color auto="1"/>
        </right>
        <top/>
        <bottom/>
      </border>
    </dxf>
    <dxf>
      <font>
        <color theme="8" tint="0.59996337778862885"/>
      </font>
    </dxf>
    <dxf>
      <font>
        <color theme="8" tint="0.59996337778862885"/>
      </font>
    </dxf>
    <dxf>
      <font>
        <color theme="8" tint="0.59996337778862885"/>
      </font>
      <fill>
        <patternFill>
          <bgColor theme="8" tint="0.59996337778862885"/>
        </patternFill>
      </fill>
      <border>
        <left style="thin">
          <color auto="1"/>
        </left>
        <right/>
        <top/>
        <bottom/>
        <vertical/>
        <horizontal/>
      </border>
    </dxf>
    <dxf>
      <font>
        <color theme="9" tint="0.59996337778862885"/>
      </font>
      <fill>
        <patternFill>
          <bgColor theme="8" tint="0.59996337778862885"/>
        </patternFill>
      </fill>
      <border>
        <left style="thin">
          <color auto="1"/>
        </left>
        <right/>
        <top/>
        <bottom/>
      </border>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8" tint="0.59996337778862885"/>
      </font>
      <fill>
        <patternFill>
          <bgColor theme="8" tint="0.59996337778862885"/>
        </patternFill>
      </fill>
      <border>
        <right/>
        <top/>
        <bottom/>
      </border>
    </dxf>
    <dxf>
      <font>
        <color rgb="FF9C5700"/>
      </font>
      <fill>
        <patternFill>
          <bgColor rgb="FFFFEB9C"/>
        </patternFill>
      </fill>
    </dxf>
    <dxf>
      <font>
        <color theme="8" tint="0.59996337778862885"/>
      </font>
      <fill>
        <patternFill>
          <bgColor theme="8" tint="0.59996337778862885"/>
        </patternFill>
      </fill>
      <border>
        <left/>
        <right/>
        <top/>
        <bottom style="thin">
          <color auto="1"/>
        </bottom>
        <vertical/>
        <horizontal/>
      </border>
    </dxf>
    <dxf>
      <font>
        <color rgb="FF9C0006"/>
      </font>
      <fill>
        <patternFill>
          <bgColor rgb="FFFFC7CE"/>
        </patternFill>
      </fill>
    </dxf>
    <dxf>
      <font>
        <color theme="0"/>
      </font>
    </dxf>
    <dxf>
      <font>
        <color theme="8" tint="0.59996337778862885"/>
      </font>
    </dxf>
    <dxf>
      <font>
        <color rgb="FF9C0006"/>
      </font>
      <fill>
        <patternFill>
          <bgColor rgb="FFFFC7CE"/>
        </patternFill>
      </fill>
    </dxf>
    <dxf>
      <font>
        <color theme="8" tint="0.59996337778862885"/>
      </font>
      <fill>
        <patternFill>
          <bgColor theme="8" tint="0.59996337778862885"/>
        </patternFill>
      </fill>
    </dxf>
    <dxf>
      <font>
        <color rgb="FF9C0006"/>
      </font>
      <fill>
        <patternFill>
          <bgColor rgb="FFFFC7CE"/>
        </patternFill>
      </fill>
    </dxf>
    <dxf>
      <font>
        <color theme="0"/>
      </font>
    </dxf>
    <dxf>
      <font>
        <color theme="0"/>
      </font>
    </dxf>
    <dxf>
      <font>
        <color rgb="FF9C0006"/>
      </font>
      <fill>
        <patternFill>
          <bgColor rgb="FFFFC7CE"/>
        </patternFill>
      </fill>
    </dxf>
    <dxf>
      <font>
        <color theme="9" tint="0.59996337778862885"/>
      </font>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8" tint="0.59996337778862885"/>
      </font>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font>
        <color rgb="FF9C0006"/>
      </font>
      <fill>
        <patternFill>
          <bgColor rgb="FFFFC7CE"/>
        </patternFill>
      </fill>
    </dxf>
    <dxf>
      <font>
        <color theme="0"/>
      </font>
      <fill>
        <patternFill>
          <fgColor theme="0"/>
          <bgColor theme="0"/>
        </patternFill>
      </fill>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1"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1"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relative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12"/>
        <color auto="1"/>
        <name val="Times New Roman"/>
        <scheme val="none"/>
      </font>
      <alignment horizontal="center" vertical="center" textRotation="0" wrapText="0" indent="0" justifyLastLine="0" shrinkToFit="0" readingOrder="0"/>
      <protection locked="1" hidden="1"/>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google.com.gh/imgres?imgurl=https://www.fronius.com/internet/img/logo_fronius_en.gif&amp;imgrefurl=https://www.fronius.com/&amp;docid=-TQ1YE_6B3SF2M&amp;tbnid=WuPudtPIE2N1PM:&amp;w=141&amp;h=55&amp;bih=612&amp;biw=1366&amp;ved=0ahUKEwjnm6L0w5vMAhUEiRoKHZalAlEQMwgrKAwwDA&amp;iact=mrc&amp;uact=8" TargetMode="External"/><Relationship Id="rId1" Type="http://schemas.openxmlformats.org/officeDocument/2006/relationships/image" Target="../media/image1.jpe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987425</xdr:colOff>
      <xdr:row>3</xdr:row>
      <xdr:rowOff>15875</xdr:rowOff>
    </xdr:from>
    <xdr:to>
      <xdr:col>11</xdr:col>
      <xdr:colOff>1255</xdr:colOff>
      <xdr:row>5</xdr:row>
      <xdr:rowOff>118404</xdr:rowOff>
    </xdr:to>
    <xdr:pic>
      <xdr:nvPicPr>
        <xdr:cNvPr id="7" name="Picture 6" descr="ASEA Power Logo">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96325" y="561975"/>
          <a:ext cx="1553830" cy="635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1000125</xdr:colOff>
      <xdr:row>0</xdr:row>
      <xdr:rowOff>152400</xdr:rowOff>
    </xdr:from>
    <xdr:to>
      <xdr:col>10</xdr:col>
      <xdr:colOff>1162050</xdr:colOff>
      <xdr:row>2</xdr:row>
      <xdr:rowOff>171450</xdr:rowOff>
    </xdr:to>
    <xdr:pic>
      <xdr:nvPicPr>
        <xdr:cNvPr id="9" name="Picture 10" descr="Image result for fronius logo">
          <a:hlinkClick xmlns:r="http://schemas.openxmlformats.org/officeDocument/2006/relationships" r:id="rId2"/>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34350" y="476250"/>
          <a:ext cx="11811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234950</xdr:colOff>
      <xdr:row>2</xdr:row>
      <xdr:rowOff>76200</xdr:rowOff>
    </xdr:from>
    <xdr:to>
      <xdr:col>8</xdr:col>
      <xdr:colOff>1565275</xdr:colOff>
      <xdr:row>4</xdr:row>
      <xdr:rowOff>57150</xdr:rowOff>
    </xdr:to>
    <xdr:pic>
      <xdr:nvPicPr>
        <xdr:cNvPr id="10" name="Picture 3">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95950" y="431800"/>
          <a:ext cx="20034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542925</xdr:colOff>
      <xdr:row>0</xdr:row>
      <xdr:rowOff>0</xdr:rowOff>
    </xdr:from>
    <xdr:to>
      <xdr:col>7</xdr:col>
      <xdr:colOff>200025</xdr:colOff>
      <xdr:row>3</xdr:row>
      <xdr:rowOff>161925</xdr:rowOff>
    </xdr:to>
    <xdr:pic>
      <xdr:nvPicPr>
        <xdr:cNvPr id="11" name="Picture 4">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400550" y="171450"/>
          <a:ext cx="14001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854075</xdr:colOff>
      <xdr:row>2</xdr:row>
      <xdr:rowOff>85725</xdr:rowOff>
    </xdr:from>
    <xdr:to>
      <xdr:col>9</xdr:col>
      <xdr:colOff>739775</xdr:colOff>
      <xdr:row>4</xdr:row>
      <xdr:rowOff>165100</xdr:rowOff>
    </xdr:to>
    <xdr:pic>
      <xdr:nvPicPr>
        <xdr:cNvPr id="8" name="Picture 1">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88175" y="441325"/>
          <a:ext cx="1460500" cy="574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2A9365-8DC2-A14D-BF04-9917FA5C0967}" name="Table13" displayName="Table13" ref="B32:J50" totalsRowShown="0" headerRowDxfId="468" dataDxfId="467">
  <autoFilter ref="B32:J50" xr:uid="{00000000-0009-0000-0100-000001000000}"/>
  <tableColumns count="9">
    <tableColumn id="1" xr3:uid="{A5A6DDE8-644E-B645-9B31-774C6797337A}" name="Ref A      1-Phase" dataDxfId="466"/>
    <tableColumn id="2" xr3:uid="{5D2C410F-BD87-9E49-95F1-4416B31F01CA}" name="Ref A      3-Phase" dataDxfId="465"/>
    <tableColumn id="3" xr3:uid="{DDA67CFB-0BF8-0D47-8177-27F0A393C879}" name="Ref B      1-Phase" dataDxfId="464"/>
    <tableColumn id="4" xr3:uid="{22F4E3A3-299A-B64D-8636-11BDF77B5419}" name="Ref B      3-Phase" dataDxfId="463"/>
    <tableColumn id="5" xr3:uid="{3E00CFF8-2195-5742-B8E3-25463BAD433E}" name="Ref C      1-Phase" dataDxfId="462"/>
    <tableColumn id="6" xr3:uid="{65AB633F-BECC-4E4A-9B00-006F478AFF70}" name="Ref C       3-Phase" dataDxfId="461"/>
    <tableColumn id="7" xr3:uid="{DBA997D8-96A1-1B47-A8CC-A9140FD62C59}" name="Ref E      1-Phase" dataDxfId="460"/>
    <tableColumn id="8" xr3:uid="{BC868A03-2C0B-7B4C-B087-A5E1350A5099}" name="Ref E       3-Phase" dataDxfId="459"/>
    <tableColumn id="9" xr3:uid="{56A9FE2A-81EE-7443-898C-C4DF0C51E914}" name="Cable Size" dataDxfId="45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49B8C4-EFD0-0542-82A6-F20C2D7196F9}" name="Table132" displayName="Table132" ref="B5:M27" totalsRowShown="0" headerRowDxfId="457" dataDxfId="456">
  <autoFilter ref="B5:M27" xr:uid="{00000000-0009-0000-0100-000002000000}"/>
  <tableColumns count="12">
    <tableColumn id="1" xr3:uid="{5C06527D-77C9-B546-9AB2-6EC17F04B200}" name="Ref A      1-Phase" dataDxfId="455"/>
    <tableColumn id="2" xr3:uid="{9DB9C4F4-B5BE-3D42-9FA6-E719EA89B54D}" name="Ref A      3-Phase" dataDxfId="454"/>
    <tableColumn id="3" xr3:uid="{4F7686AF-D48B-C444-B41F-B9CE078C91ED}" name="Ref B      1-Phase" dataDxfId="453"/>
    <tableColumn id="4" xr3:uid="{C80BCB45-48A2-6649-91B7-EC4C30168FE6}" name="Ref B      3-Phase" dataDxfId="452"/>
    <tableColumn id="5" xr3:uid="{29B05CD9-1DBC-3649-BC36-854EE621D2B3}" name="Ref C      Touching 1-Phase Flat" dataDxfId="451"/>
    <tableColumn id="6" xr3:uid="{CEAECAB6-F10C-D144-89F6-D38D78A30974}" name="Ref C      Touching 3-Phase" dataDxfId="450"/>
    <tableColumn id="7" xr3:uid="{23A9B015-F0F1-A247-BB37-68A552781076}" name="Ref F      Touching 1-Phase Flat" dataDxfId="449"/>
    <tableColumn id="8" xr3:uid="{B1BF9084-22A0-2744-8735-C1271BF97214}" name="Ref F      Touching 3-Phase Flat" dataDxfId="448"/>
    <tableColumn id="9" xr3:uid="{C3645EAC-3AD3-1549-A27E-7BE1E6BE5E86}" name="Ref F      Touching 3-Phase Trefoil" dataDxfId="447"/>
    <tableColumn id="10" xr3:uid="{28F7DF2A-F36C-8B41-A5C4-947BA6644CCF}" name="Ref F      Spaced    Flat Horizontal" dataDxfId="446"/>
    <tableColumn id="11" xr3:uid="{314CF27A-AD57-7540-BE25-AA8988EA02CA}" name="Ref F      Spaced   Flat Vertical" dataDxfId="445"/>
    <tableColumn id="12" xr3:uid="{A2F6A710-73AF-6A4B-AD64-576FB8D4D121}" name="Cable Size" dataDxfId="44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C350C4-E0D6-F849-A62F-11509BC17E43}" name="Table1324" displayName="Table1324" ref="B55:M68" totalsRowShown="0" headerRowDxfId="443" dataDxfId="442">
  <autoFilter ref="B55:M68" xr:uid="{00000000-0009-0000-0100-000003000000}"/>
  <tableColumns count="12">
    <tableColumn id="1" xr3:uid="{8F56D565-4DBE-134B-A783-9E3202E43BD6}" name="Ref C      Touching 1-Phase Flat" dataDxfId="441"/>
    <tableColumn id="2" xr3:uid="{B4E810FA-0946-CE43-BAAC-9FFF8C869AB4}" name="Ref C      Touching 3-Phase Flat" dataDxfId="440"/>
    <tableColumn id="3" xr3:uid="{9505943B-4DB3-3249-B909-488D6AFB3261}" name="Ref F      Touching 1-Phase Flat" dataDxfId="439"/>
    <tableColumn id="4" xr3:uid="{9B4F775E-F876-AD47-B8B2-762C1787D834}" name="Ref F      Touching 3-Phase Flat" dataDxfId="438"/>
    <tableColumn id="5" xr3:uid="{70FD5798-BEAA-644A-ADA7-B483122AA72A}" name="Ref F      Touching 3-Phase Trefoil" dataDxfId="437"/>
    <tableColumn id="6" xr3:uid="{1D79B934-9CD2-C543-919C-9637F4CC509C}" name="Ref F      Spaced   D.C.   Horizontal" dataDxfId="436"/>
    <tableColumn id="7" xr3:uid="{AC056145-8E01-ED4F-91CC-4803354D17C8}" name="Ref F      Spaced   D.C.   Vertical" dataDxfId="435"/>
    <tableColumn id="8" xr3:uid="{4937B457-2102-FC42-B281-C6729DBFD3FD}" name="Ref F      Spaced     1-Phase   Horizontal" dataDxfId="434"/>
    <tableColumn id="9" xr3:uid="{D64FB8E3-0445-ED4C-B5F1-6B179D9D0B49}" name="Ref F      Spaced   1-Phase   Vertical" dataDxfId="433"/>
    <tableColumn id="10" xr3:uid="{61797ED1-B72E-DF4C-B81D-DBD99AD81D9B}" name="Ref F      Spaced     3-Phase   Horizontal" dataDxfId="432"/>
    <tableColumn id="11" xr3:uid="{D60525F3-3629-7C4C-B5D3-ED38803EC137}" name="Ref F      Spaced     3-Phase   Vertical" dataDxfId="431"/>
    <tableColumn id="12" xr3:uid="{CB42BC2B-CC8D-F04F-B50E-9AE44768EC45}" name="Cable Size" dataDxfId="43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C9B628-60AF-2345-A4E9-3D7EBEA06941}" name="Table135" displayName="Table135" ref="B73:H90" totalsRowShown="0" headerRowDxfId="429" dataDxfId="428">
  <autoFilter ref="B73:H90" xr:uid="{00000000-0009-0000-0100-000004000000}"/>
  <tableColumns count="7">
    <tableColumn id="1" xr3:uid="{4CBC3141-7EF2-E44F-B44A-CB40591B5906}" name="Ref C      1-Phase" dataDxfId="427"/>
    <tableColumn id="2" xr3:uid="{6F6E3EF0-8496-2E4B-9178-A9144373A78B}" name="Ref C     3-Phase" dataDxfId="426"/>
    <tableColumn id="3" xr3:uid="{F65744A9-E645-1343-B427-E350DC2DD900}" name="Ref E      1-Phase" dataDxfId="425"/>
    <tableColumn id="4" xr3:uid="{33F323D5-AB20-C44C-82F9-4236AC584AC0}" name="Ref E      3-Phase" dataDxfId="424"/>
    <tableColumn id="5" xr3:uid="{6E88914E-E8DE-6B47-888E-54BDED9D9CCC}" name="Ref D      1-Phase2" dataDxfId="423"/>
    <tableColumn id="6" xr3:uid="{CC09EA98-FD58-A14E-BCBC-BE1963B4E391}" name="Ref D       3-Phase" dataDxfId="422"/>
    <tableColumn id="9" xr3:uid="{610C94DD-7FD7-7545-85B6-A79F566866FD}" name="Cable Size" dataDxfId="42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465581-BDAE-9D4C-97E6-E0012A25754C}" name="Table1326" displayName="Table1326" ref="B95:I102" totalsRowShown="0" headerRowDxfId="420" dataDxfId="419">
  <autoFilter ref="B95:I102" xr:uid="{00000000-0009-0000-0100-000005000000}"/>
  <tableColumns count="8">
    <tableColumn id="1" xr3:uid="{8FB351C3-C113-2946-A5C8-9C16DF222FA2}" name="Method 100" dataDxfId="418"/>
    <tableColumn id="2" xr3:uid="{5C732C79-2C0A-A745-895C-C450A0445D07}" name="Method 101" dataDxfId="417"/>
    <tableColumn id="3" xr3:uid="{28A94422-D28E-0A42-AEB1-81DA8253B205}" name="Method 102" dataDxfId="416"/>
    <tableColumn id="4" xr3:uid="{FA300742-14C1-C742-BAFA-0A05A3116FCC}" name="Method 103" dataDxfId="415"/>
    <tableColumn id="5" xr3:uid="{F42C8BC2-9646-D94F-9CFD-5F752EE81F6F}" name="Ref C      " dataDxfId="414"/>
    <tableColumn id="6" xr3:uid="{63CCA8E7-8F73-A74C-AC0D-1A595CF2066F}" name="Ref A" dataDxfId="413"/>
    <tableColumn id="11" xr3:uid="{19E2CE50-0627-2441-9B42-1CEBBAC201C0}" name="Voltage Drop" dataDxfId="412"/>
    <tableColumn id="12" xr3:uid="{DCFDE463-2F30-A745-83D6-50242C7B5E2E}" name="Cable Size" dataDxfId="411"/>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A87FDE-2788-FF44-BE23-F26D4376D1FE}" name="Table1327" displayName="Table1327" ref="B107:M129" totalsRowShown="0" headerRowDxfId="410" dataDxfId="409">
  <autoFilter ref="B107:M129" xr:uid="{00000000-0009-0000-0100-000006000000}"/>
  <tableColumns count="12">
    <tableColumn id="1" xr3:uid="{69876B71-738A-4843-B22F-4678EA2DFFBD}" name="Ref A      1-Phase" dataDxfId="408"/>
    <tableColumn id="2" xr3:uid="{0584E925-BABB-154B-909C-59D606F02965}" name="Ref A      3-Phase" dataDxfId="407"/>
    <tableColumn id="3" xr3:uid="{A3C314AC-AC7C-DE46-AD29-4C881941345E}" name="Ref B      1-Phase" dataDxfId="406"/>
    <tableColumn id="4" xr3:uid="{2027E9C0-B081-764A-92B9-3425DAB598FA}" name="Ref B      3-Phase" dataDxfId="405"/>
    <tableColumn id="5" xr3:uid="{881EC58B-27EC-C740-8104-21DB488464FA}" name="Ref C      Touching 1-Phase Flat" dataDxfId="404"/>
    <tableColumn id="6" xr3:uid="{1122F6BB-146A-4E42-B356-AE6DF575EADA}" name="Ref C      Touching 3-Phase" dataDxfId="403"/>
    <tableColumn id="7" xr3:uid="{F78FB527-5C4C-D849-B4C0-892CF0DBFFDF}" name="Ref F      Touching 1-Phase Flat" dataDxfId="402"/>
    <tableColumn id="8" xr3:uid="{BC97B3AE-77A7-C847-A15E-FD131691FD4A}" name="Ref F      Touching 3-Phase Flat" dataDxfId="401"/>
    <tableColumn id="9" xr3:uid="{FB8F73BA-6EF6-5147-BEF9-6B6069576E11}" name="Ref F      Touching 3-Phase Trefoil" dataDxfId="400"/>
    <tableColumn id="10" xr3:uid="{4A8C5A2F-1E67-2E43-9627-F1FF6A758159}" name="Ref F      Spaced   Flat Horizontal" dataDxfId="399"/>
    <tableColumn id="11" xr3:uid="{F7E9141A-6CDC-0147-9BB9-AA2C96EE1BFB}" name="Ref F      Spaced   Flat Vertical" dataDxfId="398"/>
    <tableColumn id="12" xr3:uid="{098BEAAB-704A-3047-896C-FCC18998BF4B}" name="Cable Size" dataDxfId="397"/>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92D7A4-0BC6-E64E-8C52-935425B4B60B}" name="Table138" displayName="Table138" ref="B134:J152" totalsRowShown="0" headerRowDxfId="396" dataDxfId="395">
  <autoFilter ref="B134:J152" xr:uid="{00000000-0009-0000-0100-000007000000}"/>
  <tableColumns count="9">
    <tableColumn id="1" xr3:uid="{F2AC4F0A-8F37-E640-BFDA-3E7ADBB12ABA}" name="Ref A      1-Phase" dataDxfId="394"/>
    <tableColumn id="2" xr3:uid="{7BC4515A-B88B-8947-99FB-F0D78629F4D7}" name="Ref A      3-Phase" dataDxfId="393"/>
    <tableColumn id="3" xr3:uid="{706E4CE4-FBDB-2443-839E-56841473F7EA}" name="Ref B      1-Phase" dataDxfId="392"/>
    <tableColumn id="4" xr3:uid="{F89297AC-B01A-C443-A753-0312BC5644F7}" name="Ref B      3-Phase" dataDxfId="391"/>
    <tableColumn id="5" xr3:uid="{2F640B1A-FC15-E541-8B29-98C16486B789}" name="Ref C      1-Phase" dataDxfId="390"/>
    <tableColumn id="6" xr3:uid="{2819E63D-1391-6346-8FD7-E6CDA6F3D277}" name="Ref C      3-Phase" dataDxfId="389"/>
    <tableColumn id="7" xr3:uid="{39EFFEAC-971D-124B-BE7D-1891681D8B09}" name="Ref E      1-Phase" dataDxfId="388"/>
    <tableColumn id="8" xr3:uid="{6BFA4C82-5B3E-F345-ACD2-80292358D991}" name="Ref E     3-Phase" dataDxfId="387"/>
    <tableColumn id="9" xr3:uid="{BFF7D58E-270E-6745-8DC1-E314C93EB662}" name="Cable Size" dataDxfId="38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CC99B1-E5F0-CE4C-8291-519B5AC083FC}" name="Table13249" displayName="Table13249" ref="B157:M170" totalsRowShown="0" headerRowDxfId="385" dataDxfId="384">
  <autoFilter ref="B157:M170" xr:uid="{00000000-0009-0000-0100-000008000000}"/>
  <tableColumns count="12">
    <tableColumn id="1" xr3:uid="{82CEC370-C125-F940-A4D7-6254549BDD3D}" name="Ref C      Touching 1-Phase Flat" dataDxfId="383"/>
    <tableColumn id="2" xr3:uid="{068FCE23-09BF-514D-B68F-74CE7E133243}" name="Ref C      Touching 3-Phase Flat" dataDxfId="382"/>
    <tableColumn id="3" xr3:uid="{E8CCC19E-5185-DB4A-9357-6438BEA9BC0A}" name="Ref F      Touching 1-Phase Flat" dataDxfId="381"/>
    <tableColumn id="4" xr3:uid="{9A690EFF-14BB-104E-B006-BCD1FFD99761}" name="Ref F      Touching 3-Phase Flat" dataDxfId="380"/>
    <tableColumn id="5" xr3:uid="{0BAF8325-0E0C-2B4E-9EC5-31845BF42D8D}" name="Ref F      Touching 3-Phase Trefoil" dataDxfId="379"/>
    <tableColumn id="6" xr3:uid="{BBF3BFF1-A03F-164C-ACEE-61D71FD9B26A}" name="Ref F      Spaced   D.C.   Horizontal" dataDxfId="378"/>
    <tableColumn id="7" xr3:uid="{7A2369B8-A87E-204B-B36D-A203DC118AAF}" name="Ref F      Spaced   D.C.   Vertical" dataDxfId="377"/>
    <tableColumn id="8" xr3:uid="{9C855780-7BFC-4648-9469-EFB84E90B69A}" name="Ref F      Spaced     1-Phase   Horizontal" dataDxfId="376"/>
    <tableColumn id="9" xr3:uid="{602498A4-0F4B-214D-B336-00FCADEE478B}" name="Ref F      Spaced   1-Phase   Vertical" dataDxfId="375"/>
    <tableColumn id="10" xr3:uid="{FD44C38F-72DA-A54C-A720-E7E458934B10}" name="Ref F      Spaced     3-Phase   Horizontal" dataDxfId="374"/>
    <tableColumn id="11" xr3:uid="{525CA405-9E96-154B-A391-06539FFAA2CF}" name="Ref F      Spaced     3-Phase   Vertical" dataDxfId="373"/>
    <tableColumn id="12" xr3:uid="{0B90640E-86E9-E342-AA6E-9FF42D688682}" name="Cable Size" dataDxfId="37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78ED5A-9728-9640-A3CE-87A100FBC308}" name="Table13510" displayName="Table13510" ref="B175:H192" totalsRowShown="0" headerRowDxfId="371" dataDxfId="370">
  <autoFilter ref="B175:H192" xr:uid="{00000000-0009-0000-0100-000009000000}"/>
  <tableColumns count="7">
    <tableColumn id="1" xr3:uid="{D4F598C6-F774-A245-9243-2B4B03CD40D2}" name="Ref C      1-Phase" dataDxfId="369"/>
    <tableColumn id="2" xr3:uid="{04C29071-6D86-8440-878B-F7B1BB6E2E27}" name="Ref C     3-Phase" dataDxfId="368"/>
    <tableColumn id="3" xr3:uid="{F21D7E28-3152-9A43-95F2-2B869937953F}" name="Ref E      1-Phase" dataDxfId="367"/>
    <tableColumn id="4" xr3:uid="{F98FC7C4-C27D-7642-8297-8E5EE5E4F817}" name="Ref E      3-Phase" dataDxfId="366"/>
    <tableColumn id="5" xr3:uid="{50D5D0E9-4216-D74E-83B0-7484886EB992}" name="Ref D      1-Phase2" dataDxfId="365"/>
    <tableColumn id="6" xr3:uid="{6FE7DD63-352B-6745-860B-1A07CF74C71A}" name="Ref D       3-Phase" dataDxfId="364"/>
    <tableColumn id="9" xr3:uid="{9E0DDEA8-CB86-3447-8CEA-A67A617129C6}" name="Cable Size" dataDxfId="36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2B8FE1-45F4-B44A-AF22-982950D7BF66}" name="Table13511" displayName="Table13511" ref="B197:E214" totalsRowShown="0" headerRowDxfId="362" dataDxfId="361">
  <autoFilter ref="B197:E214" xr:uid="{00000000-0009-0000-0100-00000A000000}"/>
  <tableColumns count="4">
    <tableColumn id="1" xr3:uid="{DCCB7E08-04C2-4242-93A9-BDE92FB6A283}" name="1-Phase Two-core " dataDxfId="360"/>
    <tableColumn id="2" xr3:uid="{4B9FCF36-8D0C-4042-922A-9BC44C3D1F05}" name="3-Phase" dataDxfId="359"/>
    <tableColumn id="3" xr3:uid="{B6A3816F-CDE4-3943-9BB2-B35F4AD865DF}" name="1-Phase Single-core" dataDxfId="358"/>
    <tableColumn id="9" xr3:uid="{B03F009D-7194-2641-99E5-B903C8AEA279}" name="Cable Size" dataDxfId="357"/>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73A58F-79D9-D946-A58A-4A31C9E7C9ED}" name="Table1351112" displayName="Table1351112" ref="B219:E236" totalsRowShown="0" headerRowDxfId="356" dataDxfId="355">
  <autoFilter ref="B219:E236" xr:uid="{00000000-0009-0000-0100-00000B000000}"/>
  <tableColumns count="4">
    <tableColumn id="1" xr3:uid="{C7BC598E-574E-8248-AAFC-405454E47A95}" name="1-Phase Two-core " dataDxfId="354"/>
    <tableColumn id="2" xr3:uid="{E54C70CA-6079-1642-B08E-0FA28F62AA58}" name="3-Phase" dataDxfId="353"/>
    <tableColumn id="3" xr3:uid="{0CA2C46F-6469-6545-B702-1AD0F47F273D}" name="1-Phase Single-core" dataDxfId="352"/>
    <tableColumn id="9" xr3:uid="{65D163C7-B8F0-DD41-B720-C2BF90BBA2E9}" name="Cable Size" dataDxfId="351"/>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FA90384-AC1F-7E40-9E7A-971DB3506A28}" name="Table132713" displayName="Table132713" ref="B253:J275" totalsRowShown="0" headerRowDxfId="350" dataDxfId="349">
  <autoFilter ref="B253:J275" xr:uid="{00000000-0009-0000-0100-00000C000000}"/>
  <tableColumns count="9">
    <tableColumn id="1" xr3:uid="{DFBC639F-9667-8047-9149-8C7396024340}" name="Ref C      1-Phase" dataDxfId="348"/>
    <tableColumn id="2" xr3:uid="{194A8F82-8175-EA44-93C8-507354B7CCAB}" name="Ref C      3-Phase Trefoil" dataDxfId="347"/>
    <tableColumn id="3" xr3:uid="{4650777B-B819-5B47-B466-615965EF1FD0}" name="Ref C     3-Phase Flat" dataDxfId="346"/>
    <tableColumn id="4" xr3:uid="{F63D3B77-F6F3-B846-A8C5-F04AC142A537}" name="Ref E,F,G      1-Phase" dataDxfId="345"/>
    <tableColumn id="5" xr3:uid="{550849B2-8B8F-2447-B8DC-08D6C058F9E8}" name="Ref E,F,G      3-Phase Trefoil" dataDxfId="344"/>
    <tableColumn id="6" xr3:uid="{3427F223-0BD0-F344-8635-674EB8F0A51A}" name="Ref E,F,G      Touching 3-Phase Flat" dataDxfId="343"/>
    <tableColumn id="7" xr3:uid="{BF267E42-7B42-BA47-A4AB-443B140DE1AD}" name="Ref E,F,G      Spaced     3-Phase Flat Vertical" dataDxfId="342"/>
    <tableColumn id="8" xr3:uid="{86425269-6F9D-9144-8FDC-2499835A6159}" name="Ref E,F,G      Spaced     3-Phase Flat Horizontal" dataDxfId="341"/>
    <tableColumn id="12" xr3:uid="{7DADAD61-FABB-5C49-B275-CD128F2D207E}" name="Cable Size" dataDxfId="340"/>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E5C70F5-1C87-1845-A752-E9B262BED809}" name="Table13271314" displayName="Table13271314" ref="B280:J302" totalsRowShown="0" headerRowDxfId="339" dataDxfId="338">
  <autoFilter ref="B280:J302" xr:uid="{00000000-0009-0000-0100-00000D000000}"/>
  <tableColumns count="9">
    <tableColumn id="1" xr3:uid="{E255A2DA-B172-854A-9A27-23E502BCFD7E}" name="Ref C      1-Phase" dataDxfId="337"/>
    <tableColumn id="2" xr3:uid="{0EC491FE-F50F-2B42-96AA-32AA7FECF1DA}" name="Ref C      3-Phase Trefoil" dataDxfId="336"/>
    <tableColumn id="3" xr3:uid="{677087E4-9AEE-F14B-B8B6-6C8E43F0402B}" name="Ref C     3-Phase Flat" dataDxfId="335"/>
    <tableColumn id="4" xr3:uid="{DD93A0DD-B99F-064A-B4D1-509740BE6D31}" name="Ref E,F,G      1-Phase" dataDxfId="334"/>
    <tableColumn id="5" xr3:uid="{01F60A36-D73C-6B48-99DF-6CD3E42EF749}" name="Ref E,F,G      3-Phase Trefoil" dataDxfId="333"/>
    <tableColumn id="6" xr3:uid="{B1C34053-0880-DB41-8E11-052187B999EA}" name="Ref E,F,G      Touching 3-Phase Flat" dataDxfId="332"/>
    <tableColumn id="7" xr3:uid="{33D99F2B-A68F-B241-A635-485EF462D77E}" name="Ref E,F,G      Spaced     3-Phase Flat Vertical" dataDxfId="331"/>
    <tableColumn id="8" xr3:uid="{E073D6ED-43BC-6B4F-A6D3-0DD3EF8FE162}" name="Ref E,F,G      Spaced     3-Phase Flat Horizontal" dataDxfId="330"/>
    <tableColumn id="12" xr3:uid="{8354A0F5-78CC-884C-9283-BEF837D5CB48}" name="Cable Size" dataDxfId="329"/>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7F483D-ECBD-D442-B527-1612CA39F8A6}" name="Table1315" displayName="Table1315" ref="B326:J337" totalsRowShown="0" headerRowDxfId="328" dataDxfId="327">
  <autoFilter ref="B326:J337" xr:uid="{00000000-0009-0000-0100-00000E000000}"/>
  <tableColumns count="9">
    <tableColumn id="1" xr3:uid="{0DC71F84-F504-1749-8CE0-0482348332AF}" name="Ref A      1-Phase" dataDxfId="326"/>
    <tableColumn id="2" xr3:uid="{DFD03A18-96FC-6247-A14E-455FA79576B9}" name="Ref A      3-Phase" dataDxfId="325"/>
    <tableColumn id="3" xr3:uid="{65DFBBAE-B2B0-6744-BD4E-A4430419F917}" name="Ref B      1-Phase" dataDxfId="324"/>
    <tableColumn id="4" xr3:uid="{22453F02-142C-454D-A722-726F3356B39C}" name="Ref B      3-Phase" dataDxfId="323"/>
    <tableColumn id="5" xr3:uid="{A45D7D5E-CD53-9F46-94A8-64C638B3FB7C}" name="Ref C      1-Phase" dataDxfId="322"/>
    <tableColumn id="6" xr3:uid="{67A89AF4-9C52-F349-9D5A-BE8DC7835430}" name="Ref C       3-Phase" dataDxfId="321"/>
    <tableColumn id="7" xr3:uid="{024429F7-115E-9849-8319-157FDA92113D}" name="Ref E      1-Phase" dataDxfId="320"/>
    <tableColumn id="8" xr3:uid="{560F5836-21A1-FD4C-9910-4E8372E5215F}" name="Ref E       3-Phase" dataDxfId="319"/>
    <tableColumn id="9" xr3:uid="{0D0CA484-DB56-0347-A90E-CC2896A77496}" name="Cable Size" dataDxfId="318"/>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93C2F58-7EEE-9648-9244-3FA30A44C3EF}" name="Table13216" displayName="Table13216" ref="B307:M321" totalsRowShown="0" headerRowDxfId="317" dataDxfId="316">
  <autoFilter ref="B307:M321" xr:uid="{00000000-0009-0000-0100-00000F000000}"/>
  <tableColumns count="12">
    <tableColumn id="1" xr3:uid="{4C5FE5CC-34BA-2C49-8C1E-D642993EFE8E}" name="Ref A      1-Phase" dataDxfId="315"/>
    <tableColumn id="2" xr3:uid="{A90C4450-FF7E-9747-A032-6B50AB0D544D}" name="Ref A      3-Phase" dataDxfId="314"/>
    <tableColumn id="3" xr3:uid="{2357887B-4CAF-6D42-A089-0D6F958336A7}" name="Ref B      1-Phase" dataDxfId="313"/>
    <tableColumn id="4" xr3:uid="{89B25D8F-D806-C147-A1C1-12D6C6BA7659}" name="Ref B      3-Phase" dataDxfId="312"/>
    <tableColumn id="5" xr3:uid="{2BA067DB-13C5-1F43-8164-C2A02D2DFEAF}" name="Ref C      Touching 1-Phase Flat" dataDxfId="311"/>
    <tableColumn id="6" xr3:uid="{316AF11A-58DC-5143-8ADD-874FAF0F0C50}" name="Ref C      Touching 3-Phase" dataDxfId="310"/>
    <tableColumn id="7" xr3:uid="{930FEBC5-AB03-BA42-AA01-0E7C1ED6DE3B}" name="Ref F      Touching 1-Phase Flat" dataDxfId="309"/>
    <tableColumn id="8" xr3:uid="{0360649E-E3E1-AA4A-8E31-C63245CA0DD0}" name="Ref F      Touching 3-Phase Flat" dataDxfId="308"/>
    <tableColumn id="9" xr3:uid="{68799CA0-DA49-2A41-A3CA-6FA2BFB21CC6}" name="Ref F      Touching 3-Phase Trefoil" dataDxfId="307"/>
    <tableColumn id="10" xr3:uid="{2D8E902C-8D09-4E4E-9116-7DDC88C8A2B9}" name="Ref F      Spaced    Flat Horizontal" dataDxfId="306"/>
    <tableColumn id="11" xr3:uid="{3DA555C5-AA5A-864B-87A8-717BC26C010A}" name="Ref F      Spaced   Flat Vertical" dataDxfId="305"/>
    <tableColumn id="12" xr3:uid="{D1875A26-631E-7745-99AA-272BF8B513D0}" name="Cable Size" dataDxfId="304"/>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43D8904-611B-9341-B9B1-9A014EFBB37C}" name="Table132417" displayName="Table132417" ref="B342:M356" totalsRowShown="0" headerRowDxfId="303" dataDxfId="302">
  <autoFilter ref="B342:M356" xr:uid="{00000000-0009-0000-0100-000010000000}"/>
  <tableColumns count="12">
    <tableColumn id="1" xr3:uid="{6543A18A-EA9F-5A4F-AADF-FB5E22E3B550}" name="Ref C      Touching 1-Phase Flat" dataDxfId="301"/>
    <tableColumn id="2" xr3:uid="{93F1E9A1-708F-314E-82A2-75464D79932A}" name="Ref C      Touching 3-Phase Flat" dataDxfId="300"/>
    <tableColumn id="3" xr3:uid="{049EBDDD-C52C-D24B-A591-7BF99301F7D1}" name="Ref F      Touching 1-Phase Flat" dataDxfId="299"/>
    <tableColumn id="4" xr3:uid="{B9D30280-A4A1-F946-9ED2-3CCAEC73868C}" name="Ref F      Touching 3-Phase Flat" dataDxfId="298"/>
    <tableColumn id="5" xr3:uid="{FE9C2CD6-FC4D-1042-8F85-86062E74E777}" name="Ref F      Touching 3-Phase Trefoil" dataDxfId="297"/>
    <tableColumn id="6" xr3:uid="{58BFF602-0AA0-334A-A509-07D843A9BC48}" name="Ref F      Spaced   D.C.   Horizontal" dataDxfId="296"/>
    <tableColumn id="7" xr3:uid="{8A5FC9D8-C52F-614E-BBAF-7038D85E6ABB}" name="Ref F      Spaced   D.C.   Vertical" dataDxfId="295"/>
    <tableColumn id="8" xr3:uid="{FC6663CB-16C0-B74A-9436-0125CEE3DA87}" name="Ref F      Spaced     1-Phase   Horizontal" dataDxfId="294"/>
    <tableColumn id="9" xr3:uid="{64329233-5E20-4247-B033-66B6AD207F3F}" name="Ref F      Spaced   1-Phase   Vertical" dataDxfId="293"/>
    <tableColumn id="10" xr3:uid="{7A1FA81B-2C30-D54C-8C4D-EFF994106290}" name="Ref F      Spaced     3-Phase   Horizontal" dataDxfId="292"/>
    <tableColumn id="11" xr3:uid="{D4F555BE-2EF4-DA48-BB4F-75BCC1C5BDE8}" name="Ref F      Spaced     3-Phase   Vertical" dataDxfId="291"/>
    <tableColumn id="12" xr3:uid="{26F5D117-9E9A-FA4F-A477-D35214877032}" name="Cable Size" dataDxfId="290"/>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DA8BD7-8BDF-D643-9FD2-B4CF6A0087C0}" name="Table13518" displayName="Table13518" ref="B361:H372" totalsRowShown="0" headerRowDxfId="289" dataDxfId="288">
  <autoFilter ref="B361:H372" xr:uid="{00000000-0009-0000-0100-000011000000}"/>
  <tableColumns count="7">
    <tableColumn id="1" xr3:uid="{F63729E2-B0B4-E448-B0F1-A334443D0596}" name="Ref C      1-Phase" dataDxfId="287"/>
    <tableColumn id="2" xr3:uid="{3845F0FD-1350-7445-9D37-DED49DD677CA}" name="Ref C     3-Phase" dataDxfId="286"/>
    <tableColumn id="3" xr3:uid="{EFF6438D-2BD3-BE49-B084-048204EF5ACF}" name="Ref E      1-Phase" dataDxfId="285"/>
    <tableColumn id="4" xr3:uid="{E9D00104-FE6B-4C43-B329-6953BAAC7C99}" name="Ref E      3-Phase" dataDxfId="284"/>
    <tableColumn id="5" xr3:uid="{6BF0A041-CB9C-704F-B2F1-74E4C0F8833C}" name="Ref D      1-Phase2" dataDxfId="283"/>
    <tableColumn id="6" xr3:uid="{D94928BE-1DEA-A94C-8758-DEB254EDB949}" name="Ref D       3-Phase" dataDxfId="282"/>
    <tableColumn id="9" xr3:uid="{67D46232-A09C-1D49-9F11-7A5D91F621C4}" name="Cable Size" dataDxfId="281"/>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4E580DE-35C2-5F47-8650-938691C9BF16}" name="Table132719" displayName="Table132719" ref="B377:M391" totalsRowShown="0" headerRowDxfId="280" dataDxfId="279">
  <autoFilter ref="B377:M391" xr:uid="{00000000-0009-0000-0100-000012000000}"/>
  <tableColumns count="12">
    <tableColumn id="1" xr3:uid="{977DC0F5-D51C-9E4D-9DDB-3165F08F489F}" name="Ref A      1-Phase" dataDxfId="278"/>
    <tableColumn id="2" xr3:uid="{48A7A9DE-A71C-9349-9B53-588A2D60991C}" name="Ref A      3-Phase" dataDxfId="277"/>
    <tableColumn id="3" xr3:uid="{31AB2D17-2A5A-7644-856B-C1F0A7C503D2}" name="Ref B      1-Phase" dataDxfId="276"/>
    <tableColumn id="4" xr3:uid="{1951BC6E-C885-C740-BEF5-093198D02098}" name="Ref B      3-Phase" dataDxfId="275"/>
    <tableColumn id="5" xr3:uid="{B22405E2-BB86-8C4C-8ECC-4D36F6E28444}" name="Ref C      Touching 1-Phase Flat" dataDxfId="274"/>
    <tableColumn id="6" xr3:uid="{A01DCA7F-4B23-8540-A0E1-E6F2F02840EB}" name="Ref C      Touching 3-Phase" dataDxfId="273"/>
    <tableColumn id="7" xr3:uid="{419C3070-4E0C-8A48-A33A-18211FEF0775}" name="Ref F      Touching 1-Phase Flat" dataDxfId="272"/>
    <tableColumn id="8" xr3:uid="{8262FCCD-78C0-6543-BF6D-8502E999731D}" name="Ref F      Touching 3-Phase Flat" dataDxfId="271"/>
    <tableColumn id="9" xr3:uid="{6AF71A5C-520D-9B41-B0AB-39A2950036E1}" name="Ref F      Touching 3-Phase Trefoil" dataDxfId="270"/>
    <tableColumn id="10" xr3:uid="{CD9ADE49-922A-6442-AC3C-B251F8E1947D}" name="Ref F      Spaced   Flat Horizontal" dataDxfId="269"/>
    <tableColumn id="11" xr3:uid="{1B609165-20D2-D440-B290-AC0904B15A47}" name="Ref F      Spaced   Flat Vertical" dataDxfId="268"/>
    <tableColumn id="12" xr3:uid="{D3B76686-9B4F-8A4F-8DA3-B4FF02DC9EEE}" name="Cable Size" dataDxfId="267"/>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84589A7-1EC3-094B-ACEA-FFB151D316D4}" name="Table13820" displayName="Table13820" ref="B396:J407" totalsRowShown="0" headerRowDxfId="266" dataDxfId="265">
  <autoFilter ref="B396:J407" xr:uid="{00000000-0009-0000-0100-000013000000}"/>
  <tableColumns count="9">
    <tableColumn id="1" xr3:uid="{1673942B-2C50-B841-A02B-1E16D7260D01}" name="Ref A      1-Phase" dataDxfId="264"/>
    <tableColumn id="2" xr3:uid="{A2F33BA8-22C0-914E-B0A3-96186C89D34A}" name="Ref A      3-Phase" dataDxfId="263"/>
    <tableColumn id="3" xr3:uid="{EA4577CB-C163-384C-9074-9D185EB16D59}" name="Ref B      1-Phase" dataDxfId="262"/>
    <tableColumn id="4" xr3:uid="{FE33DECC-9DAA-1744-8511-DE65626F4B88}" name="Ref B      3-Phase" dataDxfId="261"/>
    <tableColumn id="5" xr3:uid="{8EB2439F-2A5B-6C49-B76F-5385ECEE2CFA}" name="Ref C      1-Phase" dataDxfId="260"/>
    <tableColumn id="6" xr3:uid="{E8B87F04-0AA3-7743-A532-3B980DD91F53}" name="Ref C      3-Phase" dataDxfId="259"/>
    <tableColumn id="7" xr3:uid="{5AC1E31C-C239-BF43-8F8C-078304BAFD38}" name="Ref E      1-Phase" dataDxfId="258"/>
    <tableColumn id="8" xr3:uid="{1E22B2D1-E135-0940-ADB4-DEF469D1733C}" name="Ref E     3-Phase" dataDxfId="257"/>
    <tableColumn id="9" xr3:uid="{730135D8-55EB-4D4D-80DF-8C04C7521219}" name="Cable Size" dataDxfId="256"/>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987E4A6-AF6B-BA4E-9E8D-94A3ABCC86D5}" name="Table1324921" displayName="Table1324921" ref="B412:M426" totalsRowShown="0" headerRowDxfId="255" dataDxfId="254">
  <autoFilter ref="B412:M426" xr:uid="{00000000-0009-0000-0100-000014000000}"/>
  <tableColumns count="12">
    <tableColumn id="1" xr3:uid="{1A9B1545-1974-D54C-98B4-F6FE3DF44029}" name="Ref C      Touching 1-Phase Flat" dataDxfId="253"/>
    <tableColumn id="2" xr3:uid="{FB3E3318-AFF2-564D-868D-7F3B643F0C13}" name="Ref C      Touching 3-Phase Flat" dataDxfId="252"/>
    <tableColumn id="3" xr3:uid="{5512CC60-89A0-6B47-9E6B-C459F2D3DF97}" name="Ref F      Touching 1-Phase Flat" dataDxfId="251"/>
    <tableColumn id="4" xr3:uid="{40A93E0F-E7DF-1F4B-BBC0-2F2290CCDEA1}" name="Ref F      Touching 3-Phase Flat" dataDxfId="250"/>
    <tableColumn id="5" xr3:uid="{CEAEA337-6735-3F40-8DB2-BD6F8E306460}" name="Ref F      Touching 3-Phase Trefoil" dataDxfId="249"/>
    <tableColumn id="6" xr3:uid="{32C0E437-860B-0B44-9E5A-C66261751BE3}" name="Ref F      Spaced   D.C.   Horizontal" dataDxfId="248"/>
    <tableColumn id="7" xr3:uid="{8FFCE900-B1AD-824F-91E1-4954148831BD}" name="Ref F      Spaced   D.C.   Vertical" dataDxfId="247"/>
    <tableColumn id="8" xr3:uid="{06CDE74A-BCE0-6C45-ACD4-6E3ACBE20753}" name="Ref F      Spaced     1-Phase   Horizontal" dataDxfId="246"/>
    <tableColumn id="9" xr3:uid="{46361111-7236-5F49-A66F-51C76D045135}" name="Ref F      Spaced   1-Phase   Vertical" dataDxfId="245"/>
    <tableColumn id="10" xr3:uid="{7A194A52-8EC6-ED4F-919D-420900969308}" name="Ref F      Spaced     3-Phase   Horizontal" dataDxfId="244"/>
    <tableColumn id="11" xr3:uid="{C56EA2DC-DCB1-6044-A111-5BCCB5D5133F}" name="Ref F      Spaced     3-Phase   Vertical" dataDxfId="243"/>
    <tableColumn id="12" xr3:uid="{57BD4B49-E112-8249-8596-53B8209ADEFE}" name="Cable Size" dataDxfId="242"/>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5454916-17F4-4542-9A7D-B1AD2C2C4AD9}" name="Table1351022" displayName="Table1351022" ref="B431:H442" totalsRowShown="0" headerRowDxfId="241" dataDxfId="240">
  <autoFilter ref="B431:H442" xr:uid="{00000000-0009-0000-0100-000015000000}"/>
  <tableColumns count="7">
    <tableColumn id="1" xr3:uid="{E437BF8C-5DA4-AB4F-8B17-0935A2B563FE}" name="Ref C      1-Phase" dataDxfId="239"/>
    <tableColumn id="2" xr3:uid="{E4550746-79B7-874F-890C-8BBA74D60D32}" name="Ref C     3-Phase" dataDxfId="238"/>
    <tableColumn id="3" xr3:uid="{80E819D3-282A-5F46-A290-834A000C7115}" name="Ref E      1-Phase" dataDxfId="237"/>
    <tableColumn id="4" xr3:uid="{FFC03573-1388-E64A-8E2D-B76A27A1F819}" name="Ref E      3-Phase" dataDxfId="236"/>
    <tableColumn id="5" xr3:uid="{D3E8E9A2-AEAA-014A-A600-0B7DE7E73584}" name="Ref D      1-Phase2" dataDxfId="235"/>
    <tableColumn id="6" xr3:uid="{FD8CBCC2-C2EE-524C-99B9-3D7D615E1CBA}" name="Ref D       3-Phase" dataDxfId="234"/>
    <tableColumn id="9" xr3:uid="{420EBFD7-5E6E-FD46-B24A-98EF9736E88D}" name="Cable Size" dataDxfId="233"/>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1AD856-A0DB-154B-89A7-F2E5BA47B268}" name="Table135111224" displayName="Table135111224" ref="B241:E248" totalsRowShown="0" headerRowDxfId="232" dataDxfId="231">
  <autoFilter ref="B241:E248" xr:uid="{00000000-0009-0000-0100-000016000000}"/>
  <tableColumns count="4">
    <tableColumn id="1" xr3:uid="{1BBE7E2E-5F58-9F4E-A904-8BACFEB0D12C}" name="1-Phase " dataDxfId="230"/>
    <tableColumn id="2" xr3:uid="{37354591-3C7E-464C-BA14-D775C105E3A3}" name="3-Phase" dataDxfId="229"/>
    <tableColumn id="3" xr3:uid="{CC938B2D-3DF8-4443-81BD-F548FEC5A192}" name="Mass Support" dataDxfId="228"/>
    <tableColumn id="9" xr3:uid="{E33CAB35-2C00-D448-924A-38978C9E6657}" name="Cable Size" dataDxfId="227"/>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3637DD3-78B0-984A-BAA8-AC6F90D417BD}" name="Table1325" displayName="Table1325" ref="U5:AC27" totalsRowShown="0" headerRowDxfId="226" dataDxfId="225">
  <autoFilter ref="U5:AC27" xr:uid="{00000000-0009-0000-0100-000017000000}"/>
  <tableColumns count="9">
    <tableColumn id="1" xr3:uid="{442775B6-B70A-364D-AFA6-5852AD544214}" name="Ref A      1-Phase" dataDxfId="224"/>
    <tableColumn id="2" xr3:uid="{701A09C9-7476-6046-B633-66291D7BF8C1}" name="Ref A      3-Phase" dataDxfId="223"/>
    <tableColumn id="3" xr3:uid="{483EDBDD-EDC7-F245-827A-1FE7919942C9}" name="Ref B      1-Phase" dataDxfId="222"/>
    <tableColumn id="4" xr3:uid="{6778384E-C5AA-E34A-8630-F1937A0E03A3}" name="Ref B      3-Phase" dataDxfId="221"/>
    <tableColumn id="5" xr3:uid="{6D3945F5-5A70-9C4F-8F75-EF734A292399}" name="Ref C      1-Phase" dataDxfId="220"/>
    <tableColumn id="6" xr3:uid="{6D09A362-74DC-0A45-8307-1D3A71F176C2}" name="Ref C       3-Phase" dataDxfId="219"/>
    <tableColumn id="7" xr3:uid="{1C66AF4D-BD57-7C40-BC70-74F2A490E70C}" name="Ref E      1-Phase" dataDxfId="218"/>
    <tableColumn id="8" xr3:uid="{AFDE039E-5C83-0B44-9039-846561275FE6}" name="Ref E       3-Phase" dataDxfId="217"/>
    <tableColumn id="9" xr3:uid="{43DA4CB7-3BAD-684F-9A1B-10462DF4256F}" name="Cable Size" dataDxfId="216"/>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0227268-CB0F-DB4D-8D60-043E6CE5275C}" name="Table1351125" displayName="Table1351125" ref="U32:X50" totalsRowShown="0" headerRowDxfId="215" dataDxfId="214">
  <autoFilter ref="U32:X50" xr:uid="{00000000-0009-0000-0100-000018000000}"/>
  <tableColumns count="4">
    <tableColumn id="1" xr3:uid="{71D2A83C-2BCB-B243-BD55-2ECFCF6ABE49}" name="1-Phase Two-core " dataDxfId="213"/>
    <tableColumn id="2" xr3:uid="{CB1B4D2C-17D8-D74F-90A3-B7EE84A5EA46}" name="3-Phase" dataDxfId="212"/>
    <tableColumn id="3" xr3:uid="{3161F2E9-016F-3449-A627-1F9AE60307C8}" name="1-Phase Single-core" dataDxfId="211"/>
    <tableColumn id="9" xr3:uid="{4D814E3F-CD96-7348-A939-FAA2AABFB37F}" name="Cable Size" dataDxfId="21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A095F3E-A8BE-1F41-AB80-EE779DC0BCB0}" name="Table132526" displayName="Table132526" ref="U55:AA68" totalsRowShown="0" headerRowDxfId="209" dataDxfId="208">
  <autoFilter ref="U55:AA68" xr:uid="{00000000-0009-0000-0100-000019000000}"/>
  <tableColumns count="7">
    <tableColumn id="1" xr3:uid="{2CA16CE5-2329-E544-9B65-03DE2A0D06FC}" name="Ref A      1-Phase" dataDxfId="207"/>
    <tableColumn id="2" xr3:uid="{5D0F6663-5F90-6D43-A6FD-C2805030777A}" name="Ref A      3-Phase" dataDxfId="206"/>
    <tableColumn id="3" xr3:uid="{7898948B-8B28-474B-9F22-BD129275EDE4}" name="Ref B      1-Phase" dataDxfId="205"/>
    <tableColumn id="4" xr3:uid="{5C6F239B-6334-8048-B711-D02F5043A392}" name="Ref B      3-Phase" dataDxfId="204"/>
    <tableColumn id="5" xr3:uid="{4D7C5C12-A3B5-8A41-9B38-C147F9C58CDC}" name="Ref C      1-Phase" dataDxfId="203"/>
    <tableColumn id="6" xr3:uid="{412E0794-DFBE-3C4A-9CE8-ED3186893C96}" name="Ref C       3-Phase" dataDxfId="202"/>
    <tableColumn id="9" xr3:uid="{2862A2A8-8FC9-0841-918D-B758A69C5279}" name="Cable Size" dataDxfId="201"/>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A5B6CAA-370D-A64C-AB72-EEFE7CD56F9E}" name="Table135112527" displayName="Table135112527" ref="U73:X90" totalsRowShown="0" headerRowDxfId="200" dataDxfId="199">
  <autoFilter ref="U73:X90" xr:uid="{00000000-0009-0000-0100-00001A000000}"/>
  <tableColumns count="4">
    <tableColumn id="1" xr3:uid="{805BC523-2031-A747-B3C5-0CEF394607B7}" name="1-Phase Two-core " dataDxfId="198"/>
    <tableColumn id="2" xr3:uid="{C3C6DD1A-A36E-1D4B-BDAA-EB8E3466F724}" name="3-Phase" dataDxfId="197"/>
    <tableColumn id="3" xr3:uid="{76681962-D54C-E848-AA60-8150FED3638B}" name="1-Phase Single-core" dataDxfId="196"/>
    <tableColumn id="9" xr3:uid="{F0DAB1C6-85DF-8E4F-B416-F04412A55E1A}" name="Cable Size" dataDxfId="195"/>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B5C3B87-4309-3542-8357-2CB25FBCFB2C}" name="Table132528" displayName="Table132528" ref="U107:AC129" totalsRowShown="0" headerRowDxfId="194" dataDxfId="193">
  <autoFilter ref="U107:AC129" xr:uid="{00000000-0009-0000-0100-00001B000000}"/>
  <tableColumns count="9">
    <tableColumn id="1" xr3:uid="{CD264298-C41B-B94F-9D9A-C30E55A7F082}" name="Ref A      1-Phase" dataDxfId="192"/>
    <tableColumn id="2" xr3:uid="{7AB0986D-E76A-EB4A-90E7-EDFCD2575D10}" name="Ref A      3-Phase" dataDxfId="191"/>
    <tableColumn id="3" xr3:uid="{33E2B133-0463-8B48-9331-E62065EAFCB1}" name="Ref B      1-Phase" dataDxfId="190"/>
    <tableColumn id="4" xr3:uid="{1B68A3F2-A410-E147-8EA6-2722B0531A6A}" name="Ref B      3-Phase" dataDxfId="189"/>
    <tableColumn id="5" xr3:uid="{64FA6EEE-31D9-4043-B880-8EF1B001AA37}" name="Ref C      1-Phase" dataDxfId="188"/>
    <tableColumn id="6" xr3:uid="{7DC397DD-466B-0443-825A-EBDD19096741}" name="Ref C       3-Phase" dataDxfId="187"/>
    <tableColumn id="7" xr3:uid="{F9C00A81-A0BA-D44C-820C-ADD707FB27D7}" name="Ref E      1-Phase" dataDxfId="186"/>
    <tableColumn id="8" xr3:uid="{19A4B9BD-22AC-5B4B-BC98-65EAA8BD95B1}" name="Ref E       3-Phase" dataDxfId="185"/>
    <tableColumn id="9" xr3:uid="{EFE6A836-769B-3E46-849B-7878C4D3C557}" name="Cable Size" dataDxfId="184"/>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E388ED3-C3AD-7647-9E76-838A5A42213E}" name="Table135112529" displayName="Table135112529" ref="U134:X152" totalsRowShown="0" headerRowDxfId="183" dataDxfId="182">
  <autoFilter ref="U134:X152" xr:uid="{00000000-0009-0000-0100-00001C000000}"/>
  <tableColumns count="4">
    <tableColumn id="1" xr3:uid="{286CC2F4-10EB-714E-A1C7-C9126272023A}" name="1-Phase Two-core " dataDxfId="181"/>
    <tableColumn id="2" xr3:uid="{41A3CAFC-1BF6-9841-8427-46F42DA43E05}" name="3-Phase" dataDxfId="180"/>
    <tableColumn id="3" xr3:uid="{96190F94-65C1-404B-9A44-DB5DB4C5D48C}" name="1-Phase Single-core" dataDxfId="179"/>
    <tableColumn id="9" xr3:uid="{FF89EF52-3E74-8C47-B0DE-07DD29D8C413}" name="Cable Size" dataDxfId="178"/>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E483294-5A3B-BF48-B8A8-DA0ABF1DC36A}" name="Table13252630" displayName="Table13252630" ref="U157:AA170" totalsRowShown="0" headerRowDxfId="177" dataDxfId="176">
  <autoFilter ref="U157:AA170" xr:uid="{00000000-0009-0000-0100-00001D000000}"/>
  <tableColumns count="7">
    <tableColumn id="1" xr3:uid="{88244552-406E-0D41-8343-5F2F21AD93E3}" name="Ref A      1-Phase" dataDxfId="175"/>
    <tableColumn id="2" xr3:uid="{23B0923A-6016-6B4B-8EF4-0196414F8202}" name="Ref A      3-Phase" dataDxfId="174"/>
    <tableColumn id="3" xr3:uid="{26C803A5-56E0-FA4B-9105-93FD1117ABFC}" name="Ref B      1-Phase" dataDxfId="173"/>
    <tableColumn id="4" xr3:uid="{7C85C8DB-1FA5-C541-872D-112E685550A4}" name="Ref B      3-Phase" dataDxfId="172"/>
    <tableColumn id="5" xr3:uid="{E48B910A-D3E8-0340-94D6-F72A13DAD772}" name="Ref C      1-Phase" dataDxfId="171"/>
    <tableColumn id="6" xr3:uid="{6A92A41D-B5D0-9E46-ABD8-FDBE4C5BBB93}" name="Ref C       3-Phase" dataDxfId="170"/>
    <tableColumn id="9" xr3:uid="{ED47B4E4-8201-6B47-9CC9-40F8AB70EBC4}" name="Cable Size" dataDxfId="169"/>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4D35542-F5C7-A040-A576-AABB80448DCC}" name="Table13511252731" displayName="Table13511252731" ref="U175:X192" totalsRowShown="0" headerRowDxfId="168" dataDxfId="167">
  <autoFilter ref="U175:X192" xr:uid="{00000000-0009-0000-0100-00001E000000}"/>
  <tableColumns count="4">
    <tableColumn id="1" xr3:uid="{6C1DD6A4-51AB-B047-B3B6-EBDC7DB8CC3D}" name="1-Phase Two-core " dataDxfId="166"/>
    <tableColumn id="2" xr3:uid="{67A9DE25-6DDA-AA47-A614-908C221007A4}" name="3-Phase" dataDxfId="165"/>
    <tableColumn id="3" xr3:uid="{1E46A9AA-1975-2C43-B5F3-BE552E58B13C}" name="1-Phase Single-core" dataDxfId="164"/>
    <tableColumn id="9" xr3:uid="{6CC414B1-E2DE-4B48-9A1B-0A9143B4346A}" name="Cable Size" dataDxfId="163"/>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E83E226-158C-3342-824F-F5F311306584}" name="Table1325263032" displayName="Table1325263032" ref="U197:Z214" totalsRowShown="0" headerRowDxfId="162" dataDxfId="161">
  <autoFilter ref="U197:Z214" xr:uid="{00000000-0009-0000-0100-00001F000000}"/>
  <tableColumns count="6">
    <tableColumn id="1" xr3:uid="{6839D94C-0751-3049-8347-BFADF4A131C3}" name="Ref A      1-Phase" dataDxfId="160"/>
    <tableColumn id="2" xr3:uid="{851784FD-ED3E-0D40-959D-506271E178BF}" name="Ref A      3-Phase" dataDxfId="159"/>
    <tableColumn id="3" xr3:uid="{06CFB962-A74E-5343-8FCF-7168A62B582F}" name="Ref B      1-Phase" dataDxfId="158"/>
    <tableColumn id="4" xr3:uid="{E376AF64-DEF9-4D4D-A57E-CCA00E5B4F87}" name="Ref B      3-Phase" dataDxfId="157"/>
    <tableColumn id="5" xr3:uid="{24622E45-356F-EC4C-B4FF-E916E424FDA4}" name="Ref C      1-Phase" dataDxfId="156"/>
    <tableColumn id="9" xr3:uid="{1320BF40-CA67-FC4A-B637-B9701CE70F37}" name="Cable Size" dataDxfId="155"/>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62DF729-8EF9-084E-BC33-BEB43097A2D8}" name="Table132526303233" displayName="Table132526303233" ref="U219:Y236" totalsRowShown="0" headerRowDxfId="154" dataDxfId="153">
  <autoFilter ref="U219:Y236" xr:uid="{00000000-0009-0000-0100-000020000000}"/>
  <tableColumns count="5">
    <tableColumn id="1" xr3:uid="{D0AE4E37-EC70-2843-AFBC-461F77FB177A}" name="Ref A      1-Phase" dataDxfId="152"/>
    <tableColumn id="2" xr3:uid="{92008B8B-D102-D043-806A-8E05AA4E29CF}" name="Ref A      3-Phase" dataDxfId="151"/>
    <tableColumn id="3" xr3:uid="{B95C18D8-8E65-844A-9B77-CEACE0DBCAB2}" name="Ref B      1-Phase" dataDxfId="150"/>
    <tableColumn id="4" xr3:uid="{5F744D7F-AF21-2445-89DA-590DA395B762}" name="Ref B      3-Phase" dataDxfId="149"/>
    <tableColumn id="9" xr3:uid="{EB48D9DA-6EC7-594A-84F5-3AEC7125AC1B}" name="Cable Size" dataDxfId="148"/>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132DA25-B470-A040-BDF4-C434DCC3DDF3}" name="Table13252630323334" displayName="Table13252630323334" ref="U241:W248" totalsRowShown="0" headerRowDxfId="147" dataDxfId="146">
  <autoFilter ref="U241:W248" xr:uid="{00000000-0009-0000-0100-000021000000}"/>
  <tableColumns count="3">
    <tableColumn id="1" xr3:uid="{3F6A6880-AC94-3647-8A85-D5A203894DA8}" name="Ref A      1-Phase" dataDxfId="145"/>
    <tableColumn id="2" xr3:uid="{146399FF-4C07-544F-99B6-777CA87E38BD}" name="Ref A      3-Phase" dataDxfId="144"/>
    <tableColumn id="9" xr3:uid="{CA97158B-BD6D-2948-9C8C-E2D3606858B2}" name="Cable Size" dataDxfId="143"/>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79C5BCE-1825-1244-8CD6-44A23CEAF7DC}" name="Table13252835" displayName="Table13252835" ref="U253:AA269" totalsRowShown="0" headerRowDxfId="142" dataDxfId="141">
  <autoFilter ref="U253:AA269" xr:uid="{00000000-0009-0000-0100-000022000000}"/>
  <tableColumns count="7">
    <tableColumn id="1" xr3:uid="{0DD43760-916D-E045-9276-784738D9CF46}" name="Ref A      1-Phase" dataDxfId="140"/>
    <tableColumn id="2" xr3:uid="{AE646303-8EDF-1C45-87A9-98BDCD8E4AD4}" name="Ref A      3-Phase" dataDxfId="139"/>
    <tableColumn id="3" xr3:uid="{8FC7715F-F33C-5C42-8CD2-408760852A4D}" name="Ref B      1-Phase" dataDxfId="138"/>
    <tableColumn id="4" xr3:uid="{E7500A6C-3A01-AF49-AECC-43CB9F4B3306}" name="Ref B      3-Phase" dataDxfId="137"/>
    <tableColumn id="5" xr3:uid="{8BF20898-863A-E043-87DE-A37F45BEFEF8}" name="Ref C      1-Phase" dataDxfId="136"/>
    <tableColumn id="6" xr3:uid="{978C7074-349D-DF4C-9AC8-BB23EFFEDCDF}" name="Ref C       3-Phase" dataDxfId="135"/>
    <tableColumn id="9" xr3:uid="{69D26A98-D975-F244-996F-40C60BBBC181}" name="Cable Size" dataDxfId="134"/>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53602A3-2583-FF46-B874-E9CB522FB29E}" name="Table1325283536" displayName="Table1325283536" ref="U280:AA296" totalsRowShown="0" headerRowDxfId="133" dataDxfId="132">
  <autoFilter ref="U280:AA296" xr:uid="{00000000-0009-0000-0100-000023000000}"/>
  <tableColumns count="7">
    <tableColumn id="1" xr3:uid="{2A69F06F-33D6-C94F-AC05-47AF903FEF18}" name="Ref A      1-Phase" dataDxfId="131"/>
    <tableColumn id="2" xr3:uid="{781D8D34-40A6-734F-B968-7E38FCE5B2F1}" name="Ref A      3-Phase" dataDxfId="130"/>
    <tableColumn id="3" xr3:uid="{9594DB4F-A46C-5E42-A34A-64E30FF3A786}" name="Ref B      1-Phase" dataDxfId="129"/>
    <tableColumn id="4" xr3:uid="{EF91A6F7-9752-F546-9D4A-6C9B8280B50A}" name="Ref B      3-Phase" dataDxfId="128"/>
    <tableColumn id="5" xr3:uid="{41B000A5-F5F8-524B-B496-0ABF56257F4A}" name="Ref C      1-Phase" dataDxfId="127"/>
    <tableColumn id="6" xr3:uid="{97F2885B-DC71-DD4D-B680-FB44F6ADB184}" name="Ref C       3-Phase" dataDxfId="126"/>
    <tableColumn id="9" xr3:uid="{2167D0D9-A80C-1244-9C54-F05DC247BECF}" name="Cable Size" dataDxfId="125"/>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B1547A1-B99E-B34C-8368-4140C89DA6DE}" name="Table132528353637" displayName="Table132528353637" ref="U307:AC321" totalsRowShown="0" headerRowDxfId="124" dataDxfId="123">
  <autoFilter ref="U307:AC321" xr:uid="{00000000-0009-0000-0100-000024000000}"/>
  <tableColumns count="9">
    <tableColumn id="1" xr3:uid="{6D1FC2C1-E26F-7240-88CA-54880799F5E6}" name="Ref A      1-Phase" dataDxfId="122"/>
    <tableColumn id="2" xr3:uid="{C5E743AF-51A2-CF46-AB33-5D297AA0ABB7}" name="Ref A      3-Phase" dataDxfId="121"/>
    <tableColumn id="3" xr3:uid="{DA0F157C-C0DA-594A-B7D6-7043EB9BABBC}" name="Ref B      1-Phase" dataDxfId="120"/>
    <tableColumn id="4" xr3:uid="{DD814B35-0B80-D942-A5FB-30C8EA7B039F}" name="Ref B      3-Phase" dataDxfId="119"/>
    <tableColumn id="5" xr3:uid="{907F9B0D-05CC-9145-8121-8066E2A7B815}" name="Ref C      1-Phase" dataDxfId="118"/>
    <tableColumn id="6" xr3:uid="{2FC8BD82-2CE4-D847-A84D-C6C89C98B5EE}" name="Ref C       3-Phase" dataDxfId="117"/>
    <tableColumn id="8" xr3:uid="{EE7E0B79-3899-8B46-BDFF-55EEB0C89132}" name="Column2" dataDxfId="116"/>
    <tableColumn id="7" xr3:uid="{86FC327A-BFB8-BE45-9FCA-18D5C2E1C8D3}" name="Column1" dataDxfId="115"/>
    <tableColumn id="9" xr3:uid="{55BA9153-8617-084D-8072-2BDEA873C11D}" name="Cable Size" dataDxfId="114"/>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A08EFB7-D744-6347-9DFB-D1F048F01E50}" name="Table13252835363738" displayName="Table13252835363738" ref="U326:X337" totalsRowShown="0" headerRowDxfId="113" dataDxfId="112">
  <autoFilter ref="U326:X337" xr:uid="{00000000-0009-0000-0100-000025000000}"/>
  <tableColumns count="4">
    <tableColumn id="1" xr3:uid="{92AF1925-C073-CF43-BAFA-02B96BBF0E3B}" name="Ref A      1-Phase" dataDxfId="111"/>
    <tableColumn id="2" xr3:uid="{33F3EC0F-2239-AF49-8C0E-53D9E74F05E7}" name="Ref A      3-Phase" dataDxfId="110"/>
    <tableColumn id="3" xr3:uid="{A270D948-A4B7-544E-9B39-338285BA4DEA}" name="Ref B      1-Phase" dataDxfId="109"/>
    <tableColumn id="9" xr3:uid="{5682BCA9-139B-C041-B901-A3A1F27871C3}" name="Cable Size" dataDxfId="108"/>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55FBD2B-7601-9748-AD19-83DBFD639FD4}" name="Table13252835363739" displayName="Table13252835363739" ref="U342:AA356" totalsRowShown="0" headerRowDxfId="107" dataDxfId="106">
  <autoFilter ref="U342:AA356" xr:uid="{00000000-0009-0000-0100-000026000000}"/>
  <tableColumns count="7">
    <tableColumn id="1" xr3:uid="{6D7FCA58-8E88-7942-8439-0654AFC22F9D}" name="Ref A      1-Phase" dataDxfId="105"/>
    <tableColumn id="2" xr3:uid="{E633F24B-7E9D-CE46-8396-913DD0FA6B18}" name="Ref A      3-Phase" dataDxfId="104"/>
    <tableColumn id="3" xr3:uid="{0DF420AE-F8D0-804B-BBC4-BC57A86FC9F0}" name="Ref B      1-Phase" dataDxfId="103"/>
    <tableColumn id="4" xr3:uid="{08F2BE3C-B823-3441-BFEB-299C43E9BA5A}" name="Ref B      3-Phase" dataDxfId="102"/>
    <tableColumn id="5" xr3:uid="{62B98567-7764-BD4D-BBF3-B2E3EBF0BEF3}" name="Ref C      1-Phase" dataDxfId="101"/>
    <tableColumn id="6" xr3:uid="{AC653322-D67A-9E4A-810D-839C5DB1E19B}" name="Ref C       3-Phase" dataDxfId="100"/>
    <tableColumn id="9" xr3:uid="{0B7A9BE7-15CB-1B47-9F8D-2F1E7AB64222}" name="Cable Size" dataDxfId="99"/>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8BDFD97-CC71-AE40-AF4D-A34B5326193B}" name="Table1325283536373840" displayName="Table1325283536373840" ref="U361:X372" totalsRowShown="0" headerRowDxfId="98" dataDxfId="97">
  <autoFilter ref="U361:X372" xr:uid="{00000000-0009-0000-0100-000027000000}"/>
  <tableColumns count="4">
    <tableColumn id="1" xr3:uid="{E5ACE972-8DD3-E94A-B3B8-0F5A5EBF1267}" name="Ref A      1-Phase" dataDxfId="96"/>
    <tableColumn id="2" xr3:uid="{58126E42-F2E2-3848-A3A7-CBA45806B710}" name="Ref A      3-Phase" dataDxfId="95"/>
    <tableColumn id="3" xr3:uid="{691C67C6-7643-BE47-91A0-834EE1BA4FE0}" name="Ref B      1-Phase" dataDxfId="94"/>
    <tableColumn id="9" xr3:uid="{56D2D4EA-A80B-C242-AC7E-941FBB3018BA}" name="Cable Size" dataDxfId="93"/>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176F93A-755A-D14A-8787-B6270A7C5278}" name="Table13252835363741" displayName="Table13252835363741" ref="U377:AC391" totalsRowShown="0" headerRowDxfId="92" dataDxfId="91">
  <autoFilter ref="U377:AC391" xr:uid="{00000000-0009-0000-0100-000028000000}"/>
  <tableColumns count="9">
    <tableColumn id="1" xr3:uid="{B5684DD1-E7C0-EF44-82A1-E465985F4FBB}" name="Ref A      1-Phase" dataDxfId="90"/>
    <tableColumn id="2" xr3:uid="{121E355F-1833-6949-BE2E-A5AD75C4B758}" name="Ref A      3-Phase" dataDxfId="89"/>
    <tableColumn id="3" xr3:uid="{D56FA428-1D69-C341-803C-CE89E33068A3}" name="Ref B      1-Phase" dataDxfId="88"/>
    <tableColumn id="4" xr3:uid="{B8345CFE-8E8E-E048-9449-D169E9085655}" name="Ref B      3-Phase" dataDxfId="87"/>
    <tableColumn id="5" xr3:uid="{B82156BC-3301-AD46-AB3F-8E3CAD3853FC}" name="Ref C      1-Phase" dataDxfId="86"/>
    <tableColumn id="6" xr3:uid="{0D7E55C6-D73A-984C-A04B-79203A61716C}" name="Ref C       3-Phase" dataDxfId="85"/>
    <tableColumn id="8" xr3:uid="{593D1752-5218-814D-A3C3-73E984C4628D}" name="Column2" dataDxfId="84"/>
    <tableColumn id="7" xr3:uid="{0CE8ED9D-7D87-A44D-AB57-B8CD537D7961}" name="Column1" dataDxfId="83"/>
    <tableColumn id="9" xr3:uid="{93AE7876-D85B-6540-AD96-ADC7B2638190}" name="Cable Size" dataDxfId="82"/>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8527E90-83B0-5B43-93E8-E79377BE81FF}" name="Table132528353637384042" displayName="Table132528353637384042" ref="U396:X407" totalsRowShown="0" headerRowDxfId="81" dataDxfId="80">
  <autoFilter ref="U396:X407" xr:uid="{00000000-0009-0000-0100-000029000000}"/>
  <tableColumns count="4">
    <tableColumn id="1" xr3:uid="{629A9060-7BF6-E649-A85B-7879D8CC91EF}" name="Ref A      1-Phase" dataDxfId="79"/>
    <tableColumn id="2" xr3:uid="{22EA7403-AE82-084D-AE1B-7030BC0C63A0}" name="Ref A      3-Phase" dataDxfId="78"/>
    <tableColumn id="3" xr3:uid="{9F692CC1-4F91-EB4F-B3AC-671C23BE0C57}" name="Ref B      1-Phase" dataDxfId="77"/>
    <tableColumn id="9" xr3:uid="{56DD2169-D436-F848-9B14-895D34C09720}" name="Cable Size" dataDxfId="76"/>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C298B9C-BE88-F54C-BA83-C90A9AAFD1E5}" name="Table1325283536374143" displayName="Table1325283536374143" ref="U412:AA426" totalsRowShown="0" headerRowDxfId="75" dataDxfId="74">
  <autoFilter ref="U412:AA426" xr:uid="{00000000-0009-0000-0100-00002A000000}"/>
  <tableColumns count="7">
    <tableColumn id="1" xr3:uid="{B18BCCC7-99E1-B14A-BFAC-0B4E30E2DF09}" name="Ref A      1-Phase" dataDxfId="73"/>
    <tableColumn id="2" xr3:uid="{8DB24597-5557-2747-80A8-266E72BD06DC}" name="Ref A      3-Phase" dataDxfId="72"/>
    <tableColumn id="3" xr3:uid="{C4201E8C-64F7-9241-98F6-44242F9B5E75}" name="Ref B      1-Phase" dataDxfId="71"/>
    <tableColumn id="4" xr3:uid="{8D7D6662-BAB7-9A4C-87D8-B0BB6DED5601}" name="Ref B      3-Phase" dataDxfId="70"/>
    <tableColumn id="5" xr3:uid="{D9609F69-F8BE-814C-B86F-088619CF25DB}" name="Ref C      1-Phase" dataDxfId="69"/>
    <tableColumn id="6" xr3:uid="{0497F70E-F0E0-A242-BBE5-68723EDE715E}" name="Ref C       3-Phase" dataDxfId="68"/>
    <tableColumn id="9" xr3:uid="{32A5BEA2-DBCE-224B-8633-140795601F1B}" name="Cable Size" dataDxfId="67"/>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4D3D689-7404-5D48-B5A6-8AF94539EDD3}" name="Table13252835363738404244" displayName="Table13252835363738404244" ref="U431:X442" totalsRowShown="0" headerRowDxfId="66" dataDxfId="65">
  <autoFilter ref="U431:X442" xr:uid="{00000000-0009-0000-0100-00002B000000}"/>
  <tableColumns count="4">
    <tableColumn id="1" xr3:uid="{3AC68602-9E1A-E345-85E3-B2412AD8C2B5}" name="Ref A      1-Phase" dataDxfId="64"/>
    <tableColumn id="2" xr3:uid="{6232D800-8E9A-2546-A8B1-A43611DF838E}" name="Ref A      3-Phase" dataDxfId="63"/>
    <tableColumn id="3" xr3:uid="{0F63577F-820A-454F-ADF6-5842A002AA70}" name="Ref B      1-Phase" dataDxfId="62"/>
    <tableColumn id="9" xr3:uid="{C4EE797C-3F84-9042-A0A4-DBDA345D0F8D}" name="Cable Size" dataDxfId="6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shardico@yahoo.com" TargetMode="External"/><Relationship Id="rId13" Type="http://schemas.openxmlformats.org/officeDocument/2006/relationships/hyperlink" Target="mailto:abaane.sylvester@yahoo.com" TargetMode="External"/><Relationship Id="rId3" Type="http://schemas.openxmlformats.org/officeDocument/2006/relationships/hyperlink" Target="mailto:info@solarenablers.com" TargetMode="External"/><Relationship Id="rId7" Type="http://schemas.openxmlformats.org/officeDocument/2006/relationships/hyperlink" Target="mailto:melissa.boateng@solidaridadnetwork.org" TargetMode="External"/><Relationship Id="rId12" Type="http://schemas.openxmlformats.org/officeDocument/2006/relationships/hyperlink" Target="mailto:gabriel.amegbanu@gmail.com" TargetMode="External"/><Relationship Id="rId17" Type="http://schemas.openxmlformats.org/officeDocument/2006/relationships/hyperlink" Target="mailto:joyce.apotsi@bremenenergie.com" TargetMode="External"/><Relationship Id="rId2" Type="http://schemas.openxmlformats.org/officeDocument/2006/relationships/hyperlink" Target="mailto:enertripltd@gmail.com" TargetMode="External"/><Relationship Id="rId16" Type="http://schemas.openxmlformats.org/officeDocument/2006/relationships/hyperlink" Target="mailto:Sarkcuss@gmail.com" TargetMode="External"/><Relationship Id="rId1" Type="http://schemas.openxmlformats.org/officeDocument/2006/relationships/hyperlink" Target="mailto:dhutchful@gmail.com" TargetMode="External"/><Relationship Id="rId6" Type="http://schemas.openxmlformats.org/officeDocument/2006/relationships/hyperlink" Target="mailto:fiahagbeatsuemmanuel@gmail.com" TargetMode="External"/><Relationship Id="rId11" Type="http://schemas.openxmlformats.org/officeDocument/2006/relationships/hyperlink" Target="mailto:hadisu2@yahoo.com" TargetMode="External"/><Relationship Id="rId5" Type="http://schemas.openxmlformats.org/officeDocument/2006/relationships/hyperlink" Target="mailto:sabek2g@gmail.com" TargetMode="External"/><Relationship Id="rId15" Type="http://schemas.openxmlformats.org/officeDocument/2006/relationships/hyperlink" Target="mailto:rahimcrewe@gmail.com" TargetMode="External"/><Relationship Id="rId10" Type="http://schemas.openxmlformats.org/officeDocument/2006/relationships/hyperlink" Target="mailto:marcusadkam@gmail.com" TargetMode="External"/><Relationship Id="rId4" Type="http://schemas.openxmlformats.org/officeDocument/2006/relationships/hyperlink" Target="mailto:oklutimothy@yahoo.com" TargetMode="External"/><Relationship Id="rId9" Type="http://schemas.openxmlformats.org/officeDocument/2006/relationships/hyperlink" Target="mailto:theoadu@gmail.com" TargetMode="External"/><Relationship Id="rId14" Type="http://schemas.openxmlformats.org/officeDocument/2006/relationships/hyperlink" Target="mailto:bsdovie@gmai.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41" Type="http://schemas.openxmlformats.org/officeDocument/2006/relationships/table" Target="../tables/table41.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P1048576"/>
  <sheetViews>
    <sheetView showGridLines="0" zoomScale="75" zoomScaleNormal="140" workbookViewId="0">
      <pane xSplit="3" ySplit="5" topLeftCell="D99" activePane="bottomRight" state="frozen"/>
      <selection activeCell="O51" sqref="O51"/>
      <selection pane="topRight" activeCell="O51" sqref="O51"/>
      <selection pane="bottomLeft" activeCell="O51" sqref="O51"/>
      <selection pane="bottomRight" activeCell="B1" sqref="B1:B1048576"/>
    </sheetView>
  </sheetViews>
  <sheetFormatPr baseColWidth="10" defaultColWidth="0" defaultRowHeight="16" customHeight="1" zeroHeight="1"/>
  <cols>
    <col min="1" max="1" width="10.83203125" style="103" customWidth="1"/>
    <col min="2" max="2" width="9.1640625" style="270" customWidth="1"/>
    <col min="3" max="3" width="100.1640625" style="103" bestFit="1" customWidth="1"/>
    <col min="4" max="6" width="16" style="224" customWidth="1"/>
    <col min="7" max="7" width="15.33203125" style="224" customWidth="1"/>
    <col min="8" max="8" width="16" style="224" customWidth="1"/>
    <col min="9" max="9" width="17.83203125" style="103" customWidth="1"/>
    <col min="10" max="10" width="22" style="103" customWidth="1"/>
    <col min="11" max="11" width="38.5" style="103" customWidth="1"/>
    <col min="12" max="12" width="10.5" style="103" customWidth="1"/>
    <col min="13" max="13" width="50.83203125" style="103" customWidth="1"/>
    <col min="14" max="14" width="8.6640625" style="103" customWidth="1"/>
    <col min="15" max="15" width="15.5" style="103" customWidth="1"/>
    <col min="16" max="29" width="9.1640625" style="103" customWidth="1"/>
    <col min="30" max="30" width="59.6640625" style="103" customWidth="1"/>
    <col min="31" max="32" width="33.6640625" style="103" customWidth="1"/>
    <col min="33" max="33" width="36" style="103" customWidth="1"/>
    <col min="34" max="34" width="27" style="103" customWidth="1"/>
    <col min="35" max="35" width="18" style="103" customWidth="1"/>
    <col min="36" max="36" width="26.83203125" style="103" customWidth="1"/>
    <col min="37" max="39" width="9.1640625" style="103" customWidth="1"/>
    <col min="40" max="40" width="13.6640625" style="103" customWidth="1"/>
    <col min="41" max="43" width="9.1640625" style="103" customWidth="1"/>
    <col min="44" max="44" width="14.5" style="103" customWidth="1"/>
    <col min="45" max="47" width="9.1640625" style="103" customWidth="1"/>
    <col min="48" max="50" width="9.1640625" style="103" customWidth="1" collapsed="1"/>
    <col min="51" max="51" width="20.1640625" style="103" customWidth="1" collapsed="1"/>
    <col min="52" max="52" width="16.6640625" style="103" customWidth="1" collapsed="1"/>
    <col min="53" max="63" width="9.1640625" style="103" customWidth="1" collapsed="1"/>
    <col min="64" max="64" width="9.1640625" style="103" customWidth="1"/>
    <col min="65" max="67" width="9.1640625" style="103" customWidth="1" collapsed="1"/>
    <col min="68" max="68" width="10.83203125" style="103" customWidth="1" collapsed="1"/>
    <col min="69" max="16384" width="0" style="103" hidden="1"/>
  </cols>
  <sheetData>
    <row r="1" spans="1:68">
      <c r="C1" s="224"/>
      <c r="J1" s="103" t="s">
        <v>800</v>
      </c>
      <c r="K1" s="225" t="s">
        <v>2701</v>
      </c>
      <c r="L1" s="313">
        <f ca="1">IF(NOW()&gt;INVOICE!Q13,"",IF(AND('Customer Base'!D7&lt;&gt;"Grid-Tied",'Customer Base'!D7&lt;&gt;"Backup",SUM('Client List'!EE477:EE491)&lt;&gt;0),('Client List'!EE474*'Client List'!EC474),0)+IF(AND('Customer Base'!D7&lt;&gt;"Grid-Tied",'Customer Base'!D7&lt;&gt;"Backup",SUM('Client List'!EE477:EE491)&lt;&gt;0),('Client List'!IM474*'Client List'!IK474),0)+IF(AND('Customer Base'!D7&lt;&gt;"Grid-Tied",'Customer Base'!D7&lt;&gt;"Backup",AND(SUM('Client List'!EE477:EE491)=0,'Client List'!EC474&gt;0)),1,0)+IFERROR(L5,0))</f>
        <v>2</v>
      </c>
      <c r="M1" s="103" t="s">
        <v>2488</v>
      </c>
      <c r="N1" s="103">
        <f ca="1">IFERROR('Client List'!AC493,IF(AND('Customer Base'!D7&lt;&gt;"Backup",SUMPRODUCT(A6:A132,AP6:AP132)&gt;0),SUM(A242:A254)/L5,0))</f>
        <v>4</v>
      </c>
      <c r="AX1" s="225" t="s">
        <v>1217</v>
      </c>
      <c r="AY1" s="225" t="s">
        <v>2202</v>
      </c>
      <c r="AZ1" s="227" t="s">
        <v>2316</v>
      </c>
      <c r="BA1" s="103">
        <v>1</v>
      </c>
      <c r="BB1" s="103">
        <f>INDEX(AM6:AM284,MATCH(AZ1,AN6:AN284,0))</f>
        <v>3</v>
      </c>
      <c r="BC1" s="103" t="s">
        <v>1231</v>
      </c>
      <c r="BD1" s="103">
        <f>INDEX(AQ6:AQ284,MATCH(AZ1,AN6:AN284,0))</f>
        <v>48</v>
      </c>
      <c r="BE1" s="225" t="s">
        <v>2321</v>
      </c>
    </row>
    <row r="2" spans="1:68">
      <c r="A2" s="269" cm="1">
        <f t="array" aca="1" ref="A2" ca="1">INDEX(A6:A549,SMALL(IF(A6:A549&lt;&gt;"",ROW(A6:A549)-MIN(ROW(A6:A549))+1),2))</f>
        <v>2</v>
      </c>
      <c r="B2" s="270">
        <v>2</v>
      </c>
      <c r="G2" s="103"/>
      <c r="I2" s="228"/>
      <c r="J2" s="103" t="s">
        <v>1174</v>
      </c>
      <c r="K2" s="103" t="s">
        <v>10</v>
      </c>
      <c r="L2" s="103">
        <v>600</v>
      </c>
      <c r="M2" s="103" t="s">
        <v>989</v>
      </c>
      <c r="N2" s="228"/>
      <c r="P2" s="103" t="str">
        <f>"Exchange Rate: USD 1 = GH₵ "&amp;'Customer Base'!J5</f>
        <v>Exchange Rate: USD 1 = GH₵ 16.7</v>
      </c>
      <c r="AX2" s="225"/>
      <c r="BB2" s="103">
        <f>INDEX(AM6:AM284,MATCH(AZ4,AN6:AN284,0))</f>
        <v>0.55500000000000005</v>
      </c>
      <c r="BC2" s="103" t="s">
        <v>2318</v>
      </c>
      <c r="BD2" s="103">
        <f>INDEX(AQ6:AQ284,MATCH(AZ4,AN6:AN284,0))</f>
        <v>49.72</v>
      </c>
      <c r="BE2" s="103" t="s">
        <v>2319</v>
      </c>
    </row>
    <row r="3" spans="1:68">
      <c r="C3" s="229" t="s">
        <v>797</v>
      </c>
      <c r="D3" s="229" t="s">
        <v>1282</v>
      </c>
      <c r="E3" s="229" t="s">
        <v>1283</v>
      </c>
      <c r="F3" s="229" t="s">
        <v>1065</v>
      </c>
      <c r="G3" s="230" t="s">
        <v>1064</v>
      </c>
      <c r="H3" s="229" t="s">
        <v>1066</v>
      </c>
      <c r="I3" s="104" t="s">
        <v>1067</v>
      </c>
      <c r="K3" s="103" t="s">
        <v>18</v>
      </c>
      <c r="L3" s="103">
        <v>35</v>
      </c>
      <c r="M3" s="103" t="s">
        <v>987</v>
      </c>
      <c r="AT3" s="103">
        <f>IF(SUM(AT6:AT13539)&gt;0,SUBTOTAL(109,(AT6:AT939)),"")</f>
        <v>2</v>
      </c>
      <c r="AU3" s="103">
        <f>IF(SUM(AU6:AU13539)&gt;0,SUBTOTAL(109,(AU6:AU939)),"")</f>
        <v>1</v>
      </c>
      <c r="AV3" s="103">
        <f>IF(SUM(AV6:AV13539)&gt;0,SUBTOTAL(109,(AV6:AV939)),"")</f>
        <v>3</v>
      </c>
      <c r="AX3" s="225" t="s">
        <v>2197</v>
      </c>
      <c r="AY3" s="225" t="s">
        <v>2215</v>
      </c>
      <c r="AZ3" s="227" t="s">
        <v>2298</v>
      </c>
      <c r="BA3" s="103">
        <v>1</v>
      </c>
      <c r="BB3" s="103">
        <f>INDEX(AM6:AM284,MATCH(AZ3,AN6:AN284,0))</f>
        <v>4.8</v>
      </c>
      <c r="BC3" s="103" t="s">
        <v>1232</v>
      </c>
      <c r="BD3" s="103">
        <f>IF(AND(BD1=12,BC4&lt;0.22,(BD2*ROUNDUP(BC4/BB2,0))&lt;75),75,IF(AND(BD1=12,BC4&lt;0.22,(BD2*ROUNDUP(BC4/BB2,0))/2&lt;75),75,IF(AND(BD1=24,BC4&lt;0.44,(BD2*ROUNDUP(BC4/BB2,0))&lt;75),75,IF(AND(BD1=24,BC4&lt;0.44,(BD2*ROUNDUP(BC4/BB2,0))/2&lt;75),75,IF(AND(BD1=12,BC4&lt;0.7,(BD2*ROUNDUP(BC4/BB2,0))&lt;100),100,IF(AND(BD1=12,BC4&lt;0.7,(BD2*ROUNDUP(BC4/BB2,0))/2&lt;100),100,IF(AND(BD1=24,BC4&lt;1.4,(BD2*ROUNDUP(BC4/BB2,0))&lt;100),100,IF(AND(BD1=24,BC4&lt;1.4,(BD2*ROUNDUP(BC4/BB2,0))/2&lt;100),100,IF(AND(BD1=48,BC4&lt;1.16,(BD2*ROUNDUP(BC4/BB2,0))&lt;100),100,IF(AND(BD1=48,BC4&lt;1.16,(BD2*ROUNDUP(BC4/BB2,0))/2&lt;100),100,IF(AND(BD1=12,BC4&lt;1.45,(BD2*ROUNDUP(BC4/BB2,0))&lt;150),150,IF(AND(BD1=12,BC4&lt;1.45,(BD2*ROUNDUP(BC4/BB2,0))/2&lt;150),150,IF(AND(BD1=24,BC4&lt;4.35,(BD2*ROUNDUP(BC4/BB2,0))&lt;150),150,IF(AND(BD1=24,BC4&lt;4.35,(BD2*ROUNDUP(BC4/BB2,0))/2&lt;150),150,IF(AND(BD1=48,BC4&lt;5.8,(BD2*ROUNDUP(BC4/BB2,0))&lt;150),150,IF(AND(BD1=48,BC4&lt;5.8,(BD2*ROUNDUP(BC4/BB2,0))/2&lt;150),150))))))))))))))))</f>
        <v>150</v>
      </c>
      <c r="BE3" s="103" t="s">
        <v>2320</v>
      </c>
      <c r="BF3" s="103">
        <f>IF(AND(BD1=12,BB4&lt;0.22),75,IF(AND(BD1=24,BB4&lt;0.44),75,IF(AND(BD1=12,BB4&lt;0.7),100,IF(AND(BD1=24,BB4&lt;1.4),100,IF(AND(BD1=48,BB4&lt;1.16),100,IF(AND(BD1=12,BB4&lt;1.45),150,IF(AND(BD1=24,BB4&lt;4.35),150,IF(AND(BD1=48,BB4&lt;5.8),150,IF(BB4&gt;=5.8,IF(ROUNDUP(MOD(BB4,5.8)/BB2,0)&gt;0,150))))))))))</f>
        <v>100</v>
      </c>
      <c r="BG3" s="103" t="str">
        <f>IF(BG4=0,"",IF(AND(BD1=12,BG4&lt;0.22),75,IF(AND(BD1=24,BG4&lt;0.44),75,IF(AND(BD1=12,BG4&lt;0.7),100,IF(AND(BD1=24,BG4&lt;1.4),100,IF(AND(BD1=48,BG4&lt;1.16),100,IF(AND(BD1=12,BG4&lt;1.45),150,IF(AND(BD1=24,BG4&lt;4.35),150,IF(AND(BD1=48,BG4&lt;5.8),150)))))))))</f>
        <v/>
      </c>
      <c r="BI3" s="103">
        <f>ROUNDDOWN(BI4/(ROUNDDOWN(BF3/BD2,0)),0)</f>
        <v>3</v>
      </c>
      <c r="BJ3" s="103">
        <f>(ROUNDDOWN(BF3/BD2,0))</f>
        <v>2</v>
      </c>
    </row>
    <row r="4" spans="1:68">
      <c r="C4" s="229"/>
      <c r="D4" s="229"/>
      <c r="E4" s="229"/>
      <c r="F4" s="229"/>
      <c r="G4" s="230"/>
      <c r="H4" s="229"/>
      <c r="I4" s="104"/>
      <c r="K4" s="103" t="s">
        <v>798</v>
      </c>
      <c r="L4" s="103">
        <v>10</v>
      </c>
      <c r="M4" s="103" t="s">
        <v>986</v>
      </c>
      <c r="AX4" s="225" t="s">
        <v>1888</v>
      </c>
      <c r="AY4" s="225" t="s">
        <v>2301</v>
      </c>
      <c r="AZ4" s="103" t="s">
        <v>2306</v>
      </c>
      <c r="BA4" s="103">
        <f>IF(AND(ROUNDUP(BC4/BB2,0)*BD2&gt;BD3,AND(MOD(ROUNDUP(BC4/BB2,0),3)&lt;&gt;0,MOD(ROUNDUP(BC4/BB2,0),2)&lt;&gt;0)),EVEN(ROUNDUP(BC4/BB2,0)),ROUNDUP(BC4/BB2,0))</f>
        <v>6</v>
      </c>
      <c r="BB4" s="103">
        <f>SUMPRODUCT(AV242:AV254,AM242:AM254)*0.8</f>
        <v>0</v>
      </c>
      <c r="BC4" s="103">
        <f>(BA1*(0.5*BB1/0.8))+(BA3*(BB3/0.8/5))</f>
        <v>3.0749999999999997</v>
      </c>
      <c r="BD4" s="103">
        <f>ROUNDUP(BC4/BB2,0)</f>
        <v>6</v>
      </c>
      <c r="BG4" s="103">
        <f>(BA4-BJ4)*BB2</f>
        <v>0</v>
      </c>
      <c r="BH4" s="103">
        <f>ROUNDUP(MOD(BB4,5.8)/BB2,0)</f>
        <v>0</v>
      </c>
      <c r="BI4" s="103">
        <f>BA4-BH4</f>
        <v>6</v>
      </c>
      <c r="BJ4" s="103">
        <f>ROUNDDOWN(BI4/(ROUNDDOWN(BF3/BD2,0)),0)*(ROUNDDOWN(BF3/BD2,0))</f>
        <v>6</v>
      </c>
      <c r="BK4" s="103">
        <f>BA4-BJ4</f>
        <v>0</v>
      </c>
      <c r="BL4" s="231">
        <f>'Customer Base'!$J$9*1000*0.8/$BO$4</f>
        <v>3.5068965517241377</v>
      </c>
      <c r="BM4" s="103">
        <f>MOD('Customer Base'!$J$9*1000*0.8,$BO4)</f>
        <v>587.99999999999955</v>
      </c>
      <c r="BN4" s="103">
        <v>20</v>
      </c>
      <c r="BO4" s="103">
        <v>1160</v>
      </c>
      <c r="BP4" s="231"/>
    </row>
    <row r="5" spans="1:68">
      <c r="C5" s="232" t="s">
        <v>1885</v>
      </c>
      <c r="D5" s="233"/>
      <c r="E5" s="233"/>
      <c r="F5" s="233"/>
      <c r="G5" s="234"/>
      <c r="H5" s="233"/>
      <c r="I5" s="235"/>
      <c r="K5" s="225" t="s">
        <v>2700</v>
      </c>
      <c r="L5" s="256" t="e">
        <f>IF('Customer Base'!D7&lt;&gt;"Mini-Grid",ROUNDUP(SUM(A242:A254)*(SUMPRODUCT(A242:A254,AQ242:AQ254)/SUM(A242:A254))/(SUMPRODUCT(A6:A132,AP6:AP132)/'Customer Base'!D15),0),IF('Customer Base'!D7="Mini-Grid",ROUNDUP(ROUNDDOWN(PRODUCT('Customer Base'!F14:F15,1000/0.8)/'Customer Base'!D26,0)*(SUMPRODUCT(A242:A254,AQ242:AQ254)/SUM(A242:A254))/(SUMPRODUCT(A6:A132,AP6:AP132)/'Customer Base'!F15),0),0))</f>
        <v>#DIV/0!</v>
      </c>
      <c r="M5" s="236"/>
      <c r="N5" s="103" t="s">
        <v>799</v>
      </c>
      <c r="O5" s="103" t="str">
        <f>IF('Customer Base'!$I$15="MANUAL",IF(B5&lt;&gt;"",C5,""),IF('Customer Base'!$I$15="AUTOMATE",IF(A5&lt;&gt;"",C5,""),""))</f>
        <v/>
      </c>
      <c r="P5" s="103" t="s">
        <v>12</v>
      </c>
      <c r="Q5" s="103" t="s">
        <v>1197</v>
      </c>
      <c r="R5" s="103" t="s">
        <v>1198</v>
      </c>
      <c r="S5" s="103" t="s">
        <v>1199</v>
      </c>
      <c r="T5" s="103" t="s">
        <v>1204</v>
      </c>
      <c r="U5" s="103" t="s">
        <v>1209</v>
      </c>
      <c r="AR5" s="103" t="s">
        <v>2205</v>
      </c>
      <c r="AS5" s="103" t="s">
        <v>2199</v>
      </c>
      <c r="AT5" s="103" t="s">
        <v>2190</v>
      </c>
      <c r="AU5" s="103" t="s">
        <v>2191</v>
      </c>
      <c r="AZ5" s="226" t="s">
        <v>2313</v>
      </c>
      <c r="BA5" s="225" t="s">
        <v>1217</v>
      </c>
      <c r="BB5" s="225" t="s">
        <v>2200</v>
      </c>
      <c r="BC5" s="103" t="s">
        <v>2213</v>
      </c>
      <c r="BD5" s="103" t="s">
        <v>1218</v>
      </c>
      <c r="BE5" s="103" t="s">
        <v>2312</v>
      </c>
      <c r="BL5" s="231">
        <f>'Customer Base'!$J$9*1000*0.8/$BO$5</f>
        <v>2.0339999999999998</v>
      </c>
      <c r="BM5" s="103">
        <f>MOD('Customer Base'!$J$9*1000*0.8,$BO5)</f>
        <v>67.999999999999545</v>
      </c>
      <c r="BN5" s="103">
        <v>35</v>
      </c>
      <c r="BO5" s="103">
        <v>2000</v>
      </c>
      <c r="BP5" s="231"/>
    </row>
    <row r="6" spans="1:68">
      <c r="A6" s="103" t="str">
        <f>IF(AND('Customer Base'!D$8=12,'Customer Base'!D$13="Victron",'Customer Base'!E$13="Phoenix",'Customer Base'!D$14&gt;0,'Customer Base'!D$14&lt;=0.25),'Customer Base'!D$15,IF(AND('Customer Base'!D$7="Mini-Grid",'Customer Base'!D$8=12,'Customer Base'!F$13="Victron",'Customer Base'!F$14&gt;0,'Customer Base'!F$14&lt;=0.25),'Customer Base'!F$15,""))</f>
        <v/>
      </c>
      <c r="B6" s="270" t="s">
        <v>1</v>
      </c>
      <c r="C6" s="237" t="s">
        <v>1109</v>
      </c>
      <c r="D6" s="267">
        <v>97.52</v>
      </c>
      <c r="E6" s="267">
        <v>91.853999999999999</v>
      </c>
      <c r="F6" s="238">
        <f t="shared" ref="F6:F20" si="0">$D6/1.219</f>
        <v>79.999999999999986</v>
      </c>
      <c r="G6" s="238">
        <f>IFERROR(ROUNDUP(F6*'Customer Base'!$J$5,2),0)</f>
        <v>1336</v>
      </c>
      <c r="H6" s="238">
        <f t="shared" ref="H6:H20" si="1">$E6/1.219</f>
        <v>75.351927809680063</v>
      </c>
      <c r="I6" s="238">
        <f>IFERROR(ROUNDUP(H6*'Customer Base'!$J$5,2),0)</f>
        <v>1258.3799999999999</v>
      </c>
      <c r="J6" s="103">
        <f>ROUNDUP((M6/$L$4)*$L$3*3,-1)</f>
        <v>320</v>
      </c>
      <c r="K6" s="103" t="s">
        <v>956</v>
      </c>
      <c r="L6" s="224">
        <f>J6/'Customer Base'!$J$5</f>
        <v>19.161676646706589</v>
      </c>
      <c r="M6" s="103">
        <v>30</v>
      </c>
      <c r="N6" s="103">
        <v>1</v>
      </c>
      <c r="O6" s="103" t="str">
        <f>IF('Customer Base'!$I$15="MANUAL",IF(B6&lt;&gt;"",C6,""),IF('Customer Base'!$I$15="AUTOMATE",IF(A6&lt;&gt;"",C6,""),""))</f>
        <v/>
      </c>
      <c r="P6" s="103" t="e">
        <f>"TURNKEY SUPPLY AND INSTALLATION OF "&amp;INVOICE!#REF!&amp;"KWP GRID-CONNECTED SOLAR SYSTEM"</f>
        <v>#REF!</v>
      </c>
      <c r="Q6" s="103" t="s">
        <v>1200</v>
      </c>
      <c r="R6" s="103" t="s">
        <v>1202</v>
      </c>
      <c r="S6" s="103" t="s">
        <v>1484</v>
      </c>
      <c r="T6" s="103" t="s">
        <v>1205</v>
      </c>
      <c r="U6" s="103" t="s">
        <v>1210</v>
      </c>
      <c r="W6" s="103" t="s">
        <v>1465</v>
      </c>
      <c r="AD6" s="103" t="s">
        <v>1422</v>
      </c>
      <c r="AM6" s="239">
        <v>0.25</v>
      </c>
      <c r="AN6" s="239" t="s">
        <v>2221</v>
      </c>
      <c r="AO6" s="103" t="str">
        <f>IF('Customer Base'!$I$15="MANUAL",IFERROR(AM6*B6,""),IF('Customer Base'!$I$15="AUTOMATE",IFERROR(AM6*A6,""),""))</f>
        <v/>
      </c>
      <c r="AQ6" s="103">
        <v>12</v>
      </c>
      <c r="AR6" s="103" t="s">
        <v>2198</v>
      </c>
      <c r="AS6" s="103">
        <v>1</v>
      </c>
      <c r="AT6" s="103" t="str">
        <f>IF(AND(AR6=$AY$1,$AZ$1=AN6),BA$1,"")</f>
        <v/>
      </c>
      <c r="AV6" s="103" t="str">
        <f>IF(AU6&lt;&gt;"",AU6,AT6)</f>
        <v/>
      </c>
      <c r="AX6" s="103">
        <f>IF(SUMPRODUCT(AS6:AS195,AV6:AV195)&gt;=3,3,1)</f>
        <v>1</v>
      </c>
      <c r="AZ6" s="240" t="str" cm="1">
        <f t="array" ref="AZ6">INDEX(AR$6:AR$132,MATCH(0,COUNTIF($AZ$5:AZ5,AR$6:AR$132),0))</f>
        <v>Phoenix</v>
      </c>
      <c r="BA6" s="103" cm="1">
        <f t="array" ref="BA6">INDEX(AM$6:AM$161,MATCH(0,COUNTIF($BA$5:BA5,AM$6:AM$161),0))</f>
        <v>0.25</v>
      </c>
      <c r="BB6" s="103" cm="1">
        <f t="array" ref="BB6">INDEX(AQ$6:AQ$161,MATCH(0,COUNTIF($BB$5:BB5,AQ$6:AQ$161),0))</f>
        <v>12</v>
      </c>
      <c r="BC6" s="103" t="str" cm="1">
        <f t="array" ref="BC6">INDEX(AR$205:AR$236,MATCH(0,COUNTIF($BC$5:BC5,AR$205:AR$236),0))</f>
        <v>BYD_Lithium</v>
      </c>
      <c r="BE6" s="103" t="str" cm="1">
        <f t="array" ref="BE6">INDEX(AR$242:AR$254,MATCH(0,COUNTIF($BE$5:BE5,AR$242:AR$254),0))</f>
        <v>BYD_Solar_Panel</v>
      </c>
      <c r="BL6" s="231">
        <f>'Customer Base'!$J$9*1000*0.8/$BO$6</f>
        <v>1.5646153846153845</v>
      </c>
      <c r="BM6" s="103">
        <f>MOD('Customer Base'!$J$9*1000*0.8,$BO6)</f>
        <v>1467.9999999999995</v>
      </c>
      <c r="BN6" s="103">
        <v>45</v>
      </c>
      <c r="BO6" s="103">
        <v>2600</v>
      </c>
    </row>
    <row r="7" spans="1:68">
      <c r="A7" s="103" t="str">
        <f>IF(AND('Customer Base'!D$8=12,'Customer Base'!D$13="Victron",'Customer Base'!E$13="Phoenix",'Customer Base'!D$14&gt;0.25,'Customer Base'!D$14&lt;=0.375),'Customer Base'!D$15,IF(AND('Customer Base'!D$7="Mini-Grid",'Customer Base'!D$8=12,'Customer Base'!F$13="Victron",'Customer Base'!F$14&gt;0.25,'Customer Base'!F$14&lt;=0.375),'Customer Base'!F$15,""))</f>
        <v/>
      </c>
      <c r="B7" s="270" t="s">
        <v>1</v>
      </c>
      <c r="C7" s="237" t="s">
        <v>1110</v>
      </c>
      <c r="D7" s="267">
        <v>126.42</v>
      </c>
      <c r="E7" s="267">
        <v>119.07</v>
      </c>
      <c r="F7" s="238">
        <f t="shared" si="0"/>
        <v>103.70795734208367</v>
      </c>
      <c r="G7" s="238">
        <f>IFERROR(ROUNDUP(F7*'Customer Base'!$J$5,2),0)</f>
        <v>1731.93</v>
      </c>
      <c r="H7" s="238">
        <f t="shared" si="1"/>
        <v>97.678424938474151</v>
      </c>
      <c r="I7" s="238">
        <f>IFERROR(ROUNDUP(H7*'Customer Base'!$J$5,2),0)</f>
        <v>1631.23</v>
      </c>
      <c r="J7" s="103">
        <f>ROUNDUP((M7/$L$4)*$L$3*3,-1)</f>
        <v>320</v>
      </c>
      <c r="K7" s="103" t="s">
        <v>216</v>
      </c>
      <c r="L7" s="224">
        <f>J7/'Customer Base'!$J$5</f>
        <v>19.161676646706589</v>
      </c>
      <c r="M7" s="103">
        <v>30</v>
      </c>
      <c r="N7" s="103">
        <v>2</v>
      </c>
      <c r="O7" s="103" t="str">
        <f>IF('Customer Base'!$I$15="MANUAL",IF(B7&lt;&gt;"",C7,""),IF('Customer Base'!$I$15="AUTOMATE",IF(A7&lt;&gt;"",C7,""),""))</f>
        <v/>
      </c>
      <c r="P7" s="103" t="s">
        <v>1186</v>
      </c>
      <c r="Q7" s="103" t="s">
        <v>1201</v>
      </c>
      <c r="R7" s="103" t="s">
        <v>1203</v>
      </c>
      <c r="S7" s="103" t="s">
        <v>1214</v>
      </c>
      <c r="T7" s="103" t="s">
        <v>1206</v>
      </c>
      <c r="U7" s="103" t="s">
        <v>1213</v>
      </c>
      <c r="W7" s="103" t="s">
        <v>1466</v>
      </c>
      <c r="AD7" s="104" t="s">
        <v>1424</v>
      </c>
      <c r="AE7" s="104" t="s">
        <v>1425</v>
      </c>
      <c r="AF7" s="104" t="s">
        <v>1426</v>
      </c>
      <c r="AG7" s="104" t="s">
        <v>1423</v>
      </c>
      <c r="AH7" s="104"/>
      <c r="AI7" s="104"/>
      <c r="AJ7" s="104" t="s">
        <v>1427</v>
      </c>
      <c r="AM7" s="239">
        <v>0.375</v>
      </c>
      <c r="AN7" s="239" t="s">
        <v>2222</v>
      </c>
      <c r="AO7" s="103" t="str">
        <f>IF('Customer Base'!$I$15="MANUAL",IFERROR(AM7*B7,""),IF('Customer Base'!$I$15="AUTOMATE",IFERROR(AM7*A7,""),""))</f>
        <v/>
      </c>
      <c r="AQ7" s="103">
        <v>12</v>
      </c>
      <c r="AR7" s="103" t="s">
        <v>2198</v>
      </c>
      <c r="AS7" s="103">
        <v>1</v>
      </c>
      <c r="AT7" s="103" t="str">
        <f t="shared" ref="AT7:AT42" si="2">IF(AND(AR7=$AY$1,$AZ$1=AN7),BA$1,"")</f>
        <v/>
      </c>
      <c r="AU7" s="103">
        <v>1</v>
      </c>
      <c r="AV7" s="103">
        <f t="shared" ref="AV7:AV39" si="3">IF(AU7&lt;&gt;"",AU7,AT7)</f>
        <v>1</v>
      </c>
      <c r="AZ7" s="240" cm="1">
        <f t="array" ref="AZ7">INDEX(AR$6:AR$132,MATCH(0,COUNTIF($AZ$5:AZ6,AR$6:AR$132),0))</f>
        <v>0</v>
      </c>
      <c r="BA7" s="103" cm="1">
        <f t="array" ref="BA7">INDEX(AM$6:AM$161,MATCH(0,COUNTIF($BA$5:BA6,AM$6:AM$161),0))</f>
        <v>0.375</v>
      </c>
      <c r="BB7" s="103" cm="1">
        <f t="array" ref="BB7">INDEX(AQ$6:AQ$161,MATCH(0,COUNTIF($BB$5:BB6,AQ$6:AQ$161),0))</f>
        <v>24</v>
      </c>
      <c r="BC7" s="103" cm="1">
        <f t="array" ref="BC7">INDEX(AR$205:AR$236,MATCH(0,COUNTIF($BC$5:BC6,AR$205:AR$236),0))</f>
        <v>0</v>
      </c>
      <c r="BD7" s="103" cm="1">
        <f t="array" ref="BD7">INDEX(AM$205:AM$236,MATCH(0,COUNTIF($BD$5:BD5,AM$205:AM$236),0))</f>
        <v>4</v>
      </c>
      <c r="BE7" s="103" cm="1">
        <f t="array" ref="BE7">INDEX(AR$242:AR$254,MATCH(0,COUNTIF($BE$5:BE6,AR$242:AR$254),0))</f>
        <v>0</v>
      </c>
      <c r="BL7" s="231">
        <f>'Customer Base'!$J$9*1000*0.8/$BO$7</f>
        <v>1.1825581395348836</v>
      </c>
      <c r="BM7" s="103">
        <f>MOD('Customer Base'!$J$9*1000*0.8,$BO7)</f>
        <v>627.99999999999955</v>
      </c>
      <c r="BN7" s="103">
        <v>60</v>
      </c>
      <c r="BO7" s="103">
        <v>3440</v>
      </c>
    </row>
    <row r="8" spans="1:68">
      <c r="A8" s="103" t="str">
        <f>IF(AND('Customer Base'!D$8=12,'Customer Base'!D$13="Victron",'Customer Base'!E$13="Phoenix",'Customer Base'!D$14&gt;0.375,'Customer Base'!D$14&lt;=0.5),'Customer Base'!D$15,IF(AND('Customer Base'!D$7="Mini-Grid",'Customer Base'!D$8=12,'Customer Base'!F$13="Victron",'Customer Base'!F$14&gt;0.375,'Customer Base'!F$14&lt;=0.5),'Customer Base'!F$15,""))</f>
        <v/>
      </c>
      <c r="B8" s="270" t="s">
        <v>1</v>
      </c>
      <c r="C8" s="237" t="s">
        <v>1111</v>
      </c>
      <c r="D8" s="267">
        <v>158.03</v>
      </c>
      <c r="E8" s="267">
        <v>148.846</v>
      </c>
      <c r="F8" s="238">
        <f t="shared" si="0"/>
        <v>129.63904840032814</v>
      </c>
      <c r="G8" s="238">
        <f>IFERROR(ROUNDUP(F8*'Customer Base'!$J$5,2),0)</f>
        <v>2164.98</v>
      </c>
      <c r="H8" s="238">
        <f t="shared" si="1"/>
        <v>122.10500410172271</v>
      </c>
      <c r="I8" s="238">
        <f>IFERROR(ROUNDUP(H8*'Customer Base'!$J$5,2),0)</f>
        <v>2039.16</v>
      </c>
      <c r="J8" s="103">
        <f t="shared" ref="J8:J37" si="4">ROUNDUP((M8/$L$4)*$L$3*3,-1)</f>
        <v>320</v>
      </c>
      <c r="K8" s="103" t="s">
        <v>35</v>
      </c>
      <c r="L8" s="224">
        <f>J8/'Customer Base'!$J$5</f>
        <v>19.161676646706589</v>
      </c>
      <c r="M8" s="103">
        <v>30</v>
      </c>
      <c r="N8" s="103">
        <v>3</v>
      </c>
      <c r="O8" s="103" t="str">
        <f>IF('Customer Base'!$I$15="MANUAL",IF(B8&lt;&gt;"",C8,""),IF('Customer Base'!$I$15="AUTOMATE",IF(A8&lt;&gt;"",C8,""),""))</f>
        <v/>
      </c>
      <c r="P8" s="103" t="s">
        <v>1652</v>
      </c>
      <c r="Q8" s="103" t="s">
        <v>1538</v>
      </c>
      <c r="S8" s="103" t="s">
        <v>1215</v>
      </c>
      <c r="T8" s="103" t="s">
        <v>1207</v>
      </c>
      <c r="U8" s="103" t="s">
        <v>1211</v>
      </c>
      <c r="AD8" s="103" t="s">
        <v>1441</v>
      </c>
      <c r="AE8" s="103" t="s">
        <v>1429</v>
      </c>
      <c r="AF8" s="103" t="s">
        <v>1440</v>
      </c>
      <c r="AG8" s="103" t="s">
        <v>1419</v>
      </c>
      <c r="AH8" s="103" t="s">
        <v>1442</v>
      </c>
      <c r="AI8" s="103" t="s">
        <v>1443</v>
      </c>
      <c r="AJ8" s="103" t="s">
        <v>1459</v>
      </c>
      <c r="AM8" s="239">
        <v>0.5</v>
      </c>
      <c r="AN8" s="239" t="s">
        <v>2223</v>
      </c>
      <c r="AO8" s="103" t="str">
        <f>IF('Customer Base'!$I$15="MANUAL",IFERROR(AM8*B8,""),IF('Customer Base'!$I$15="AUTOMATE",IFERROR(AM8*A8,""),""))</f>
        <v/>
      </c>
      <c r="AQ8" s="103">
        <v>12</v>
      </c>
      <c r="AR8" s="103" t="s">
        <v>2198</v>
      </c>
      <c r="AS8" s="103">
        <v>1</v>
      </c>
      <c r="AT8" s="103" t="str">
        <f t="shared" si="2"/>
        <v/>
      </c>
      <c r="AV8" s="103" t="str">
        <f t="shared" si="3"/>
        <v/>
      </c>
      <c r="AZ8" s="240" t="str" cm="1">
        <f t="array" ref="AZ8">INDEX(AR$6:AR$132,MATCH(0,COUNTIF($AZ$5:AZ7,AR$6:AR$132),0))</f>
        <v>Multiplus</v>
      </c>
      <c r="BA8" s="103" cm="1">
        <f t="array" ref="BA8">INDEX(AM$6:AM$161,MATCH(0,COUNTIF($BA$5:BA7,AM$6:AM$161),0))</f>
        <v>0.5</v>
      </c>
      <c r="BB8" s="103" cm="1">
        <f t="array" ref="BB8">INDEX(AQ$6:AQ$161,MATCH(0,COUNTIF($BB$5:BB7,AQ$6:AQ$161),0))</f>
        <v>48</v>
      </c>
      <c r="BC8" s="103" t="str" cm="1">
        <f t="array" ref="BC8">INDEX(AR$205:AR$236,MATCH(0,COUNTIF($BC$5:BC7,AR$205:AR$236),0))</f>
        <v>Jinko_Lithium</v>
      </c>
      <c r="BD8" s="103" cm="1">
        <f t="array" ref="BD8">INDEX(AM$205:AM$236,MATCH(0,COUNTIF($BD$5:BD7,AM$205:AM$236),0))</f>
        <v>5</v>
      </c>
      <c r="BE8" s="103" t="str" cm="1">
        <f t="array" ref="BE8">INDEX(AR$242:AR$254,MATCH(0,COUNTIF($BE$5:BE7,AR$242:AR$254),0))</f>
        <v>Jinko_Solar_Panel</v>
      </c>
      <c r="BL8" s="231">
        <f>'Customer Base'!$J$9*1000*0.8/$BO$8</f>
        <v>1.0169999999999999</v>
      </c>
      <c r="BM8" s="103">
        <f>MOD('Customer Base'!$J$9*1000*0.8,$BO8)</f>
        <v>67.999999999999545</v>
      </c>
      <c r="BN8" s="103">
        <v>70</v>
      </c>
      <c r="BO8" s="103">
        <v>4000</v>
      </c>
    </row>
    <row r="9" spans="1:68">
      <c r="A9" s="103" t="str">
        <f>IF(AND('Customer Base'!D$8=12,'Customer Base'!D$13="Victron",'Customer Base'!E$13="Phoenix",'Customer Base'!D$14&gt;0.5,'Customer Base'!D$14&lt;=0.8),'Customer Base'!D$15,IF(AND('Customer Base'!D$7="Mini-Grid",'Customer Base'!D$8=12,'Customer Base'!F$13="Victron",'Customer Base'!F$14&gt;0.5,'Customer Base'!F$14&lt;=0.8),'Customer Base'!F$15,""))</f>
        <v/>
      </c>
      <c r="B9" s="270" t="s">
        <v>1</v>
      </c>
      <c r="C9" s="237" t="s">
        <v>1112</v>
      </c>
      <c r="D9" s="267">
        <v>256.45999999999998</v>
      </c>
      <c r="E9" s="267">
        <v>241.542</v>
      </c>
      <c r="F9" s="238">
        <f t="shared" si="0"/>
        <v>210.38556193601309</v>
      </c>
      <c r="G9" s="238">
        <f>IFERROR(ROUNDUP(F9*'Customer Base'!$J$5,2),0)</f>
        <v>3513.44</v>
      </c>
      <c r="H9" s="238">
        <f t="shared" si="1"/>
        <v>198.14766201804755</v>
      </c>
      <c r="I9" s="238">
        <f>IFERROR(ROUNDUP(H9*'Customer Base'!$J$5,2),0)</f>
        <v>3309.07</v>
      </c>
      <c r="J9" s="103">
        <f t="shared" si="4"/>
        <v>2400</v>
      </c>
      <c r="K9" s="103" t="s">
        <v>958</v>
      </c>
      <c r="L9" s="224">
        <f>J9/'Customer Base'!$J$5</f>
        <v>143.7125748502994</v>
      </c>
      <c r="M9" s="103">
        <v>228</v>
      </c>
      <c r="N9" s="103">
        <v>4</v>
      </c>
      <c r="O9" s="103" t="str">
        <f>IF('Customer Base'!$I$15="MANUAL",IF(B9&lt;&gt;"",C9,""),IF('Customer Base'!$I$15="AUTOMATE",IF(A9&lt;&gt;"",C9,""),""))</f>
        <v/>
      </c>
      <c r="P9" s="103" t="s">
        <v>1191</v>
      </c>
      <c r="Q9" s="103" t="s">
        <v>1615</v>
      </c>
      <c r="S9" s="103" t="s">
        <v>1910</v>
      </c>
      <c r="T9" s="103" t="s">
        <v>1911</v>
      </c>
      <c r="U9" s="103" t="s">
        <v>1212</v>
      </c>
      <c r="W9" s="103" t="s">
        <v>1815</v>
      </c>
      <c r="AD9" s="103" t="s">
        <v>20</v>
      </c>
      <c r="AE9" s="103" t="s">
        <v>1420</v>
      </c>
      <c r="AF9" s="103" t="s">
        <v>1421</v>
      </c>
      <c r="AG9" s="103" t="s">
        <v>1419</v>
      </c>
      <c r="AH9" s="103" t="s">
        <v>21</v>
      </c>
      <c r="AI9" s="103" t="s">
        <v>22</v>
      </c>
      <c r="AJ9" s="103" t="s">
        <v>1428</v>
      </c>
      <c r="AM9" s="239">
        <v>0.8</v>
      </c>
      <c r="AN9" s="239" t="s">
        <v>2224</v>
      </c>
      <c r="AO9" s="103" t="str">
        <f>IF('Customer Base'!$I$15="MANUAL",IFERROR(AM9*B9,""),IF('Customer Base'!$I$15="AUTOMATE",IFERROR(AM9*A9,""),""))</f>
        <v/>
      </c>
      <c r="AQ9" s="103">
        <v>12</v>
      </c>
      <c r="AR9" s="103" t="s">
        <v>2198</v>
      </c>
      <c r="AS9" s="103">
        <v>1</v>
      </c>
      <c r="AT9" s="103" t="str">
        <f t="shared" si="2"/>
        <v/>
      </c>
      <c r="AV9" s="103" t="str">
        <f t="shared" si="3"/>
        <v/>
      </c>
      <c r="AZ9" s="240" t="str" cm="1">
        <f t="array" ref="AZ9">INDEX(AR$6:AR$132,MATCH(0,COUNTIF($AZ$5:AZ8,AR$6:AR$132),0))</f>
        <v>Multiplus_II</v>
      </c>
      <c r="BA9" s="103" cm="1">
        <f t="array" ref="BA9">INDEX(AM$6:AM$161,MATCH(0,COUNTIF($BA$5:BA8,AM$6:AM$161),0))</f>
        <v>0.8</v>
      </c>
      <c r="BB9" s="103" cm="1">
        <f t="array" ref="BB9">INDEX(AQ$6:AQ$161,MATCH(0,COUNTIF($BB$5:BB8,AQ$6:AQ$161),0))</f>
        <v>0</v>
      </c>
      <c r="BC9" s="103" t="str" cm="1">
        <f t="array" ref="BC9">INDEX(AR$205:AR$236,MATCH(0,COUNTIF($BC$5:BC8,AR$205:AR$236),0))</f>
        <v>Huawei_Lithium</v>
      </c>
      <c r="BD9" s="103" cm="1">
        <f t="array" ref="BD9">INDEX(AM$205:AM$236,MATCH(0,COUNTIF($BD$5:BD8,AM$205:AM$236),0))</f>
        <v>0</v>
      </c>
      <c r="BE9" s="103" t="str" cm="1">
        <f t="array" ref="BE9">INDEX(AR$242:AR$254,MATCH(0,COUNTIF($BE$5:BE8,AR$242:AR$254),0))</f>
        <v>JA_Solar_Panel</v>
      </c>
      <c r="BL9" s="231">
        <f>'Customer Base'!$J$9*1000*0.8/$BO$9</f>
        <v>0.83020408163265302</v>
      </c>
      <c r="BM9" s="103">
        <f>MOD('Customer Base'!$J$9*1000*0.8,$BO9)</f>
        <v>4067.9999999999995</v>
      </c>
      <c r="BN9" s="103">
        <v>85</v>
      </c>
      <c r="BO9" s="103">
        <v>4900</v>
      </c>
    </row>
    <row r="10" spans="1:68">
      <c r="C10" s="237" t="s">
        <v>1113</v>
      </c>
      <c r="D10" s="267">
        <v>338.63</v>
      </c>
      <c r="E10" s="267">
        <v>318.94600000000003</v>
      </c>
      <c r="F10" s="238">
        <f t="shared" si="0"/>
        <v>277.79327317473337</v>
      </c>
      <c r="G10" s="238">
        <f>IFERROR(ROUNDUP(F10*'Customer Base'!$J$5,2),0)</f>
        <v>4639.1500000000005</v>
      </c>
      <c r="H10" s="238">
        <f t="shared" si="1"/>
        <v>261.64561115668579</v>
      </c>
      <c r="I10" s="238">
        <f>IFERROR(ROUNDUP(H10*'Customer Base'!$J$5,2),0)</f>
        <v>4369.49</v>
      </c>
      <c r="J10" s="103">
        <f t="shared" si="4"/>
        <v>2400</v>
      </c>
      <c r="K10" s="103" t="s">
        <v>342</v>
      </c>
      <c r="L10" s="224">
        <f>J10/'Customer Base'!$J$5</f>
        <v>143.7125748502994</v>
      </c>
      <c r="M10" s="103">
        <v>228</v>
      </c>
      <c r="N10" s="103">
        <v>5</v>
      </c>
      <c r="O10" s="103" t="str">
        <f>IF('Customer Base'!$I$15="MANUAL",IF(B10&lt;&gt;"",C10,""),IF('Customer Base'!$I$15="AUTOMATE",IF(A10&lt;&gt;"",C10,""),""))</f>
        <v/>
      </c>
      <c r="P10" s="103" t="s">
        <v>1193</v>
      </c>
      <c r="U10" s="103" t="s">
        <v>1208</v>
      </c>
      <c r="W10" s="103" t="s">
        <v>1816</v>
      </c>
      <c r="AD10" s="103" t="s">
        <v>1445</v>
      </c>
      <c r="AE10" s="103" t="s">
        <v>1430</v>
      </c>
      <c r="AF10" s="103" t="s">
        <v>1435</v>
      </c>
      <c r="AG10" s="103" t="s">
        <v>1419</v>
      </c>
      <c r="AH10" s="103" t="s">
        <v>1446</v>
      </c>
      <c r="AI10" s="103" t="s">
        <v>1444</v>
      </c>
      <c r="AJ10" s="103" t="s">
        <v>1460</v>
      </c>
      <c r="AM10" s="239">
        <v>1.2</v>
      </c>
      <c r="AN10" s="239" t="s">
        <v>2317</v>
      </c>
      <c r="AO10" s="103">
        <f>IF('Customer Base'!$I$15="MANUAL",IFERROR(AM10*B10,""),IF('Customer Base'!$I$15="AUTOMATE",IFERROR(AM10*A10,""),""))</f>
        <v>0</v>
      </c>
      <c r="AQ10" s="103">
        <v>12</v>
      </c>
      <c r="AR10" s="103" t="s">
        <v>2198</v>
      </c>
      <c r="AS10" s="103">
        <v>1</v>
      </c>
      <c r="AT10" s="103" t="str">
        <f t="shared" si="2"/>
        <v/>
      </c>
      <c r="AV10" s="103" t="str">
        <f t="shared" si="3"/>
        <v/>
      </c>
      <c r="AZ10" s="240" t="str" cm="1">
        <f t="array" ref="AZ10">INDEX(AR$6:AR$132,MATCH(0,COUNTIF($AZ$5:AZ9,AR$6:AR$132),0))</f>
        <v>Multiplus_II_GX</v>
      </c>
      <c r="BA10" s="103" cm="1">
        <f t="array" ref="BA10">INDEX(AM$6:AM$161,MATCH(0,COUNTIF($BA$5:BA9,AM$6:AM$161),0))</f>
        <v>1.2</v>
      </c>
      <c r="BB10" s="103" t="str" cm="1">
        <f t="array" ref="BB10">INDEX(AQ$6:AQ$161,MATCH(0,COUNTIF($BB$5:BB9,AQ$6:AQ$161),0))</f>
        <v>Grid-Tied</v>
      </c>
      <c r="BC10" s="103" t="str" cm="1">
        <f t="array" ref="BC10">INDEX(AR$205:AR$236,MATCH(0,COUNTIF($BC$5:BC9,AR$205:AR$236),0))</f>
        <v>Victron_AGM</v>
      </c>
      <c r="BD10" s="103" cm="1">
        <f t="array" ref="BD10">INDEX(AM$205:AM$236,MATCH(0,COUNTIF($BD$5:BD9,AM$205:AM$236),0))</f>
        <v>15.4</v>
      </c>
      <c r="BE10" s="103" t="str" cm="1">
        <f t="array" ref="BE10">INDEX(AR$242:AR$254,MATCH(0,COUNTIF($BE$5:BE9,AR$242:AR$254),0))</f>
        <v>Sharp_Solar_Panel</v>
      </c>
      <c r="BL10" s="231">
        <f>'Customer Base'!$J$9*1000*0.8/$BO$10</f>
        <v>0.70137931034482748</v>
      </c>
      <c r="BM10" s="103">
        <f>MOD('Customer Base'!$J$9*1000*0.8,$BO10)</f>
        <v>4067.9999999999995</v>
      </c>
      <c r="BN10" s="103">
        <v>100</v>
      </c>
      <c r="BO10" s="103">
        <v>5800</v>
      </c>
    </row>
    <row r="11" spans="1:68">
      <c r="C11" s="237" t="s">
        <v>1114</v>
      </c>
      <c r="D11" s="267">
        <v>95.52</v>
      </c>
      <c r="E11" s="267">
        <v>91.85</v>
      </c>
      <c r="F11" s="238">
        <f t="shared" si="0"/>
        <v>78.359310910582437</v>
      </c>
      <c r="G11" s="238">
        <f>IFERROR(ROUNDUP(F11*'Customer Base'!$J$5,2),0)</f>
        <v>1308.6099999999999</v>
      </c>
      <c r="H11" s="238">
        <f t="shared" si="1"/>
        <v>75.348646431501223</v>
      </c>
      <c r="I11" s="238">
        <f>IFERROR(ROUNDUP(H11*'Customer Base'!$J$5,2),0)</f>
        <v>1258.33</v>
      </c>
      <c r="J11" s="103">
        <f t="shared" si="4"/>
        <v>2400</v>
      </c>
      <c r="K11" s="103" t="s">
        <v>1079</v>
      </c>
      <c r="L11" s="224">
        <f>J11/'Customer Base'!$J$5</f>
        <v>143.7125748502994</v>
      </c>
      <c r="M11" s="103">
        <v>228</v>
      </c>
      <c r="N11" s="103">
        <v>6</v>
      </c>
      <c r="O11" s="103" t="str">
        <f>IF('Customer Base'!$I$15="MANUAL",IF(B11&lt;&gt;"",C11,""),IF('Customer Base'!$I$15="AUTOMATE",IF(A11&lt;&gt;"",C11,""),""))</f>
        <v/>
      </c>
      <c r="P11" s="103" t="s">
        <v>1581</v>
      </c>
      <c r="U11" s="103" t="s">
        <v>1235</v>
      </c>
      <c r="W11" s="103" t="s">
        <v>1817</v>
      </c>
      <c r="AD11" s="103" t="s">
        <v>1448</v>
      </c>
      <c r="AE11" s="103" t="s">
        <v>1431</v>
      </c>
      <c r="AF11" s="103" t="s">
        <v>1436</v>
      </c>
      <c r="AG11" s="103" t="s">
        <v>1419</v>
      </c>
      <c r="AH11" s="103" t="s">
        <v>1447</v>
      </c>
      <c r="AI11" s="103" t="s">
        <v>1458</v>
      </c>
      <c r="AJ11" s="103" t="s">
        <v>1461</v>
      </c>
      <c r="AM11" s="239">
        <v>0.25</v>
      </c>
      <c r="AN11" s="239" t="s">
        <v>2226</v>
      </c>
      <c r="AO11" s="103">
        <f>IF('Customer Base'!$I$15="MANUAL",IFERROR(AM11*B11,""),IF('Customer Base'!$I$15="AUTOMATE",IFERROR(AM11*A11,""),""))</f>
        <v>0</v>
      </c>
      <c r="AQ11" s="103">
        <v>24</v>
      </c>
      <c r="AR11" s="103" t="s">
        <v>2198</v>
      </c>
      <c r="AS11" s="103">
        <v>1</v>
      </c>
      <c r="AT11" s="103" t="str">
        <f t="shared" si="2"/>
        <v/>
      </c>
      <c r="AV11" s="103" t="str">
        <f t="shared" si="3"/>
        <v/>
      </c>
      <c r="AZ11" s="240" t="str" cm="1">
        <f t="array" ref="AZ11">INDEX(AR$6:AR$132,MATCH(0,COUNTIF($AZ$5:AZ10,AR$6:AR$132),0))</f>
        <v>Quattro</v>
      </c>
      <c r="BA11" s="103" cm="1">
        <f t="array" ref="BA11">INDEX(AM$6:AM$161,MATCH(0,COUNTIF($BA$5:BA10,AM$6:AM$161),0))</f>
        <v>1.6</v>
      </c>
      <c r="BC11" s="103" t="str" cm="1">
        <f t="array" ref="BC11">INDEX(AR$205:AR$236,MATCH(0,COUNTIF($BC$5:BC10,AR$205:AR$236),0))</f>
        <v>Victron_Gel</v>
      </c>
      <c r="BD11" s="103" cm="1">
        <f t="array" ref="BD11">INDEX(AM$205:AM$236,MATCH(0,COUNTIF($BD$5:BD10,AM$205:AM$236),0))</f>
        <v>2.56</v>
      </c>
      <c r="BE11" s="103" t="str" cm="1">
        <f t="array" ref="BE11">INDEX(AR$242:AR$254,MATCH(0,COUNTIF($BE$5:BE10,AR$242:AR$254),0))</f>
        <v>Victron_Solar_Panel</v>
      </c>
    </row>
    <row r="12" spans="1:68">
      <c r="C12" s="237" t="s">
        <v>1115</v>
      </c>
      <c r="D12" s="267">
        <v>126.42</v>
      </c>
      <c r="E12" s="267">
        <v>119.07</v>
      </c>
      <c r="F12" s="238">
        <f t="shared" si="0"/>
        <v>103.70795734208367</v>
      </c>
      <c r="G12" s="238">
        <f>IFERROR(ROUNDUP(F12*'Customer Base'!$J$5,2),0)</f>
        <v>1731.93</v>
      </c>
      <c r="H12" s="238">
        <f t="shared" si="1"/>
        <v>97.678424938474151</v>
      </c>
      <c r="I12" s="238">
        <f>IFERROR(ROUNDUP(H12*'Customer Base'!$J$5,2),0)</f>
        <v>1631.23</v>
      </c>
      <c r="J12" s="103">
        <f t="shared" si="4"/>
        <v>8510</v>
      </c>
      <c r="K12" s="103" t="s">
        <v>1080</v>
      </c>
      <c r="L12" s="224">
        <f>J12/'Customer Base'!$J$5</f>
        <v>509.5808383233533</v>
      </c>
      <c r="M12" s="103">
        <v>810</v>
      </c>
      <c r="N12" s="103">
        <v>7</v>
      </c>
      <c r="O12" s="103" t="str">
        <f>IF('Customer Base'!$I$15="MANUAL",IF(B12&lt;&gt;"",C12,""),IF('Customer Base'!$I$15="AUTOMATE",IF(A12&lt;&gt;"",C12,""),""))</f>
        <v/>
      </c>
      <c r="P12" s="103" t="s">
        <v>1223</v>
      </c>
      <c r="U12" s="103" t="s">
        <v>1272</v>
      </c>
      <c r="W12" s="103" t="s">
        <v>1818</v>
      </c>
      <c r="AD12" s="103" t="s">
        <v>1450</v>
      </c>
      <c r="AE12" s="103" t="s">
        <v>1432</v>
      </c>
      <c r="AF12" s="103" t="s">
        <v>1437</v>
      </c>
      <c r="AG12" s="103" t="s">
        <v>1419</v>
      </c>
      <c r="AH12" s="103" t="s">
        <v>1451</v>
      </c>
      <c r="AI12" s="103" t="s">
        <v>1449</v>
      </c>
      <c r="AJ12" s="103" t="s">
        <v>1462</v>
      </c>
      <c r="AM12" s="239">
        <v>0.375</v>
      </c>
      <c r="AN12" s="239" t="s">
        <v>2227</v>
      </c>
      <c r="AO12" s="103">
        <f>IF('Customer Base'!$I$15="MANUAL",IFERROR(AM12*B12,""),IF('Customer Base'!$I$15="AUTOMATE",IFERROR(AM12*A12,""),""))</f>
        <v>0</v>
      </c>
      <c r="AQ12" s="103">
        <v>24</v>
      </c>
      <c r="AR12" s="103" t="s">
        <v>2198</v>
      </c>
      <c r="AS12" s="103">
        <v>1</v>
      </c>
      <c r="AT12" s="103" t="str">
        <f t="shared" si="2"/>
        <v/>
      </c>
      <c r="AV12" s="103" t="str">
        <f t="shared" si="3"/>
        <v/>
      </c>
      <c r="AZ12" s="240" t="str" cm="1">
        <f t="array" ref="AZ12">INDEX(AR$6:AR$132,MATCH(0,COUNTIF($AZ$5:AZ11,AR$6:AR$132),0))</f>
        <v>EasySolar</v>
      </c>
      <c r="BA12" s="103" cm="1">
        <f t="array" ref="BA12">INDEX(AM$6:AM$161,MATCH(0,COUNTIF($BA$5:BA11,AM$6:AM$161),0))</f>
        <v>2</v>
      </c>
      <c r="BC12" s="103" t="str" cm="1">
        <f t="array" ref="BC12">INDEX(AR$205:AR$236,MATCH(0,COUNTIF($BC$5:BC11,AR$205:AR$236),0))</f>
        <v>Hoppecke_OPzV</v>
      </c>
      <c r="BD12" s="103" cm="1">
        <f t="array" ref="BD12">INDEX(AM$205:AM$236,MATCH(0,COUNTIF($BD$5:BD11,AM$205:AM$236),0))</f>
        <v>4.8</v>
      </c>
      <c r="BL12" s="231">
        <f>MIN(BL4:BL10)</f>
        <v>0.70137931034482748</v>
      </c>
      <c r="BM12" s="103">
        <f>MAX(BM4:BM10)</f>
        <v>4067.9999999999995</v>
      </c>
    </row>
    <row r="13" spans="1:68">
      <c r="A13" s="103" t="str">
        <f>IF(AND('Customer Base'!D$8=24,'Customer Base'!D$13="Victron",'Customer Base'!E$13="Phoenix",'Customer Base'!D$14&gt;0,'Customer Base'!D$14&lt;=0.5),'Customer Base'!D$15,IF(AND('Customer Base'!D$7="Mini-Grid",'Customer Base'!D$8=24,'Customer Base'!F$13="Victron",'Customer Base'!F$14&gt;0,'Customer Base'!F$14&lt;=0.5),'Customer Base'!F$15,""))</f>
        <v/>
      </c>
      <c r="B13" s="270" t="s">
        <v>1</v>
      </c>
      <c r="C13" s="237" t="s">
        <v>1116</v>
      </c>
      <c r="D13" s="267">
        <v>158.03</v>
      </c>
      <c r="E13" s="267">
        <v>148.85</v>
      </c>
      <c r="F13" s="238">
        <f t="shared" si="0"/>
        <v>129.63904840032814</v>
      </c>
      <c r="G13" s="238">
        <f>IFERROR(ROUNDUP(F13*'Customer Base'!$J$5,2),0)</f>
        <v>2164.98</v>
      </c>
      <c r="H13" s="238">
        <f t="shared" si="1"/>
        <v>122.10828547990154</v>
      </c>
      <c r="I13" s="238">
        <f>IFERROR(ROUNDUP(H13*'Customer Base'!$J$5,2),0)</f>
        <v>2039.21</v>
      </c>
      <c r="J13" s="103">
        <f t="shared" si="4"/>
        <v>8510</v>
      </c>
      <c r="K13" s="103" t="s">
        <v>49</v>
      </c>
      <c r="L13" s="224">
        <f>J13/'Customer Base'!$J$5</f>
        <v>509.5808383233533</v>
      </c>
      <c r="M13" s="103">
        <v>810</v>
      </c>
      <c r="N13" s="103">
        <v>8</v>
      </c>
      <c r="O13" s="103" t="str">
        <f>IF('Customer Base'!$I$15="MANUAL",IF(B13&lt;&gt;"",C13,""),IF('Customer Base'!$I$15="AUTOMATE",IF(A13&lt;&gt;"",C13,""),""))</f>
        <v/>
      </c>
      <c r="P13" s="103" t="s">
        <v>1196</v>
      </c>
      <c r="U13" s="103" t="s">
        <v>1626</v>
      </c>
      <c r="W13" s="103" t="s">
        <v>1819</v>
      </c>
      <c r="AD13" s="103" t="s">
        <v>1452</v>
      </c>
      <c r="AE13" s="103" t="s">
        <v>1433</v>
      </c>
      <c r="AF13" s="103" t="s">
        <v>1438</v>
      </c>
      <c r="AG13" s="103" t="s">
        <v>1419</v>
      </c>
      <c r="AH13" s="103" t="s">
        <v>1453</v>
      </c>
      <c r="AI13" s="103" t="s">
        <v>1454</v>
      </c>
      <c r="AJ13" s="103" t="s">
        <v>1459</v>
      </c>
      <c r="AM13" s="239">
        <v>0.5</v>
      </c>
      <c r="AN13" s="239" t="s">
        <v>2228</v>
      </c>
      <c r="AO13" s="103" t="str">
        <f>IF('Customer Base'!$I$15="MANUAL",IFERROR(AM13*B13,""),IF('Customer Base'!$I$15="AUTOMATE",IFERROR(AM13*A13,""),""))</f>
        <v/>
      </c>
      <c r="AQ13" s="103">
        <v>24</v>
      </c>
      <c r="AR13" s="103" t="s">
        <v>2198</v>
      </c>
      <c r="AS13" s="103">
        <v>1</v>
      </c>
      <c r="AT13" s="103" t="str">
        <f t="shared" si="2"/>
        <v/>
      </c>
      <c r="AV13" s="103" t="str">
        <f t="shared" si="3"/>
        <v/>
      </c>
      <c r="AZ13" s="240" t="str" cm="1">
        <f t="array" ref="AZ13">INDEX(AR$6:AR$132,MATCH(0,COUNTIF($AZ$5:AZ12,AR$6:AR$132),0))</f>
        <v>EasySolar_II</v>
      </c>
      <c r="BA13" s="103" cm="1">
        <f t="array" ref="BA13">INDEX(AM$6:AM$161,MATCH(0,COUNTIF($BA$5:BA12,AM$6:AM$161),0))</f>
        <v>3</v>
      </c>
      <c r="BC13" s="103" t="str" cm="1">
        <f t="array" ref="BC13">INDEX(AR$205:AR$236,MATCH(0,COUNTIF($BC$5:BC12,AR$205:AR$236),0))</f>
        <v>Hoppecke_Lead_Acid</v>
      </c>
      <c r="BD13" s="103" cm="1">
        <f t="array" ref="BD13">INDEX(AM$205:AM$236,MATCH(0,COUNTIF($BD$5:BD12,AM$205:AM$236),0))</f>
        <v>9.6000000000000002E-2</v>
      </c>
    </row>
    <row r="14" spans="1:68">
      <c r="A14" s="103" t="str">
        <f>IF(AND('Customer Base'!D$8=24,'Customer Base'!D$13="Victron",'Customer Base'!E$13="Phoenix",'Customer Base'!D$14&gt;0.5,'Customer Base'!D$14&lt;=0.8),'Customer Base'!D$15,IF(AND('Customer Base'!D$7="Mini-Grid",'Customer Base'!D$8=24,'Customer Base'!F$13="Victron",'Customer Base'!F$14&gt;0.5,'Customer Base'!F$14&lt;=0.8),'Customer Base'!F$15,""))</f>
        <v/>
      </c>
      <c r="B14" s="270" t="s">
        <v>1</v>
      </c>
      <c r="C14" s="237" t="s">
        <v>1117</v>
      </c>
      <c r="D14" s="267">
        <v>256.45999999999998</v>
      </c>
      <c r="E14" s="267">
        <v>241.54</v>
      </c>
      <c r="F14" s="238">
        <f t="shared" si="0"/>
        <v>210.38556193601309</v>
      </c>
      <c r="G14" s="238">
        <f>IFERROR(ROUNDUP(F14*'Customer Base'!$J$5,2),0)</f>
        <v>3513.44</v>
      </c>
      <c r="H14" s="238">
        <f t="shared" si="1"/>
        <v>198.14602132895814</v>
      </c>
      <c r="I14" s="238">
        <f>IFERROR(ROUNDUP(H14*'Customer Base'!$J$5,2),0)</f>
        <v>3309.0400000000004</v>
      </c>
      <c r="J14" s="103">
        <f t="shared" si="4"/>
        <v>900</v>
      </c>
      <c r="K14" s="103" t="s">
        <v>954</v>
      </c>
      <c r="L14" s="224">
        <f>J14/'Customer Base'!$J$5</f>
        <v>53.892215568862277</v>
      </c>
      <c r="M14" s="103">
        <v>85</v>
      </c>
      <c r="N14" s="103">
        <v>9</v>
      </c>
      <c r="O14" s="103" t="str">
        <f>IF('Customer Base'!$I$15="MANUAL",IF(B14&lt;&gt;"",C14,""),IF('Customer Base'!$I$15="AUTOMATE",IF(A14&lt;&gt;"",C14,""),""))</f>
        <v/>
      </c>
      <c r="P14" s="103" t="s">
        <v>1236</v>
      </c>
      <c r="U14" s="103" t="s">
        <v>1273</v>
      </c>
      <c r="W14" s="103" t="s">
        <v>1820</v>
      </c>
      <c r="AD14" s="103" t="s">
        <v>1456</v>
      </c>
      <c r="AE14" s="103" t="s">
        <v>1434</v>
      </c>
      <c r="AF14" s="103" t="s">
        <v>1439</v>
      </c>
      <c r="AG14" s="103" t="s">
        <v>1419</v>
      </c>
      <c r="AH14" s="103" t="s">
        <v>1455</v>
      </c>
      <c r="AI14" s="103" t="s">
        <v>1457</v>
      </c>
      <c r="AJ14" s="103" t="s">
        <v>1463</v>
      </c>
      <c r="AM14" s="239">
        <v>0.8</v>
      </c>
      <c r="AN14" s="239" t="s">
        <v>2229</v>
      </c>
      <c r="AO14" s="103" t="str">
        <f>IF('Customer Base'!$I$15="MANUAL",IFERROR(AM14*B14,""),IF('Customer Base'!$I$15="AUTOMATE",IFERROR(AM14*A14,""),""))</f>
        <v/>
      </c>
      <c r="AQ14" s="103">
        <v>24</v>
      </c>
      <c r="AR14" s="103" t="s">
        <v>2198</v>
      </c>
      <c r="AS14" s="103">
        <v>1</v>
      </c>
      <c r="AT14" s="103" t="str">
        <f t="shared" si="2"/>
        <v/>
      </c>
      <c r="AV14" s="103" t="str">
        <f t="shared" si="3"/>
        <v/>
      </c>
      <c r="AZ14" s="240" t="str" cm="1">
        <f t="array" ref="AZ14">INDEX(AR$6:AR$132,MATCH(0,COUNTIF($AZ$5:AZ13,AR$6:AR$132),0))</f>
        <v>Phocos_H</v>
      </c>
      <c r="BA14" s="103" cm="1">
        <f t="array" ref="BA14">INDEX(AM$6:AM$161,MATCH(0,COUNTIF($BA$5:BA13,AM$6:AM$161),0))</f>
        <v>5</v>
      </c>
      <c r="BC14" s="103" t="e" cm="1">
        <f t="array" ref="BC14">INDEX(AR$205:AR$236,MATCH(0,COUNTIF($BC$5:BC13,AR$205:AR$236),0))</f>
        <v>#N/A</v>
      </c>
      <c r="BD14" s="103" cm="1">
        <f t="array" ref="BD14">INDEX(AM$205:AM$236,MATCH(0,COUNTIF($BD$5:BD13,AM$205:AM$236),0))</f>
        <v>0.16800000000000001</v>
      </c>
      <c r="BN14" s="103">
        <f>VLOOKUP(BL12,BL4:BO10,3,FALSE)</f>
        <v>100</v>
      </c>
      <c r="BO14" s="103">
        <f>VLOOKUP(BM12,BM4:BO10,2,FALSE)</f>
        <v>85</v>
      </c>
    </row>
    <row r="15" spans="1:68">
      <c r="C15" s="237" t="s">
        <v>1118</v>
      </c>
      <c r="D15" s="267">
        <v>338.63</v>
      </c>
      <c r="E15" s="267">
        <v>318.95</v>
      </c>
      <c r="F15" s="238">
        <f t="shared" si="0"/>
        <v>277.79327317473337</v>
      </c>
      <c r="G15" s="238">
        <f>IFERROR(ROUNDUP(F15*'Customer Base'!$J$5,2),0)</f>
        <v>4639.1500000000005</v>
      </c>
      <c r="H15" s="238">
        <f t="shared" si="1"/>
        <v>261.64889253486461</v>
      </c>
      <c r="I15" s="238">
        <f>IFERROR(ROUNDUP(H15*'Customer Base'!$J$5,2),0)</f>
        <v>4369.54</v>
      </c>
      <c r="J15" s="103">
        <f t="shared" si="4"/>
        <v>900</v>
      </c>
      <c r="K15" s="103" t="s">
        <v>389</v>
      </c>
      <c r="L15" s="224">
        <f>J15/'Customer Base'!$J$5</f>
        <v>53.892215568862277</v>
      </c>
      <c r="M15" s="103">
        <v>85</v>
      </c>
      <c r="N15" s="103">
        <v>10</v>
      </c>
      <c r="O15" s="103" t="str">
        <f>IF('Customer Base'!$I$15="MANUAL",IF(B15&lt;&gt;"",C15,""),IF('Customer Base'!$I$15="AUTOMATE",IF(A15&lt;&gt;"",C15,""),""))</f>
        <v/>
      </c>
      <c r="P15" s="103" t="s">
        <v>1268</v>
      </c>
      <c r="U15" s="103" t="s">
        <v>1655</v>
      </c>
      <c r="W15" s="103" t="s">
        <v>1821</v>
      </c>
      <c r="AD15" s="103" t="s">
        <v>2382</v>
      </c>
      <c r="AE15" s="103" t="s">
        <v>2383</v>
      </c>
      <c r="AF15" s="103" t="s">
        <v>2384</v>
      </c>
      <c r="AG15" s="103" t="s">
        <v>1419</v>
      </c>
      <c r="AH15" s="103" t="s">
        <v>2385</v>
      </c>
      <c r="AI15" s="103" t="s">
        <v>2386</v>
      </c>
      <c r="AJ15" s="103" t="s">
        <v>2387</v>
      </c>
      <c r="AM15" s="239">
        <v>1.2</v>
      </c>
      <c r="AN15" s="239" t="s">
        <v>2230</v>
      </c>
      <c r="AO15" s="103">
        <f>IF('Customer Base'!$I$15="MANUAL",IFERROR(AM15*B15,""),IF('Customer Base'!$I$15="AUTOMATE",IFERROR(AM15*A15,""),""))</f>
        <v>0</v>
      </c>
      <c r="AQ15" s="103">
        <v>24</v>
      </c>
      <c r="AR15" s="103" t="s">
        <v>2198</v>
      </c>
      <c r="AS15" s="103">
        <v>1</v>
      </c>
      <c r="AT15" s="103" t="str">
        <f t="shared" si="2"/>
        <v/>
      </c>
      <c r="AV15" s="103" t="str">
        <f t="shared" si="3"/>
        <v/>
      </c>
      <c r="AZ15" s="240" t="str" cm="1">
        <f t="array" ref="AZ15">INDEX(AR$6:AR$132,MATCH(0,COUNTIF($AZ$5:AZ14,AR$6:AR$132),0))</f>
        <v>Phocos_B</v>
      </c>
      <c r="BA15" s="103" cm="1">
        <f t="array" ref="BA15">INDEX(AM$6:AM$161,MATCH(0,COUNTIF($BA$5:BA14,AM$6:AM$161),0))</f>
        <v>0</v>
      </c>
      <c r="BC15" s="103" t="e" cm="1">
        <f t="array" ref="BC15">INDEX(AR$205:AR$236,MATCH(0,COUNTIF($BC$5:BC14,AR$205:AR$236),0))</f>
        <v>#N/A</v>
      </c>
      <c r="BD15" s="103" cm="1">
        <f t="array" ref="BD15">INDEX(AM$205:AM$236,MATCH(0,COUNTIF($BD$5:BD14,AM$205:AM$236),0))</f>
        <v>0.26400000000000001</v>
      </c>
      <c r="BK15" s="231"/>
      <c r="BL15" s="231"/>
      <c r="BO15" s="231"/>
    </row>
    <row r="16" spans="1:68">
      <c r="C16" s="237" t="s">
        <v>1007</v>
      </c>
      <c r="D16" s="267">
        <v>95.52</v>
      </c>
      <c r="E16" s="267">
        <v>91.853999999999999</v>
      </c>
      <c r="F16" s="238">
        <f t="shared" si="0"/>
        <v>78.359310910582437</v>
      </c>
      <c r="G16" s="238">
        <f>IFERROR(ROUNDUP(F16*'Customer Base'!$J$5,2),0)</f>
        <v>1308.6099999999999</v>
      </c>
      <c r="H16" s="238">
        <f t="shared" si="1"/>
        <v>75.351927809680063</v>
      </c>
      <c r="I16" s="238">
        <f>IFERROR(ROUNDUP(H16*'Customer Base'!$J$5,2),0)</f>
        <v>1258.3799999999999</v>
      </c>
      <c r="J16" s="103">
        <f t="shared" si="4"/>
        <v>1200</v>
      </c>
      <c r="K16" s="103" t="s">
        <v>955</v>
      </c>
      <c r="L16" s="224">
        <f>J16/'Customer Base'!$J$5</f>
        <v>71.856287425149702</v>
      </c>
      <c r="M16" s="103">
        <v>114</v>
      </c>
      <c r="N16" s="103">
        <v>11</v>
      </c>
      <c r="O16" s="103" t="str">
        <f>IF('Customer Base'!$I$15="MANUAL",IF(B16&lt;&gt;"",C16,""),IF('Customer Base'!$I$15="AUTOMATE",IF(A16&lt;&gt;"",C16,""),""))</f>
        <v/>
      </c>
      <c r="P16" s="103" t="s">
        <v>1269</v>
      </c>
      <c r="AD16" s="103" t="s">
        <v>2583</v>
      </c>
      <c r="AE16" s="103" t="s">
        <v>2584</v>
      </c>
      <c r="AF16" s="103" t="s">
        <v>2585</v>
      </c>
      <c r="AG16" s="103" t="s">
        <v>1419</v>
      </c>
      <c r="AH16" s="103" t="s">
        <v>2586</v>
      </c>
      <c r="AI16" s="103" t="s">
        <v>2588</v>
      </c>
      <c r="AJ16" s="103" t="s">
        <v>2587</v>
      </c>
      <c r="AM16" s="239">
        <v>0.25</v>
      </c>
      <c r="AN16" s="239" t="s">
        <v>2231</v>
      </c>
      <c r="AO16" s="103">
        <f>IF('Customer Base'!$I$15="MANUAL",IFERROR(AM16*B16,""),IF('Customer Base'!$I$15="AUTOMATE",IFERROR(AM16*A16,""),""))</f>
        <v>0</v>
      </c>
      <c r="AQ16" s="103">
        <v>48</v>
      </c>
      <c r="AR16" s="103" t="s">
        <v>2198</v>
      </c>
      <c r="AS16" s="103">
        <v>1</v>
      </c>
      <c r="AT16" s="103" t="str">
        <f t="shared" si="2"/>
        <v/>
      </c>
      <c r="AV16" s="103" t="str">
        <f t="shared" si="3"/>
        <v/>
      </c>
      <c r="AZ16" s="240" t="str" cm="1">
        <f t="array" ref="AZ16">INDEX(AR$6:AR$132,MATCH(0,COUNTIF($AZ$5:AZ15,AR$6:AR$132),0))</f>
        <v>Deye</v>
      </c>
      <c r="BA16" s="103" cm="1">
        <f t="array" ref="BA16">INDEX(AM$6:AM$161,MATCH(0,COUNTIF($BA$5:BA15,AM$6:AM$161),0))</f>
        <v>6</v>
      </c>
      <c r="BC16" s="103" t="e" cm="1">
        <f t="array" ref="BC16">INDEX(AR$205:AR$236,MATCH(0,COUNTIF($BC$5:BC15,AR$205:AR$236),0))</f>
        <v>#N/A</v>
      </c>
      <c r="BD16" s="103" cm="1">
        <f t="array" ref="BD16">INDEX(AM$205:AM$236,MATCH(0,COUNTIF($BD$5:BD15,AM$205:AM$236),0))</f>
        <v>0.45600000000000002</v>
      </c>
      <c r="BK16" s="231"/>
      <c r="BL16" s="231"/>
      <c r="BO16" s="231"/>
    </row>
    <row r="17" spans="1:67">
      <c r="C17" s="237" t="s">
        <v>1008</v>
      </c>
      <c r="D17" s="267">
        <v>126.42</v>
      </c>
      <c r="E17" s="267">
        <v>119.07</v>
      </c>
      <c r="F17" s="238">
        <f t="shared" si="0"/>
        <v>103.70795734208367</v>
      </c>
      <c r="G17" s="238">
        <f>IFERROR(ROUNDUP(F17*'Customer Base'!$J$5,2),0)</f>
        <v>1731.93</v>
      </c>
      <c r="H17" s="238">
        <f t="shared" si="1"/>
        <v>97.678424938474151</v>
      </c>
      <c r="I17" s="238">
        <f>IFERROR(ROUNDUP(H17*'Customer Base'!$J$5,2),0)</f>
        <v>1631.23</v>
      </c>
      <c r="J17" s="103">
        <f t="shared" si="4"/>
        <v>1200</v>
      </c>
      <c r="K17" s="103" t="s">
        <v>305</v>
      </c>
      <c r="L17" s="224">
        <f>J17/'Customer Base'!$J$5</f>
        <v>71.856287425149702</v>
      </c>
      <c r="M17" s="103">
        <v>114</v>
      </c>
      <c r="N17" s="103">
        <v>12</v>
      </c>
      <c r="O17" s="103" t="str">
        <f>IF('Customer Base'!$I$15="MANUAL",IF(B17&lt;&gt;"",C17,""),IF('Customer Base'!$I$15="AUTOMATE",IF(A17&lt;&gt;"",C17,""),""))</f>
        <v/>
      </c>
      <c r="P17" s="103" t="s">
        <v>1270</v>
      </c>
      <c r="AM17" s="239">
        <v>0.375</v>
      </c>
      <c r="AN17" s="239" t="s">
        <v>2232</v>
      </c>
      <c r="AO17" s="103">
        <f>IF('Customer Base'!$I$15="MANUAL",IFERROR(AM17*B17,""),IF('Customer Base'!$I$15="AUTOMATE",IFERROR(AM17*A17,""),""))</f>
        <v>0</v>
      </c>
      <c r="AQ17" s="103">
        <v>48</v>
      </c>
      <c r="AR17" s="103" t="s">
        <v>2198</v>
      </c>
      <c r="AS17" s="103">
        <v>1</v>
      </c>
      <c r="AT17" s="103" t="str">
        <f t="shared" si="2"/>
        <v/>
      </c>
      <c r="AV17" s="103" t="str">
        <f t="shared" si="3"/>
        <v/>
      </c>
      <c r="AZ17" s="240" t="str" cm="1">
        <f t="array" ref="AZ17">INDEX(AR$6:AR$132,MATCH(0,COUNTIF($AZ$5:AZ16,AR$6:AR$132),0))</f>
        <v>Huawei</v>
      </c>
      <c r="BA17" s="103" cm="1">
        <f t="array" ref="BA17">INDEX(AM$6:AM$161,MATCH(0,COUNTIF($BA$5:BA16,AM$6:AM$161),0))</f>
        <v>8</v>
      </c>
      <c r="BD17" s="103" cm="1">
        <f t="array" ref="BD17">INDEX(AM$205:AM$236,MATCH(0,COUNTIF($BD$5:BD16,AM$205:AM$236),0))</f>
        <v>0.72</v>
      </c>
      <c r="BK17" s="231"/>
      <c r="BL17" s="231"/>
      <c r="BO17" s="231"/>
    </row>
    <row r="18" spans="1:67">
      <c r="A18" s="103" t="str">
        <f>IF(AND('Customer Base'!D$8=48,'Customer Base'!D$13="Victron",'Customer Base'!E$13="Phoenix",'Customer Base'!D$14&gt;0,'Customer Base'!D$14&lt;=0.5),'Customer Base'!D$15,IF(AND('Customer Base'!D$7="Mini-Grid",'Customer Base'!D$8=48,'Customer Base'!F$13="Victron",'Customer Base'!F$14&gt;0,'Customer Base'!F$14&lt;=0.5),'Customer Base'!F$15,""))</f>
        <v/>
      </c>
      <c r="B18" s="270" t="s">
        <v>1</v>
      </c>
      <c r="C18" s="237" t="s">
        <v>1009</v>
      </c>
      <c r="D18" s="267">
        <v>158.03</v>
      </c>
      <c r="E18" s="267">
        <v>148.846</v>
      </c>
      <c r="F18" s="238">
        <f t="shared" si="0"/>
        <v>129.63904840032814</v>
      </c>
      <c r="G18" s="238">
        <f>IFERROR(ROUNDUP(F18*'Customer Base'!$J$5,2),0)</f>
        <v>2164.98</v>
      </c>
      <c r="H18" s="238">
        <f t="shared" si="1"/>
        <v>122.10500410172271</v>
      </c>
      <c r="I18" s="238">
        <f>IFERROR(ROUNDUP(H18*'Customer Base'!$J$5,2),0)</f>
        <v>2039.16</v>
      </c>
      <c r="J18" s="103">
        <f t="shared" si="4"/>
        <v>2840</v>
      </c>
      <c r="K18" s="103" t="s">
        <v>957</v>
      </c>
      <c r="L18" s="224">
        <f>J18/'Customer Base'!$J$5</f>
        <v>170.05988023952096</v>
      </c>
      <c r="M18" s="103">
        <v>270</v>
      </c>
      <c r="N18" s="103">
        <v>13</v>
      </c>
      <c r="O18" s="103" t="str">
        <f>IF('Customer Base'!$I$15="MANUAL",IF(B18&lt;&gt;"",C18,""),IF('Customer Base'!$I$15="AUTOMATE",IF(A18&lt;&gt;"",C18,""),""))</f>
        <v/>
      </c>
      <c r="P18" s="103" t="s">
        <v>1299</v>
      </c>
      <c r="AM18" s="239">
        <v>0.5</v>
      </c>
      <c r="AN18" s="239" t="s">
        <v>2233</v>
      </c>
      <c r="AO18" s="103" t="str">
        <f>IF('Customer Base'!$I$15="MANUAL",IFERROR(AM18*B18,""),IF('Customer Base'!$I$15="AUTOMATE",IFERROR(AM18*A18,""),""))</f>
        <v/>
      </c>
      <c r="AQ18" s="103">
        <v>48</v>
      </c>
      <c r="AR18" s="103" t="s">
        <v>2198</v>
      </c>
      <c r="AS18" s="103">
        <v>1</v>
      </c>
      <c r="AT18" s="103" t="str">
        <f t="shared" si="2"/>
        <v/>
      </c>
      <c r="AV18" s="103" t="str">
        <f t="shared" si="3"/>
        <v/>
      </c>
      <c r="AZ18" s="240" t="str" cm="1">
        <f t="array" ref="AZ18">INDEX(AR$6:AR$132,MATCH(0,COUNTIF($AZ$5:AZ17,AR$6:AR$132),0))</f>
        <v>Galvo</v>
      </c>
      <c r="BA18" s="103" cm="1">
        <f t="array" ref="BA18">INDEX(AM$6:AM$161,MATCH(0,COUNTIF($BA$5:BA17,AM$6:AM$161),0))</f>
        <v>10</v>
      </c>
      <c r="BD18" s="103" cm="1">
        <f t="array" ref="BD18">INDEX(AM$205:AM$236,MATCH(0,COUNTIF($BD$5:BD17,AM$205:AM$236),0))</f>
        <v>1.08</v>
      </c>
      <c r="BK18" s="231"/>
      <c r="BL18" s="231"/>
      <c r="BM18" s="103">
        <f>MIN(BN14:BO14)</f>
        <v>85</v>
      </c>
      <c r="BO18" s="231"/>
    </row>
    <row r="19" spans="1:67">
      <c r="A19" s="103" t="str">
        <f>IF(AND('Customer Base'!D$8=48,'Customer Base'!D$13="Victron",'Customer Base'!E$13="Phoenix",'Customer Base'!D$14&gt;0.5,'Customer Base'!D$14&lt;=0.8),'Customer Base'!D$15,IF(AND('Customer Base'!D$7="Mini-Grid",'Customer Base'!D$8=48,'Customer Base'!F$13="Victron",'Customer Base'!F$14&gt;0.5,'Customer Base'!F$14&lt;=0.8),'Customer Base'!F$15,""))</f>
        <v/>
      </c>
      <c r="B19" s="270" t="s">
        <v>1</v>
      </c>
      <c r="C19" s="237" t="s">
        <v>1010</v>
      </c>
      <c r="D19" s="267">
        <v>256.45999999999998</v>
      </c>
      <c r="E19" s="267">
        <v>241.542</v>
      </c>
      <c r="F19" s="238">
        <f t="shared" si="0"/>
        <v>210.38556193601309</v>
      </c>
      <c r="G19" s="238">
        <f>IFERROR(ROUNDUP(F19*'Customer Base'!$J$5,2),0)</f>
        <v>3513.44</v>
      </c>
      <c r="H19" s="238">
        <f t="shared" si="1"/>
        <v>198.14766201804755</v>
      </c>
      <c r="I19" s="238">
        <f>IFERROR(ROUNDUP(H19*'Customer Base'!$J$5,2),0)</f>
        <v>3309.07</v>
      </c>
      <c r="J19" s="103">
        <f t="shared" si="4"/>
        <v>2840</v>
      </c>
      <c r="K19" s="103" t="s">
        <v>51</v>
      </c>
      <c r="L19" s="224">
        <f>J19/'Customer Base'!$J$5</f>
        <v>170.05988023952096</v>
      </c>
      <c r="M19" s="103">
        <v>270</v>
      </c>
      <c r="N19" s="103">
        <v>14</v>
      </c>
      <c r="O19" s="103" t="str">
        <f>IF('Customer Base'!$I$15="MANUAL",IF(B19&lt;&gt;"",C19,""),IF('Customer Base'!$I$15="AUTOMATE",IF(A19&lt;&gt;"",C19,""),""))</f>
        <v/>
      </c>
      <c r="P19" s="103" t="s">
        <v>1300</v>
      </c>
      <c r="AM19" s="239">
        <v>0.8</v>
      </c>
      <c r="AN19" s="239" t="s">
        <v>2234</v>
      </c>
      <c r="AO19" s="103" t="str">
        <f>IF('Customer Base'!$I$15="MANUAL",IFERROR(AM19*B19,""),IF('Customer Base'!$I$15="AUTOMATE",IFERROR(AM19*A19,""),""))</f>
        <v/>
      </c>
      <c r="AQ19" s="103">
        <v>48</v>
      </c>
      <c r="AR19" s="103" t="s">
        <v>2198</v>
      </c>
      <c r="AS19" s="103">
        <v>1</v>
      </c>
      <c r="AT19" s="103" t="str">
        <f t="shared" si="2"/>
        <v/>
      </c>
      <c r="AV19" s="103" t="str">
        <f t="shared" si="3"/>
        <v/>
      </c>
      <c r="AZ19" s="240" t="str" cm="1">
        <f t="array" ref="AZ19">INDEX(AR$6:AR$132,MATCH(0,COUNTIF($AZ$5:AZ18,AR$6:AR$132),0))</f>
        <v>Primo</v>
      </c>
      <c r="BA19" s="103" cm="1">
        <f t="array" ref="BA19">INDEX(AM$6:AM$161,MATCH(0,COUNTIF($BA$5:BA18,AM$6:AM$161),0))</f>
        <v>15</v>
      </c>
      <c r="BD19" s="103" cm="1">
        <f t="array" ref="BD19">INDEX(AM$205:AM$236,MATCH(0,COUNTIF($BD$5:BD18,AM$205:AM$236),0))</f>
        <v>1.32</v>
      </c>
      <c r="BK19" s="231"/>
      <c r="BL19" s="231"/>
      <c r="BO19" s="231"/>
    </row>
    <row r="20" spans="1:67">
      <c r="A20" s="103" t="str">
        <f>IF(AND('Customer Base'!D$8=48,'Customer Base'!D$13="Victron",'Customer Base'!E$13="Phoenix",'Customer Base'!D$14&gt;0.8,'Customer Base'!D$14&lt;=1.2),'Customer Base'!D$15,IF(AND('Customer Base'!D$7="Mini-Grid",'Customer Base'!D$8=48,'Customer Base'!F$13="Victron",'Customer Base'!F$14&gt;0.8,'Customer Base'!F$14&lt;=1.2),'Customer Base'!F$15,""))</f>
        <v/>
      </c>
      <c r="B20" s="270" t="s">
        <v>1</v>
      </c>
      <c r="C20" s="237" t="s">
        <v>1011</v>
      </c>
      <c r="D20" s="267">
        <v>338.63</v>
      </c>
      <c r="E20" s="267">
        <v>318.94600000000003</v>
      </c>
      <c r="F20" s="238">
        <f t="shared" si="0"/>
        <v>277.79327317473337</v>
      </c>
      <c r="G20" s="238">
        <f>IFERROR(ROUNDUP(F20*'Customer Base'!$J$5,2),0)</f>
        <v>4639.1500000000005</v>
      </c>
      <c r="H20" s="238">
        <f t="shared" si="1"/>
        <v>261.64561115668579</v>
      </c>
      <c r="I20" s="238">
        <f>IFERROR(ROUNDUP(H20*'Customer Base'!$J$5,2),0)</f>
        <v>4369.49</v>
      </c>
      <c r="J20" s="103">
        <f t="shared" si="4"/>
        <v>1950</v>
      </c>
      <c r="K20" s="103" t="s">
        <v>960</v>
      </c>
      <c r="L20" s="224">
        <f>J20/'Customer Base'!$J$5</f>
        <v>116.76646706586827</v>
      </c>
      <c r="M20" s="103">
        <v>185</v>
      </c>
      <c r="N20" s="103">
        <v>15</v>
      </c>
      <c r="O20" s="103" t="str">
        <f>IF('Customer Base'!$I$15="MANUAL",IF(B20&lt;&gt;"",C20,""),IF('Customer Base'!$I$15="AUTOMATE",IF(A20&lt;&gt;"",C20,""),""))</f>
        <v/>
      </c>
      <c r="P20" s="103" t="s">
        <v>1391</v>
      </c>
      <c r="AM20" s="239">
        <v>1.2</v>
      </c>
      <c r="AN20" s="239" t="s">
        <v>2235</v>
      </c>
      <c r="AO20" s="103" t="str">
        <f>IF('Customer Base'!$I$15="MANUAL",IFERROR(AM20*B20,""),IF('Customer Base'!$I$15="AUTOMATE",IFERROR(AM20*A20,""),""))</f>
        <v/>
      </c>
      <c r="AQ20" s="103">
        <v>48</v>
      </c>
      <c r="AR20" s="103" t="s">
        <v>2198</v>
      </c>
      <c r="AS20" s="103">
        <v>1</v>
      </c>
      <c r="AT20" s="103" t="str">
        <f t="shared" si="2"/>
        <v/>
      </c>
      <c r="AV20" s="103" t="str">
        <f t="shared" si="3"/>
        <v/>
      </c>
      <c r="AZ20" s="240" t="str" cm="1">
        <f t="array" ref="AZ20">INDEX(AR$6:AR$132,MATCH(0,COUNTIF($AZ$5:AZ19,AR$6:AR$132),0))</f>
        <v>Symo</v>
      </c>
      <c r="BA20" s="103" cm="1">
        <f t="array" ref="BA20">INDEX(AM$6:AM$161,MATCH(0,COUNTIF($BA$5:BA19,AM$6:AM$161),0))</f>
        <v>16</v>
      </c>
      <c r="BD20" s="103" cm="1">
        <f t="array" ref="BD20">INDEX(AM$205:AM$236,MATCH(0,COUNTIF($BD$5:BD19,AM$205:AM$236),0))</f>
        <v>2.64</v>
      </c>
      <c r="BK20" s="231"/>
      <c r="BL20" s="231"/>
      <c r="BO20" s="231"/>
    </row>
    <row r="21" spans="1:67">
      <c r="A21" s="103" t="str">
        <f>IF(AND('Customer Base'!D$8=48,'Customer Base'!D$13="Victron",'Customer Base'!E$13="Phoenix",'Customer Base'!D$14&gt;1.2,'Customer Base'!D$14&lt;=1.6),'Customer Base'!D$15,IF(AND('Customer Base'!D$7="Mini-Grid",'Customer Base'!D$8=48,'Customer Base'!F$13="Victron",'Customer Base'!F$14&gt;1.2,'Customer Base'!F$14&lt;=1.6),'Customer Base'!F$15,""))</f>
        <v/>
      </c>
      <c r="B21" s="270" t="s">
        <v>1</v>
      </c>
      <c r="C21" s="237" t="s">
        <v>1119</v>
      </c>
      <c r="D21" s="267">
        <v>544.52</v>
      </c>
      <c r="E21" s="267">
        <v>512.86</v>
      </c>
      <c r="F21" s="238">
        <f t="shared" ref="F21:F49" si="5">$D21/1.219</f>
        <v>446.69401148482359</v>
      </c>
      <c r="G21" s="238">
        <f>IFERROR(ROUNDUP(F21*'Customer Base'!$J$5,2),0)</f>
        <v>7459.79</v>
      </c>
      <c r="H21" s="238">
        <f t="shared" ref="H21:H49" si="6">$E21/1.219</f>
        <v>420.72190319934373</v>
      </c>
      <c r="I21" s="238">
        <f>IFERROR(ROUNDUP(H21*'Customer Base'!$J$5,2),0)</f>
        <v>7026.06</v>
      </c>
      <c r="J21" s="103">
        <f t="shared" si="4"/>
        <v>1950</v>
      </c>
      <c r="K21" s="103" t="s">
        <v>1081</v>
      </c>
      <c r="L21" s="224">
        <f>J21/'Customer Base'!$J$5</f>
        <v>116.76646706586827</v>
      </c>
      <c r="M21" s="103">
        <v>185</v>
      </c>
      <c r="N21" s="103">
        <v>16</v>
      </c>
      <c r="O21" s="103" t="str">
        <f>IF('Customer Base'!$I$15="MANUAL",IF(B21&lt;&gt;"",C21,""),IF('Customer Base'!$I$15="AUTOMATE",IF(A21&lt;&gt;"",C21,""),""))</f>
        <v/>
      </c>
      <c r="P21" s="103" t="s">
        <v>1392</v>
      </c>
      <c r="AM21" s="103">
        <v>1.6</v>
      </c>
      <c r="AN21" s="103" t="s">
        <v>2256</v>
      </c>
      <c r="AO21" s="103" t="str">
        <f>IF('Customer Base'!$I$15="MANUAL",IFERROR(AM21*B21,""),IF('Customer Base'!$I$15="AUTOMATE",IFERROR(AM21*A21,""),""))</f>
        <v/>
      </c>
      <c r="AQ21" s="103">
        <v>48</v>
      </c>
      <c r="AR21" s="103" t="s">
        <v>2198</v>
      </c>
      <c r="AS21" s="103">
        <v>1</v>
      </c>
      <c r="AT21" s="103" t="str">
        <f t="shared" si="2"/>
        <v/>
      </c>
      <c r="AV21" s="103" t="str">
        <f t="shared" si="3"/>
        <v/>
      </c>
      <c r="AZ21" s="240" t="str" cm="1">
        <f t="array" ref="AZ21">INDEX(AR$6:AR$132,MATCH(0,COUNTIF($AZ$5:AZ20,AR$6:AR$132),0))</f>
        <v>Eco</v>
      </c>
      <c r="BA21" s="103" cm="1">
        <f t="array" ref="BA21">INDEX(AM$6:AM$161,MATCH(0,COUNTIF($BA$5:BA20,AM$6:AM$161),0))</f>
        <v>12</v>
      </c>
      <c r="BD21" s="103" cm="1">
        <f t="array" ref="BD21">INDEX(AM$205:AM$236,MATCH(0,COUNTIF($BD$5:BD20,AM$205:AM$236),0))</f>
        <v>2.4</v>
      </c>
      <c r="BK21" s="231"/>
      <c r="BL21" s="231"/>
      <c r="BO21" s="231"/>
    </row>
    <row r="22" spans="1:67">
      <c r="A22" s="103" t="str">
        <f>IF(AND('Customer Base'!D$8=48,'Customer Base'!D$13="Victron",'Customer Base'!E$13="Phoenix",'Customer Base'!D$14&gt;1.6,'Customer Base'!D$14&lt;=2),'Customer Base'!D$15,IF(AND('Customer Base'!D$7="Mini-Grid",'Customer Base'!D$8=48,'Customer Base'!F$13="Victron",'Customer Base'!F$14&gt;1.6,'Customer Base'!F$14&lt;=2),'Customer Base'!F$15,""))</f>
        <v/>
      </c>
      <c r="B22" s="270" t="s">
        <v>1</v>
      </c>
      <c r="C22" s="237" t="s">
        <v>1120</v>
      </c>
      <c r="D22" s="267">
        <v>649.27</v>
      </c>
      <c r="E22" s="267">
        <v>611.51800000000003</v>
      </c>
      <c r="F22" s="238">
        <f t="shared" si="5"/>
        <v>532.62510254306801</v>
      </c>
      <c r="G22" s="238">
        <f>IFERROR(ROUNDUP(F22*'Customer Base'!$J$5,2),0)</f>
        <v>8894.84</v>
      </c>
      <c r="H22" s="238">
        <f t="shared" si="6"/>
        <v>501.65545529122232</v>
      </c>
      <c r="I22" s="238">
        <f>IFERROR(ROUNDUP(H22*'Customer Base'!$J$5,2),0)</f>
        <v>8377.65</v>
      </c>
      <c r="J22" s="103">
        <f t="shared" si="4"/>
        <v>7480</v>
      </c>
      <c r="K22" s="103" t="s">
        <v>1082</v>
      </c>
      <c r="L22" s="224">
        <f>J22/'Customer Base'!$J$5</f>
        <v>447.90419161676647</v>
      </c>
      <c r="M22" s="103">
        <v>712</v>
      </c>
      <c r="N22" s="103">
        <v>17</v>
      </c>
      <c r="O22" s="103" t="str">
        <f>IF('Customer Base'!$I$15="MANUAL",IF(B22&lt;&gt;"",C22,""),IF('Customer Base'!$I$15="AUTOMATE",IF(A22&lt;&gt;"",C22,""),""))</f>
        <v/>
      </c>
      <c r="P22" s="103" t="s">
        <v>1744</v>
      </c>
      <c r="AM22" s="103">
        <v>2</v>
      </c>
      <c r="AN22" s="103" t="s">
        <v>2257</v>
      </c>
      <c r="AO22" s="103" t="str">
        <f>IF('Customer Base'!$I$15="MANUAL",IFERROR(AM22*B22,""),IF('Customer Base'!$I$15="AUTOMATE",IFERROR(AM22*A22,""),""))</f>
        <v/>
      </c>
      <c r="AQ22" s="103">
        <v>48</v>
      </c>
      <c r="AR22" s="103" t="s">
        <v>2198</v>
      </c>
      <c r="AS22" s="103">
        <v>1</v>
      </c>
      <c r="AT22" s="103" t="str">
        <f t="shared" si="2"/>
        <v/>
      </c>
      <c r="AV22" s="103" t="str">
        <f t="shared" si="3"/>
        <v/>
      </c>
      <c r="AZ22" s="240" t="str" cm="1">
        <f t="array" ref="AZ22">INDEX(AR$6:AR$132,MATCH(0,COUNTIF($AZ$5:AZ21,AR$6:AR$132),0))</f>
        <v>Verto</v>
      </c>
      <c r="BA22" s="103" cm="1">
        <f t="array" ref="BA22">INDEX(AM$6:AM$161,MATCH(0,COUNTIF($BA$5:BA21,AM$6:AM$161),0))</f>
        <v>20</v>
      </c>
      <c r="BD22" s="103" cm="1">
        <f t="array" ref="BD22">INDEX(AM$205:AM$236,MATCH(0,COUNTIF($BD$5:BD21,AM$205:AM$236),0))</f>
        <v>26.3</v>
      </c>
    </row>
    <row r="23" spans="1:67">
      <c r="A23" s="103" t="str">
        <f>IF(AND('Customer Base'!D$8=48,'Customer Base'!D$13="Victron",'Customer Base'!E$13="Phoenix",'Customer Base'!D$14&gt;2,'Customer Base'!D$14&lt;=3),'Customer Base'!D$15,IF(AND('Customer Base'!D$7="Mini-Grid",'Customer Base'!D$8=48,'Customer Base'!F$13="Victron",'Customer Base'!F$14&gt;2,'Customer Base'!F$14&lt;=3),'Customer Base'!F$15,""))</f>
        <v/>
      </c>
      <c r="B23" s="270" t="s">
        <v>1</v>
      </c>
      <c r="C23" s="237" t="s">
        <v>1121</v>
      </c>
      <c r="D23" s="267">
        <v>921.95</v>
      </c>
      <c r="E23" s="267">
        <v>868.35199999999998</v>
      </c>
      <c r="F23" s="238">
        <f t="shared" si="5"/>
        <v>756.31665299425754</v>
      </c>
      <c r="G23" s="238">
        <f>IFERROR(ROUNDUP(F23*'Customer Base'!$J$5,2),0)</f>
        <v>12630.49</v>
      </c>
      <c r="H23" s="238">
        <f t="shared" si="6"/>
        <v>712.3478260869565</v>
      </c>
      <c r="I23" s="238">
        <f>IFERROR(ROUNDUP(H23*'Customer Base'!$J$5,2),0)</f>
        <v>11896.210000000001</v>
      </c>
      <c r="J23" s="103">
        <f t="shared" si="4"/>
        <v>7480</v>
      </c>
      <c r="K23" s="103" t="s">
        <v>576</v>
      </c>
      <c r="L23" s="224">
        <f>J23/'Customer Base'!$J$5</f>
        <v>447.90419161676647</v>
      </c>
      <c r="M23" s="103">
        <v>712</v>
      </c>
      <c r="N23" s="103">
        <v>18</v>
      </c>
      <c r="O23" s="103" t="str">
        <f>IF('Customer Base'!$I$15="MANUAL",IF(B23&lt;&gt;"",C23,""),IF('Customer Base'!$I$15="AUTOMATE",IF(A23&lt;&gt;"",C23,""),""))</f>
        <v/>
      </c>
      <c r="P23" s="103" t="s">
        <v>1758</v>
      </c>
      <c r="AM23" s="103">
        <v>3</v>
      </c>
      <c r="AN23" s="103" t="s">
        <v>2258</v>
      </c>
      <c r="AO23" s="103" t="str">
        <f>IF('Customer Base'!$I$15="MANUAL",IFERROR(AM23*B23,""),IF('Customer Base'!$I$15="AUTOMATE",IFERROR(AM23*A23,""),""))</f>
        <v/>
      </c>
      <c r="AQ23" s="103">
        <v>48</v>
      </c>
      <c r="AR23" s="103" t="s">
        <v>2198</v>
      </c>
      <c r="AS23" s="103">
        <v>1</v>
      </c>
      <c r="AT23" s="103" t="str">
        <f t="shared" si="2"/>
        <v/>
      </c>
      <c r="AV23" s="103" t="str">
        <f t="shared" si="3"/>
        <v/>
      </c>
      <c r="AZ23" s="240" t="str" cm="1">
        <f t="array" ref="AZ23">INDEX(AR$6:AR$132,MATCH(0,COUNTIF($AZ$5:AZ22,AR$6:AR$132),0))</f>
        <v>Tauro</v>
      </c>
      <c r="BA23" s="103" cm="1">
        <f t="array" ref="BA23">INDEX(AM$6:AM$161,MATCH(0,COUNTIF($BA$5:BA22,AM$6:AM$161),0))</f>
        <v>30</v>
      </c>
      <c r="BD23" s="103" cm="1">
        <f t="array" ref="BD23">INDEX(AM$205:AM$236,MATCH(0,COUNTIF($BD$5:BD22,AM$205:AM$236),0))</f>
        <v>1.2</v>
      </c>
    </row>
    <row r="24" spans="1:67">
      <c r="A24" s="103" t="str">
        <f>IF(AND('Customer Base'!D$8=48,'Customer Base'!D$13="Victron",'Customer Base'!E$13="Phoenix",'Customer Base'!D$14&gt;3,'Customer Base'!D$14&lt;=5),'Customer Base'!D$15,IF(AND('Customer Base'!D$7="Mini-Grid",'Customer Base'!D$8=48,'Customer Base'!F$13="Victron",'Customer Base'!F$14&gt;3,'Customer Base'!F$14&lt;=5),'Customer Base'!F$15,""))</f>
        <v/>
      </c>
      <c r="B24" s="270" t="s">
        <v>1</v>
      </c>
      <c r="C24" s="237" t="s">
        <v>1006</v>
      </c>
      <c r="D24" s="267">
        <v>1381.59</v>
      </c>
      <c r="E24" s="267">
        <v>1301.2650000000001</v>
      </c>
      <c r="F24" s="238">
        <f t="shared" si="5"/>
        <v>1133.3798195242</v>
      </c>
      <c r="G24" s="238">
        <f>IFERROR(ROUNDUP(F24*'Customer Base'!$J$5,2),0)</f>
        <v>18927.449999999997</v>
      </c>
      <c r="H24" s="238">
        <f t="shared" si="6"/>
        <v>1067.4856439704677</v>
      </c>
      <c r="I24" s="238">
        <f>IFERROR(ROUNDUP(H24*'Customer Base'!$J$5,2),0)</f>
        <v>17827.019999999997</v>
      </c>
      <c r="J24" s="103">
        <f t="shared" si="4"/>
        <v>4200</v>
      </c>
      <c r="K24" s="103" t="s">
        <v>1083</v>
      </c>
      <c r="L24" s="224">
        <f>J24/'Customer Base'!$J$5</f>
        <v>251.49700598802397</v>
      </c>
      <c r="M24" s="103">
        <v>400</v>
      </c>
      <c r="N24" s="103">
        <v>19</v>
      </c>
      <c r="O24" s="103" t="str">
        <f>IF('Customer Base'!$I$15="MANUAL",IF(B24&lt;&gt;"",C24,""),IF('Customer Base'!$I$15="AUTOMATE",IF(A24&lt;&gt;"",C24,""),""))</f>
        <v/>
      </c>
      <c r="AM24" s="103">
        <v>5</v>
      </c>
      <c r="AN24" s="103" t="s">
        <v>2259</v>
      </c>
      <c r="AO24" s="103" t="str">
        <f>IF('Customer Base'!$I$15="MANUAL",IFERROR(AM24*B24,""),IF('Customer Base'!$I$15="AUTOMATE",IFERROR(AM24*A24,""),""))</f>
        <v/>
      </c>
      <c r="AQ24" s="103">
        <v>48</v>
      </c>
      <c r="AR24" s="103" t="s">
        <v>2198</v>
      </c>
      <c r="AS24" s="103">
        <v>1</v>
      </c>
      <c r="AT24" s="103" t="str">
        <f t="shared" si="2"/>
        <v/>
      </c>
      <c r="AV24" s="103" t="str">
        <f t="shared" si="3"/>
        <v/>
      </c>
      <c r="AZ24" s="240" t="str" cm="1">
        <f t="array" ref="AZ24">INDEX(AR$6:AR$132,MATCH(0,COUNTIF($AZ$5:AZ23,AR$6:AR$132),0))</f>
        <v>Gen_24_Primo</v>
      </c>
      <c r="BA24" s="103" cm="1">
        <f t="array" ref="BA24">INDEX(AM$6:AM$161,MATCH(0,COUNTIF($BA$5:BA23,AM$6:AM$161),0))</f>
        <v>40</v>
      </c>
      <c r="BD24" s="103" cm="1">
        <f t="array" ref="BD24">INDEX(AM$205:AM$236,MATCH(0,COUNTIF($BD$5:BD23,AM$205:AM$236),0))</f>
        <v>1.8</v>
      </c>
    </row>
    <row r="25" spans="1:67">
      <c r="D25" s="319"/>
      <c r="E25" s="319"/>
      <c r="F25" s="224">
        <f t="shared" si="5"/>
        <v>0</v>
      </c>
      <c r="G25" s="224">
        <f>IFERROR(ROUNDUP(F25*'Customer Base'!$J$5,2),0)</f>
        <v>0</v>
      </c>
      <c r="H25" s="224">
        <f t="shared" si="6"/>
        <v>0</v>
      </c>
      <c r="I25" s="224">
        <f>IFERROR(ROUNDUP(H25*'Customer Base'!$J$5,2),0)</f>
        <v>0</v>
      </c>
      <c r="J25" s="103">
        <f t="shared" si="4"/>
        <v>4200</v>
      </c>
      <c r="K25" s="103" t="s">
        <v>856</v>
      </c>
      <c r="L25" s="224">
        <f>J25/'Customer Base'!$J$5</f>
        <v>251.49700598802397</v>
      </c>
      <c r="M25" s="103">
        <v>400</v>
      </c>
      <c r="N25" s="103">
        <v>20</v>
      </c>
      <c r="O25" s="103" t="str">
        <f>IF('Customer Base'!$I$15="MANUAL",IF(B25&lt;&gt;"",C25,""),IF('Customer Base'!$I$15="AUTOMATE",IF(A25&lt;&gt;"",C25,""),""))</f>
        <v/>
      </c>
      <c r="AO25" s="103">
        <f>IF('Customer Base'!$I$15="MANUAL",IFERROR(AM25*B25,""),IF('Customer Base'!$I$15="AUTOMATE",IFERROR(AM25*A25,""),""))</f>
        <v>0</v>
      </c>
      <c r="AT25" s="103" t="str">
        <f t="shared" si="2"/>
        <v/>
      </c>
      <c r="AV25" s="103" t="str">
        <f t="shared" si="3"/>
        <v/>
      </c>
      <c r="AZ25" s="240"/>
      <c r="BA25" s="103" cm="1">
        <f t="array" ref="BA25">INDEX(AM$6:AM$161,MATCH(0,COUNTIF($BA$5:BA24,AM$6:AM$161),0))</f>
        <v>50</v>
      </c>
      <c r="BD25" s="103" cm="1">
        <f t="array" ref="BD25">INDEX(AM$205:AM$236,MATCH(0,COUNTIF($BD$5:BD24,AM$205:AM$236),0))</f>
        <v>3</v>
      </c>
    </row>
    <row r="26" spans="1:67">
      <c r="A26" s="103" t="str">
        <f>IF(AND('Customer Base'!D$8=12,'Customer Base'!D$13="Victron",'Customer Base'!E$13="Multiplus",'Customer Base'!D$14&gt;0,'Customer Base'!D$14&lt;=0.5),'Customer Base'!D$15,IF(AND('Customer Base'!D$7="Mini-Grid",'Customer Base'!D$8=12,'Customer Base'!F$13="Victron",'Customer Base'!F$14&gt;0,'Customer Base'!F$14&lt;=0.5),'Customer Base'!F$15,""))</f>
        <v/>
      </c>
      <c r="B26" s="270" t="s">
        <v>1</v>
      </c>
      <c r="C26" s="237" t="s">
        <v>1104</v>
      </c>
      <c r="D26" s="267">
        <v>261.87</v>
      </c>
      <c r="E26" s="267">
        <v>246.64500000000001</v>
      </c>
      <c r="F26" s="238">
        <f t="shared" si="5"/>
        <v>214.8236259228876</v>
      </c>
      <c r="G26" s="238">
        <f>IFERROR(ROUNDUP(F26*'Customer Base'!$J$5,2),0)</f>
        <v>3587.5600000000004</v>
      </c>
      <c r="H26" s="238">
        <f t="shared" si="6"/>
        <v>202.33388022969646</v>
      </c>
      <c r="I26" s="238">
        <f>IFERROR(ROUNDUP(H26*'Customer Base'!$J$5,2),0)</f>
        <v>3378.98</v>
      </c>
      <c r="J26" s="103">
        <f t="shared" si="4"/>
        <v>4070</v>
      </c>
      <c r="K26" s="103" t="s">
        <v>1084</v>
      </c>
      <c r="L26" s="224">
        <f>J26/'Customer Base'!$J$5</f>
        <v>243.7125748502994</v>
      </c>
      <c r="M26" s="103">
        <v>387</v>
      </c>
      <c r="N26" s="103">
        <v>21</v>
      </c>
      <c r="O26" s="103" t="str">
        <f>IF('Customer Base'!$I$15="MANUAL",IF(B26&lt;&gt;"",C26,""),IF('Customer Base'!$I$15="AUTOMATE",IF(A26&lt;&gt;"",C26,""),""))</f>
        <v/>
      </c>
      <c r="AM26" s="103">
        <v>0.5</v>
      </c>
      <c r="AN26" s="103" t="s">
        <v>2223</v>
      </c>
      <c r="AO26" s="103" t="str">
        <f>IF('Customer Base'!$I$15="MANUAL",IFERROR(AM26*B26,""),IF('Customer Base'!$I$15="AUTOMATE",IFERROR(AM26*A26,""),""))</f>
        <v/>
      </c>
      <c r="AQ26" s="103">
        <v>12</v>
      </c>
      <c r="AR26" s="103" t="s">
        <v>2202</v>
      </c>
      <c r="AS26" s="103">
        <v>1</v>
      </c>
      <c r="AT26" s="103" t="str">
        <f t="shared" si="2"/>
        <v/>
      </c>
      <c r="AV26" s="103" t="str">
        <f t="shared" si="3"/>
        <v/>
      </c>
      <c r="AW26" s="103">
        <v>20</v>
      </c>
      <c r="AZ26" s="240"/>
      <c r="BA26" s="103" cm="1">
        <f t="array" ref="BA26">INDEX(AM$6:AM$161,MATCH(0,COUNTIF($BA$5:BA25,AM$6:AM$161),0))</f>
        <v>8.1999999999999993</v>
      </c>
      <c r="BD26" s="103" t="e" cm="1">
        <f t="array" ref="BD26">INDEX(AM$205:AM$236,MATCH(0,COUNTIF($BD$5:BD25,AM$205:AM$236),0))</f>
        <v>#N/A</v>
      </c>
    </row>
    <row r="27" spans="1:67">
      <c r="A27" s="103" t="str">
        <f>IF(AND('Customer Base'!D$8=12,'Customer Base'!D$13="Victron",'Customer Base'!E$13="Multiplus",'Customer Base'!D$14&gt;0.5,'Customer Base'!D$14&lt;=0.8),'Customer Base'!D$15,IF(AND('Customer Base'!D$7="Mini-Grid",'Customer Base'!D$8=12,'Customer Base'!F$13="Victron",'Customer Base'!F$14&gt;0.5,'Customer Base'!F$14&lt;=0.8),'Customer Base'!F$15,""))</f>
        <v/>
      </c>
      <c r="B27" s="270" t="s">
        <v>1</v>
      </c>
      <c r="C27" s="237" t="s">
        <v>1105</v>
      </c>
      <c r="D27" s="267">
        <v>307.91000000000003</v>
      </c>
      <c r="E27" s="267">
        <v>290.012</v>
      </c>
      <c r="F27" s="238">
        <f t="shared" si="5"/>
        <v>252.59228876127975</v>
      </c>
      <c r="G27" s="238">
        <f>IFERROR(ROUNDUP(F27*'Customer Base'!$J$5,2),0)</f>
        <v>4218.3</v>
      </c>
      <c r="H27" s="238">
        <f t="shared" si="6"/>
        <v>237.90976210008202</v>
      </c>
      <c r="I27" s="238">
        <f>IFERROR(ROUNDUP(H27*'Customer Base'!$J$5,2),0)</f>
        <v>3973.1000000000004</v>
      </c>
      <c r="J27" s="103">
        <f t="shared" si="4"/>
        <v>4070</v>
      </c>
      <c r="K27" s="103" t="s">
        <v>1085</v>
      </c>
      <c r="L27" s="224">
        <f>J27/'Customer Base'!$J$5</f>
        <v>243.7125748502994</v>
      </c>
      <c r="M27" s="103">
        <v>387</v>
      </c>
      <c r="N27" s="103">
        <v>22</v>
      </c>
      <c r="O27" s="103" t="str">
        <f>IF('Customer Base'!$I$15="MANUAL",IF(B27&lt;&gt;"",C27,""),IF('Customer Base'!$I$15="AUTOMATE",IF(A27&lt;&gt;"",C27,""),""))</f>
        <v/>
      </c>
      <c r="AM27" s="103">
        <v>0.8</v>
      </c>
      <c r="AN27" s="103" t="s">
        <v>2224</v>
      </c>
      <c r="AO27" s="103" t="str">
        <f>IF('Customer Base'!$I$15="MANUAL",IFERROR(AM27*B27,""),IF('Customer Base'!$I$15="AUTOMATE",IFERROR(AM27*A27,""),""))</f>
        <v/>
      </c>
      <c r="AQ27" s="103">
        <v>12</v>
      </c>
      <c r="AR27" s="103" t="s">
        <v>2202</v>
      </c>
      <c r="AS27" s="103">
        <v>1</v>
      </c>
      <c r="AT27" s="103" t="str">
        <f t="shared" si="2"/>
        <v/>
      </c>
      <c r="AV27" s="103" t="str">
        <f t="shared" si="3"/>
        <v/>
      </c>
      <c r="AW27" s="103">
        <v>35</v>
      </c>
      <c r="AZ27" s="240"/>
      <c r="BA27" s="103" cm="1">
        <f t="array" ref="BA27">INDEX(AM$6:AM$161,MATCH(0,COUNTIF($BA$5:BA26,AM$6:AM$161),0))</f>
        <v>25</v>
      </c>
      <c r="BD27" s="103" t="e" cm="1">
        <f t="array" ref="BD27">INDEX(AM$205:AM$236,MATCH(0,COUNTIF($BD$5:BD26,AM$205:AM$236),0))</f>
        <v>#N/A</v>
      </c>
    </row>
    <row r="28" spans="1:67">
      <c r="A28" s="103" t="str">
        <f>IF(AND('Customer Base'!D$8=12,'Customer Base'!D$13="Victron",'Customer Base'!E$13="Multiplus",'Customer Base'!D$14&gt;0.8,'Customer Base'!D$14&lt;=1.2),'Customer Base'!D$15,IF(AND('Customer Base'!D$7="Mini-Grid",'Customer Base'!D$8=12,'Customer Base'!F$13="Victron",'Customer Base'!F$14&gt;0.8,'Customer Base'!F$14&lt;=1.2),'Customer Base'!F$15,""))</f>
        <v/>
      </c>
      <c r="B28" s="270" t="s">
        <v>1</v>
      </c>
      <c r="C28" s="237" t="s">
        <v>1106</v>
      </c>
      <c r="D28" s="267">
        <v>429.83</v>
      </c>
      <c r="E28" s="267">
        <v>404.83800000000002</v>
      </c>
      <c r="F28" s="238">
        <f t="shared" si="5"/>
        <v>352.60869565217388</v>
      </c>
      <c r="G28" s="238">
        <f>IFERROR(ROUNDUP(F28*'Customer Base'!$J$5,2),0)</f>
        <v>5888.5700000000006</v>
      </c>
      <c r="H28" s="238">
        <f t="shared" si="6"/>
        <v>332.10664479081214</v>
      </c>
      <c r="I28" s="238">
        <f>IFERROR(ROUNDUP(H28*'Customer Base'!$J$5,2),0)</f>
        <v>5546.1900000000005</v>
      </c>
      <c r="J28" s="103">
        <f t="shared" si="4"/>
        <v>3590</v>
      </c>
      <c r="K28" s="103" t="s">
        <v>1086</v>
      </c>
      <c r="L28" s="224">
        <f>J28/'Customer Base'!$J$5</f>
        <v>214.97005988023952</v>
      </c>
      <c r="M28" s="103">
        <v>341</v>
      </c>
      <c r="N28" s="103">
        <v>23</v>
      </c>
      <c r="O28" s="103" t="str">
        <f>IF('Customer Base'!$I$15="MANUAL",IF(B28&lt;&gt;"",C28,""),IF('Customer Base'!$I$15="AUTOMATE",IF(A28&lt;&gt;"",C28,""),""))</f>
        <v/>
      </c>
      <c r="AM28" s="103">
        <v>1.2</v>
      </c>
      <c r="AN28" s="103" t="s">
        <v>2225</v>
      </c>
      <c r="AO28" s="103" t="str">
        <f>IF('Customer Base'!$I$15="MANUAL",IFERROR(AM28*B28,""),IF('Customer Base'!$I$15="AUTOMATE",IFERROR(AM28*A28,""),""))</f>
        <v/>
      </c>
      <c r="AQ28" s="103">
        <v>12</v>
      </c>
      <c r="AR28" s="103" t="s">
        <v>2202</v>
      </c>
      <c r="AS28" s="103">
        <v>1</v>
      </c>
      <c r="AT28" s="103" t="str">
        <f t="shared" si="2"/>
        <v/>
      </c>
      <c r="AV28" s="103" t="str">
        <f t="shared" si="3"/>
        <v/>
      </c>
      <c r="AW28" s="103">
        <v>50</v>
      </c>
      <c r="AZ28" s="240"/>
      <c r="BA28" s="103" cm="1">
        <f t="array" ref="BA28">INDEX(AM$6:AM$161,MATCH(0,COUNTIF($BA$5:BA27,AM$6:AM$161),0))</f>
        <v>27</v>
      </c>
      <c r="BD28" s="103" t="e" cm="1">
        <f t="array" ref="BD28">INDEX(AM$205:AM$236,MATCH(0,COUNTIF($BD$5:BD27,AM$205:AM$236),0))</f>
        <v>#N/A</v>
      </c>
    </row>
    <row r="29" spans="1:67">
      <c r="C29" s="237" t="s">
        <v>1107</v>
      </c>
      <c r="D29" s="267">
        <v>488.51</v>
      </c>
      <c r="E29" s="267">
        <v>460.11200000000002</v>
      </c>
      <c r="F29" s="238">
        <f t="shared" si="5"/>
        <v>400.74651353568493</v>
      </c>
      <c r="G29" s="238">
        <f>IFERROR(ROUNDUP(F29*'Customer Base'!$J$5,2),0)</f>
        <v>6692.47</v>
      </c>
      <c r="H29" s="238">
        <f t="shared" si="6"/>
        <v>377.45036915504511</v>
      </c>
      <c r="I29" s="238">
        <f>IFERROR(ROUNDUP(H29*'Customer Base'!$J$5,2),0)</f>
        <v>6303.43</v>
      </c>
      <c r="J29" s="103">
        <f t="shared" si="4"/>
        <v>3590</v>
      </c>
      <c r="K29" s="103" t="s">
        <v>1087</v>
      </c>
      <c r="L29" s="224">
        <f>J29/'Customer Base'!$J$5</f>
        <v>214.97005988023952</v>
      </c>
      <c r="M29" s="103">
        <v>341</v>
      </c>
      <c r="N29" s="103">
        <v>24</v>
      </c>
      <c r="O29" s="103" t="str">
        <f>IF('Customer Base'!$I$15="MANUAL",IF(B29&lt;&gt;"",C29,""),IF('Customer Base'!$I$15="AUTOMATE",IF(A29&lt;&gt;"",C29,""),""))</f>
        <v/>
      </c>
      <c r="P29" s="103" t="str">
        <f>"Backup System with "&amp;'Customer Base'!$J$7&amp;"kVA inverter, "&amp;'Customer Base'!$J$8&amp;"kWh Battery, "&amp;"and Remote Monitoring"</f>
        <v>Backup System with 5kVA inverter, 10kWh Battery, and Remote Monitoring</v>
      </c>
      <c r="AM29" s="103">
        <v>1.6</v>
      </c>
      <c r="AN29" s="103" t="s">
        <v>2236</v>
      </c>
      <c r="AO29" s="103">
        <f>IF('Customer Base'!$I$15="MANUAL",IFERROR(AM29*B29,""),IF('Customer Base'!$I$15="AUTOMATE",IFERROR(AM29*A29,""),""))</f>
        <v>0</v>
      </c>
      <c r="AQ29" s="103">
        <v>12</v>
      </c>
      <c r="AR29" s="103" t="s">
        <v>2202</v>
      </c>
      <c r="AS29" s="103">
        <v>1</v>
      </c>
      <c r="AT29" s="103" t="str">
        <f t="shared" si="2"/>
        <v/>
      </c>
      <c r="AV29" s="103" t="str">
        <f t="shared" si="3"/>
        <v/>
      </c>
      <c r="AW29" s="103">
        <v>70</v>
      </c>
      <c r="AZ29" s="240"/>
      <c r="BA29" s="103" cm="1">
        <f t="array" ref="BA29">INDEX(AM$6:AM$161,MATCH(0,COUNTIF($BA$5:BA28,AM$6:AM$161),0))</f>
        <v>33.299999999999997</v>
      </c>
      <c r="BD29" s="103" t="e" cm="1">
        <f t="array" ref="BD29">INDEX(AM$205:AM$236,MATCH(0,COUNTIF($BD$5:BD28,AM$205:AM$236),0))</f>
        <v>#N/A</v>
      </c>
    </row>
    <row r="30" spans="1:67">
      <c r="C30" s="237" t="s">
        <v>1108</v>
      </c>
      <c r="D30" s="267">
        <v>544.51</v>
      </c>
      <c r="E30" s="267">
        <v>512.86</v>
      </c>
      <c r="F30" s="238">
        <f t="shared" si="5"/>
        <v>446.68580803937652</v>
      </c>
      <c r="G30" s="238">
        <f>IFERROR(ROUNDUP(F30*'Customer Base'!$J$5,2),0)</f>
        <v>7459.66</v>
      </c>
      <c r="H30" s="238">
        <f t="shared" si="6"/>
        <v>420.72190319934373</v>
      </c>
      <c r="I30" s="238">
        <f>IFERROR(ROUNDUP(H30*'Customer Base'!$J$5,2),0)</f>
        <v>7026.06</v>
      </c>
      <c r="J30" s="103">
        <f t="shared" si="4"/>
        <v>4180</v>
      </c>
      <c r="K30" s="103" t="s">
        <v>1088</v>
      </c>
      <c r="L30" s="224">
        <f>J30/'Customer Base'!$J$5</f>
        <v>250.29940119760479</v>
      </c>
      <c r="M30" s="103">
        <v>398</v>
      </c>
      <c r="N30" s="103">
        <v>25</v>
      </c>
      <c r="O30" s="103" t="str">
        <f>IF('Customer Base'!$I$15="MANUAL",IF(B30&lt;&gt;"",C30,""),IF('Customer Base'!$I$15="AUTOMATE",IF(A30&lt;&gt;"",C30,""),""))</f>
        <v/>
      </c>
      <c r="P30" s="103" t="str">
        <f>"Grid-Tied Solar System with "&amp;'Customer Base'!$J$7&amp;"kVA inverter, "&amp;'Customer Base'!$J$9&amp;"kWp Solar Panels and Remote Monitoring"</f>
        <v>Grid-Tied Solar System with 5kVA inverter, 5.085kWp Solar Panels and Remote Monitoring</v>
      </c>
      <c r="AM30" s="103">
        <v>2</v>
      </c>
      <c r="AN30" s="241" t="s">
        <v>2239</v>
      </c>
      <c r="AO30" s="103">
        <f>IF('Customer Base'!$I$15="MANUAL",IFERROR(AM30*B30,""),IF('Customer Base'!$I$15="AUTOMATE",IFERROR(AM30*A30,""),""))</f>
        <v>0</v>
      </c>
      <c r="AQ30" s="103">
        <v>12</v>
      </c>
      <c r="AR30" s="103" t="s">
        <v>2202</v>
      </c>
      <c r="AS30" s="103">
        <v>1</v>
      </c>
      <c r="AT30" s="103" t="str">
        <f t="shared" si="2"/>
        <v/>
      </c>
      <c r="AV30" s="103" t="str">
        <f t="shared" si="3"/>
        <v/>
      </c>
      <c r="AW30" s="103">
        <v>80</v>
      </c>
      <c r="AZ30" s="240"/>
      <c r="BA30" s="103" cm="1">
        <f t="array" ref="BA30">INDEX(AM$6:AM$161,MATCH(0,COUNTIF($BA$5:BA29,AM$6:AM$161),0))</f>
        <v>100</v>
      </c>
      <c r="BD30" s="103" t="e" cm="1">
        <f t="array" ref="BD30">INDEX(AM$205:AM$236,MATCH(0,COUNTIF($BD$5:BD29,AM$205:AM$236),0))</f>
        <v>#N/A</v>
      </c>
    </row>
    <row r="31" spans="1:67">
      <c r="A31" s="103" t="str">
        <f>IF(AND('Customer Base'!D$8=24,'Customer Base'!D$13="Victron",'Customer Base'!E$13="Multiplus",'Customer Base'!D$14&gt;0,'Customer Base'!D$14&lt;=0.5),'Customer Base'!D$15,IF(AND('Customer Base'!D$7="Mini-Grid",'Customer Base'!D$8=24,'Customer Base'!F$13="Victron",'Customer Base'!F$14&gt;0,'Customer Base'!F$14&lt;=0.5),'Customer Base'!F$15,""))</f>
        <v/>
      </c>
      <c r="B31" s="270" t="s">
        <v>1</v>
      </c>
      <c r="C31" s="237" t="s">
        <v>1933</v>
      </c>
      <c r="D31" s="267">
        <v>261</v>
      </c>
      <c r="E31" s="267">
        <v>246.64500000000001</v>
      </c>
      <c r="F31" s="238">
        <f t="shared" si="5"/>
        <v>214.10992616899097</v>
      </c>
      <c r="G31" s="238">
        <f>IFERROR(ROUNDUP(F31*'Customer Base'!$J$5,2),0)</f>
        <v>3575.6400000000003</v>
      </c>
      <c r="H31" s="238">
        <f t="shared" si="6"/>
        <v>202.33388022969646</v>
      </c>
      <c r="I31" s="238">
        <f>IFERROR(ROUNDUP(H31*'Customer Base'!$J$5,2),0)</f>
        <v>3378.98</v>
      </c>
      <c r="J31" s="103">
        <f t="shared" si="4"/>
        <v>4180</v>
      </c>
      <c r="K31" s="103" t="s">
        <v>1089</v>
      </c>
      <c r="L31" s="224">
        <f>J31/'Customer Base'!$J$5</f>
        <v>250.29940119760479</v>
      </c>
      <c r="M31" s="103">
        <v>398</v>
      </c>
      <c r="N31" s="103">
        <v>26</v>
      </c>
      <c r="O31" s="103" t="str">
        <f>IF('Customer Base'!$I$15="MANUAL",IF(B31&lt;&gt;"",C31,""),IF('Customer Base'!$I$15="AUTOMATE",IF(A31&lt;&gt;"",C31,""),""))</f>
        <v/>
      </c>
      <c r="P31" s="103" t="str">
        <f>"Hybrid Solar System with "&amp;'Customer Base'!$J$7&amp;"kVA inverter, "&amp;'Customer Base'!$J$8&amp;"kWh Battery, "&amp;'Customer Base'!$J$9&amp;"kWp Solar Panels and Remote Monitoring"</f>
        <v>Hybrid Solar System with 5kVA inverter, 10kWh Battery, 5.085kWp Solar Panels and Remote Monitoring</v>
      </c>
      <c r="AM31" s="103">
        <v>0.5</v>
      </c>
      <c r="AN31" s="103" t="s">
        <v>2228</v>
      </c>
      <c r="AO31" s="103" t="str">
        <f>IF('Customer Base'!$I$15="MANUAL",IFERROR(AM31*B31,""),IF('Customer Base'!$I$15="AUTOMATE",IFERROR(AM31*A31,""),""))</f>
        <v/>
      </c>
      <c r="AQ31" s="103">
        <v>24</v>
      </c>
      <c r="AR31" s="103" t="s">
        <v>2202</v>
      </c>
      <c r="AS31" s="103">
        <v>1</v>
      </c>
      <c r="AT31" s="103" t="str">
        <f t="shared" si="2"/>
        <v/>
      </c>
      <c r="AV31" s="103" t="str">
        <f t="shared" si="3"/>
        <v/>
      </c>
      <c r="AW31" s="103">
        <v>20</v>
      </c>
      <c r="BA31" s="103" cm="1">
        <f t="array" ref="BA31">INDEX(AM$6:AM$161,MATCH(0,COUNTIF($BA$5:BA30,AM$6:AM$161),0))</f>
        <v>4</v>
      </c>
      <c r="BD31" s="103" t="e" cm="1">
        <f t="array" ref="BD31">INDEX(AM$205:AM$236,MATCH(0,COUNTIF($BD$5:BD30,AM$205:AM$236),0))</f>
        <v>#N/A</v>
      </c>
    </row>
    <row r="32" spans="1:67">
      <c r="A32" s="103" t="str">
        <f>IF(AND('Customer Base'!D$8=24,'Customer Base'!D$13="Victron",'Customer Base'!E$13="Multiplus",'Customer Base'!D$14&gt;0.5,'Customer Base'!D$14&lt;=0.8),'Customer Base'!D$15,IF(AND('Customer Base'!D$7="Mini-Grid",'Customer Base'!D$8=24,'Customer Base'!F$13="Victron",'Customer Base'!F$14&gt;0.5,'Customer Base'!F$14&lt;=0.8),'Customer Base'!F$15,""))</f>
        <v/>
      </c>
      <c r="B32" s="270" t="s">
        <v>1</v>
      </c>
      <c r="C32" s="237" t="s">
        <v>1934</v>
      </c>
      <c r="D32" s="267">
        <v>307.91000000000003</v>
      </c>
      <c r="E32" s="267">
        <v>290.012</v>
      </c>
      <c r="F32" s="238">
        <f t="shared" si="5"/>
        <v>252.59228876127975</v>
      </c>
      <c r="G32" s="238">
        <f>IFERROR(ROUNDUP(F32*'Customer Base'!$J$5,2),0)</f>
        <v>4218.3</v>
      </c>
      <c r="H32" s="238">
        <f t="shared" si="6"/>
        <v>237.90976210008202</v>
      </c>
      <c r="I32" s="238">
        <f>IFERROR(ROUNDUP(H32*'Customer Base'!$J$5,2),0)</f>
        <v>3973.1000000000004</v>
      </c>
      <c r="J32" s="103">
        <f t="shared" si="4"/>
        <v>6790</v>
      </c>
      <c r="K32" s="103" t="s">
        <v>1090</v>
      </c>
      <c r="L32" s="224">
        <f>J32/'Customer Base'!$J$5</f>
        <v>406.58682634730542</v>
      </c>
      <c r="M32" s="103">
        <v>646</v>
      </c>
      <c r="N32" s="103">
        <v>27</v>
      </c>
      <c r="O32" s="103" t="str">
        <f>IF('Customer Base'!$I$15="MANUAL",IF(B32&lt;&gt;"",C32,""),IF('Customer Base'!$I$15="AUTOMATE",IF(A32&lt;&gt;"",C32,""),""))</f>
        <v/>
      </c>
      <c r="P32" s="103" t="str">
        <f>"Hybrid Solar System with "&amp;'Customer Base'!$J$7&amp;"kVA inverter, "&amp;'Customer Base'!$J$8&amp;"kWh Battery, and "&amp;'Customer Base'!$J$9&amp;"kWp Solar Panels"</f>
        <v>Hybrid Solar System with 5kVA inverter, 10kWh Battery, and 5.085kWp Solar Panels</v>
      </c>
      <c r="AM32" s="103">
        <v>0.8</v>
      </c>
      <c r="AN32" s="103" t="s">
        <v>2229</v>
      </c>
      <c r="AO32" s="103" t="str">
        <f>IF('Customer Base'!$I$15="MANUAL",IFERROR(AM32*B32,""),IF('Customer Base'!$I$15="AUTOMATE",IFERROR(AM32*A32,""),""))</f>
        <v/>
      </c>
      <c r="AQ32" s="103">
        <v>24</v>
      </c>
      <c r="AR32" s="103" t="s">
        <v>2202</v>
      </c>
      <c r="AS32" s="103">
        <v>1</v>
      </c>
      <c r="AT32" s="103" t="str">
        <f t="shared" si="2"/>
        <v/>
      </c>
      <c r="AV32" s="103" t="str">
        <f t="shared" si="3"/>
        <v/>
      </c>
      <c r="AW32" s="103">
        <v>35</v>
      </c>
      <c r="BA32" s="103" t="e" cm="1">
        <f t="array" ref="BA32">INDEX(AM$6:AM$161,MATCH(0,COUNTIF($BA$5:BA31,AM$6:AM$161),0))</f>
        <v>#N/A</v>
      </c>
      <c r="BD32" s="103" t="e" cm="1">
        <f t="array" ref="BD32">INDEX(AM$205:AM$236,MATCH(0,COUNTIF($BD$5:BD31,AM$205:AM$236),0))</f>
        <v>#N/A</v>
      </c>
    </row>
    <row r="33" spans="1:56">
      <c r="A33" s="103" t="str">
        <f>IF(AND('Customer Base'!D$8=24,'Customer Base'!D$13="Victron",'Customer Base'!E$13="Multiplus",'Customer Base'!D$14&gt;0.8,'Customer Base'!D$14&lt;=1.2),'Customer Base'!D$15,IF(AND('Customer Base'!D$7="Mini-Grid",'Customer Base'!D$8=24,'Customer Base'!F$13="Victron",'Customer Base'!F$14&gt;0.8,'Customer Base'!F$14&lt;=1.2),'Customer Base'!F$15,""))</f>
        <v/>
      </c>
      <c r="B33" s="270" t="s">
        <v>1</v>
      </c>
      <c r="C33" s="237" t="s">
        <v>1935</v>
      </c>
      <c r="D33" s="267">
        <v>429.83</v>
      </c>
      <c r="E33" s="267">
        <v>404.83800000000002</v>
      </c>
      <c r="F33" s="238">
        <f t="shared" si="5"/>
        <v>352.60869565217388</v>
      </c>
      <c r="G33" s="238">
        <f>IFERROR(ROUNDUP(F33*'Customer Base'!$J$5,2),0)</f>
        <v>5888.5700000000006</v>
      </c>
      <c r="H33" s="238">
        <f t="shared" si="6"/>
        <v>332.10664479081214</v>
      </c>
      <c r="I33" s="238">
        <f>IFERROR(ROUNDUP(H33*'Customer Base'!$J$5,2),0)</f>
        <v>5546.1900000000005</v>
      </c>
      <c r="J33" s="103">
        <f t="shared" si="4"/>
        <v>6790</v>
      </c>
      <c r="K33" s="103" t="s">
        <v>1091</v>
      </c>
      <c r="L33" s="224">
        <f>J33/'Customer Base'!$J$5</f>
        <v>406.58682634730542</v>
      </c>
      <c r="M33" s="103">
        <v>646</v>
      </c>
      <c r="N33" s="103">
        <v>28</v>
      </c>
      <c r="O33" s="103" t="str">
        <f>IF('Customer Base'!$I$15="MANUAL",IF(B33&lt;&gt;"",C33,""),IF('Customer Base'!$I$15="AUTOMATE",IF(A33&lt;&gt;"",C33,""),""))</f>
        <v/>
      </c>
      <c r="P33" s="103" t="str">
        <f>"Mini-grid Solar System with "&amp;'Customer Base'!$J$7&amp;"kVA inverter, "&amp;'Customer Base'!$J$8&amp;"kWh Battery, "&amp;'Customer Base'!$J$9&amp;"kWp Solar Panels and Remote Monitoring"</f>
        <v>Mini-grid Solar System with 5kVA inverter, 10kWh Battery, 5.085kWp Solar Panels and Remote Monitoring</v>
      </c>
      <c r="AM33" s="103">
        <v>1.2</v>
      </c>
      <c r="AN33" s="103" t="s">
        <v>2230</v>
      </c>
      <c r="AO33" s="103" t="str">
        <f>IF('Customer Base'!$I$15="MANUAL",IFERROR(AM33*B33,""),IF('Customer Base'!$I$15="AUTOMATE",IFERROR(AM33*A33,""),""))</f>
        <v/>
      </c>
      <c r="AQ33" s="103">
        <v>24</v>
      </c>
      <c r="AR33" s="103" t="s">
        <v>2202</v>
      </c>
      <c r="AS33" s="103">
        <v>1</v>
      </c>
      <c r="AT33" s="103" t="str">
        <f t="shared" si="2"/>
        <v/>
      </c>
      <c r="AV33" s="103" t="str">
        <f t="shared" si="3"/>
        <v/>
      </c>
      <c r="AW33" s="103">
        <v>50</v>
      </c>
      <c r="BD33" s="103" t="e" cm="1">
        <f t="array" ref="BD33">INDEX(AM$205:AM$236,MATCH(0,COUNTIF($BD$5:BD32,AM$205:AM$236),0))</f>
        <v>#N/A</v>
      </c>
    </row>
    <row r="34" spans="1:56">
      <c r="A34" s="103" t="str">
        <f>IF(AND('Customer Base'!D$8=24,'Customer Base'!D$13="Victron",'Customer Base'!E$13="Multiplus",'Customer Base'!D$14&gt;1.2,'Customer Base'!D$14&lt;=1.6),'Customer Base'!D$15,IF(AND('Customer Base'!D$7="Mini-Grid",'Customer Base'!D$8=24,'Customer Base'!F$13="Victron",'Customer Base'!F$14&gt;1.2,'Customer Base'!F$14&lt;=1.6),'Customer Base'!F$15,""))</f>
        <v/>
      </c>
      <c r="B34" s="270" t="s">
        <v>1</v>
      </c>
      <c r="C34" s="237" t="s">
        <v>1936</v>
      </c>
      <c r="D34" s="267">
        <v>488.51</v>
      </c>
      <c r="E34" s="267">
        <v>460.11200000000002</v>
      </c>
      <c r="F34" s="238">
        <f t="shared" si="5"/>
        <v>400.74651353568493</v>
      </c>
      <c r="G34" s="238">
        <f>IFERROR(ROUNDUP(F34*'Customer Base'!$J$5,2),0)</f>
        <v>6692.47</v>
      </c>
      <c r="H34" s="238">
        <f t="shared" si="6"/>
        <v>377.45036915504511</v>
      </c>
      <c r="I34" s="238">
        <f>IFERROR(ROUNDUP(H34*'Customer Base'!$J$5,2),0)</f>
        <v>6303.43</v>
      </c>
      <c r="J34" s="103">
        <f t="shared" si="4"/>
        <v>8220</v>
      </c>
      <c r="K34" s="103" t="s">
        <v>1092</v>
      </c>
      <c r="L34" s="224">
        <f>J34/'Customer Base'!$J$5</f>
        <v>492.21556886227546</v>
      </c>
      <c r="M34" s="103">
        <v>782</v>
      </c>
      <c r="N34" s="103">
        <v>29</v>
      </c>
      <c r="O34" s="103" t="str">
        <f>IF('Customer Base'!$I$15="MANUAL",IF(B34&lt;&gt;"",C34,""),IF('Customer Base'!$I$15="AUTOMATE",IF(A34&lt;&gt;"",C34,""),""))</f>
        <v/>
      </c>
      <c r="AM34" s="103">
        <v>1.6</v>
      </c>
      <c r="AN34" s="103" t="s">
        <v>2238</v>
      </c>
      <c r="AO34" s="103" t="str">
        <f>IF('Customer Base'!$I$15="MANUAL",IFERROR(AM34*B34,""),IF('Customer Base'!$I$15="AUTOMATE",IFERROR(AM34*A34,""),""))</f>
        <v/>
      </c>
      <c r="AQ34" s="103">
        <v>24</v>
      </c>
      <c r="AR34" s="103" t="s">
        <v>2202</v>
      </c>
      <c r="AS34" s="103">
        <v>1</v>
      </c>
      <c r="AT34" s="103" t="str">
        <f t="shared" si="2"/>
        <v/>
      </c>
      <c r="AV34" s="103" t="str">
        <f t="shared" si="3"/>
        <v/>
      </c>
      <c r="AW34" s="103">
        <v>70</v>
      </c>
      <c r="BD34" s="103" t="e" cm="1">
        <f t="array" ref="BD34">INDEX(AM$205:AM$236,MATCH(0,COUNTIF($BD$5:BD33,AM$205:AM$236),0))</f>
        <v>#N/A</v>
      </c>
    </row>
    <row r="35" spans="1:56">
      <c r="A35" s="103" t="str">
        <f>IF(AND('Customer Base'!D$8=24,'Customer Base'!D$13="Victron",'Customer Base'!E$13="Multiplus",'Customer Base'!D$14&gt;1.6,'Customer Base'!D$14&lt;=2),'Customer Base'!D$15,IF(AND('Customer Base'!D$7="Mini-Grid",'Customer Base'!D$8=24,'Customer Base'!F$13="Victron",'Customer Base'!F$14&gt;1.6,'Customer Base'!F$14&lt;=2),'Customer Base'!F$15,""))</f>
        <v/>
      </c>
      <c r="B35" s="270" t="s">
        <v>1</v>
      </c>
      <c r="C35" s="237" t="s">
        <v>1937</v>
      </c>
      <c r="D35" s="267">
        <v>544.51</v>
      </c>
      <c r="E35" s="267">
        <v>512.86</v>
      </c>
      <c r="F35" s="238">
        <f t="shared" si="5"/>
        <v>446.68580803937652</v>
      </c>
      <c r="G35" s="238">
        <f>IFERROR(ROUNDUP(F35*'Customer Base'!$J$5,2),0)</f>
        <v>7459.66</v>
      </c>
      <c r="H35" s="238">
        <f t="shared" si="6"/>
        <v>420.72190319934373</v>
      </c>
      <c r="I35" s="238">
        <f>IFERROR(ROUNDUP(H35*'Customer Base'!$J$5,2),0)</f>
        <v>7026.06</v>
      </c>
      <c r="J35" s="103">
        <f t="shared" si="4"/>
        <v>8220</v>
      </c>
      <c r="K35" s="103" t="s">
        <v>1093</v>
      </c>
      <c r="L35" s="224">
        <f>J35/'Customer Base'!$J$5</f>
        <v>492.21556886227546</v>
      </c>
      <c r="M35" s="103">
        <v>782</v>
      </c>
      <c r="N35" s="103">
        <v>30</v>
      </c>
      <c r="O35" s="103" t="str">
        <f>IF('Customer Base'!$I$15="MANUAL",IF(B35&lt;&gt;"",C35,""),IF('Customer Base'!$I$15="AUTOMATE",IF(A35&lt;&gt;"",C35,""),""))</f>
        <v/>
      </c>
      <c r="AM35" s="103">
        <v>2</v>
      </c>
      <c r="AN35" s="103" t="s">
        <v>2237</v>
      </c>
      <c r="AO35" s="103" t="str">
        <f>IF('Customer Base'!$I$15="MANUAL",IFERROR(AM35*B35,""),IF('Customer Base'!$I$15="AUTOMATE",IFERROR(AM35*A35,""),""))</f>
        <v/>
      </c>
      <c r="AQ35" s="103">
        <v>24</v>
      </c>
      <c r="AR35" s="103" t="s">
        <v>2202</v>
      </c>
      <c r="AS35" s="103">
        <v>1</v>
      </c>
      <c r="AT35" s="103" t="str">
        <f t="shared" si="2"/>
        <v/>
      </c>
      <c r="AV35" s="103" t="str">
        <f t="shared" si="3"/>
        <v/>
      </c>
      <c r="AW35" s="103">
        <v>80</v>
      </c>
      <c r="BD35" s="103" t="e" cm="1">
        <f t="array" ref="BD35">INDEX(AM$205:AM$236,MATCH(0,COUNTIF($BD$5:BD34,AM$205:AM$236),0))</f>
        <v>#N/A</v>
      </c>
    </row>
    <row r="36" spans="1:56">
      <c r="C36" s="237" t="s">
        <v>2712</v>
      </c>
      <c r="D36" s="267">
        <v>1293.0999999999999</v>
      </c>
      <c r="E36" s="267">
        <v>1217.9159999999999</v>
      </c>
      <c r="F36" s="238">
        <f t="shared" si="5"/>
        <v>1060.7875307629204</v>
      </c>
      <c r="G36" s="238">
        <f>IFERROR(ROUNDUP(F36*'Customer Base'!$J$5,2),0)</f>
        <v>17715.16</v>
      </c>
      <c r="H36" s="238">
        <f t="shared" si="6"/>
        <v>999.11074651353556</v>
      </c>
      <c r="I36" s="238">
        <f>IFERROR(ROUNDUP(H36*'Customer Base'!$J$5,2),0)</f>
        <v>16685.149999999998</v>
      </c>
      <c r="J36" s="103">
        <f t="shared" si="4"/>
        <v>6600</v>
      </c>
      <c r="K36" s="103" t="s">
        <v>2785</v>
      </c>
      <c r="L36" s="224">
        <f>J36/'Customer Base'!$J$5</f>
        <v>395.20958083832335</v>
      </c>
      <c r="M36" s="103">
        <v>628</v>
      </c>
      <c r="N36" s="103">
        <v>31</v>
      </c>
      <c r="O36" s="103" t="str">
        <f>IF('Customer Base'!$I$15="MANUAL",IF(B36&lt;&gt;"",C36,""),IF('Customer Base'!$I$15="AUTOMATE",IF(A36&lt;&gt;"",C36,""),""))</f>
        <v/>
      </c>
      <c r="AM36" s="103">
        <v>3</v>
      </c>
      <c r="AN36" s="103" t="s">
        <v>2314</v>
      </c>
      <c r="AO36" s="103">
        <f>IF('Customer Base'!$I$15="MANUAL",IFERROR(AM36*B36,""),IF('Customer Base'!$I$15="AUTOMATE",IFERROR(AM36*A36,""),""))</f>
        <v>0</v>
      </c>
      <c r="AQ36" s="103">
        <v>24</v>
      </c>
      <c r="AR36" s="103" t="s">
        <v>2202</v>
      </c>
      <c r="AS36" s="103">
        <v>1</v>
      </c>
      <c r="AT36" s="103" t="str">
        <f t="shared" si="2"/>
        <v/>
      </c>
      <c r="AV36" s="103" t="str">
        <f t="shared" si="3"/>
        <v/>
      </c>
      <c r="AW36" s="103">
        <v>70</v>
      </c>
    </row>
    <row r="37" spans="1:56">
      <c r="A37" s="103" t="str">
        <f>IF(AND('Customer Base'!D$8=48,'Customer Base'!D$13="Victron",'Customer Base'!E$13="Multiplus",'Customer Base'!D$14&gt;0,'Customer Base'!D$14&lt;=0.5),'Customer Base'!D$15,IF(AND('Customer Base'!D$7="Mini-Grid",'Customer Base'!D$8=48,'Customer Base'!F$13="Victron",'Customer Base'!F$14&gt;0,'Customer Base'!F$14&lt;=0.5),'Customer Base'!F$15,""))</f>
        <v/>
      </c>
      <c r="B37" s="270" t="s">
        <v>1</v>
      </c>
      <c r="C37" s="237" t="s">
        <v>899</v>
      </c>
      <c r="D37" s="267">
        <v>261</v>
      </c>
      <c r="E37" s="267">
        <v>246.64500000000001</v>
      </c>
      <c r="F37" s="238">
        <f t="shared" si="5"/>
        <v>214.10992616899097</v>
      </c>
      <c r="G37" s="238">
        <f>IFERROR(ROUNDUP(F37*'Customer Base'!$J$5,2),0)</f>
        <v>3575.6400000000003</v>
      </c>
      <c r="H37" s="238">
        <f t="shared" si="6"/>
        <v>202.33388022969646</v>
      </c>
      <c r="I37" s="238">
        <f>IFERROR(ROUNDUP(H37*'Customer Base'!$J$5,2),0)</f>
        <v>3378.98</v>
      </c>
      <c r="J37" s="103">
        <f t="shared" si="4"/>
        <v>6600</v>
      </c>
      <c r="K37" s="103" t="s">
        <v>295</v>
      </c>
      <c r="L37" s="224">
        <f>J37/'Customer Base'!$J$5</f>
        <v>395.20958083832335</v>
      </c>
      <c r="M37" s="103">
        <v>628</v>
      </c>
      <c r="N37" s="103">
        <v>32</v>
      </c>
      <c r="O37" s="103" t="str">
        <f>IF('Customer Base'!$I$15="MANUAL",IF(B37&lt;&gt;"",C37,""),IF('Customer Base'!$I$15="AUTOMATE",IF(A37&lt;&gt;"",C37,""),""))</f>
        <v/>
      </c>
      <c r="AM37" s="103">
        <v>0.5</v>
      </c>
      <c r="AN37" s="103" t="s">
        <v>2233</v>
      </c>
      <c r="AO37" s="103" t="str">
        <f>IF('Customer Base'!$I$15="MANUAL",IFERROR(AM37*B37,""),IF('Customer Base'!$I$15="AUTOMATE",IFERROR(AM37*A37,""),""))</f>
        <v/>
      </c>
      <c r="AQ37" s="103">
        <v>48</v>
      </c>
      <c r="AR37" s="103" t="s">
        <v>2202</v>
      </c>
      <c r="AS37" s="103">
        <v>1</v>
      </c>
      <c r="AT37" s="103" t="str">
        <f t="shared" si="2"/>
        <v/>
      </c>
      <c r="AV37" s="103" t="str">
        <f t="shared" si="3"/>
        <v/>
      </c>
      <c r="AW37" s="103">
        <v>6</v>
      </c>
    </row>
    <row r="38" spans="1:56">
      <c r="A38" s="103" t="str">
        <f>IF(AND('Customer Base'!D$8=48,'Customer Base'!D$13="Victron",'Customer Base'!E$13="Multiplus",'Customer Base'!D$14&gt;0.5,'Customer Base'!D$14&lt;=0.8),'Customer Base'!D$15,IF(AND('Customer Base'!D$7="Mini-Grid",'Customer Base'!D$8=48,'Customer Base'!F$13="Victron",'Customer Base'!F$14&gt;0.5,'Customer Base'!F$14&lt;=0.8),'Customer Base'!F$15,""))</f>
        <v/>
      </c>
      <c r="B38" s="270" t="s">
        <v>1</v>
      </c>
      <c r="C38" s="237" t="s">
        <v>900</v>
      </c>
      <c r="D38" s="267">
        <v>307.91000000000003</v>
      </c>
      <c r="E38" s="267">
        <v>290.012</v>
      </c>
      <c r="F38" s="238">
        <f t="shared" si="5"/>
        <v>252.59228876127975</v>
      </c>
      <c r="G38" s="238">
        <f>IFERROR(ROUNDUP(F38*'Customer Base'!$J$5,2),0)</f>
        <v>4218.3</v>
      </c>
      <c r="H38" s="238">
        <f t="shared" si="6"/>
        <v>237.90976210008202</v>
      </c>
      <c r="I38" s="238">
        <f>IFERROR(ROUNDUP(H38*'Customer Base'!$J$5,2),0)</f>
        <v>3973.1000000000004</v>
      </c>
      <c r="L38" s="103" t="str">
        <f t="shared" ref="L38:L69" si="7">IF(H38&gt;F38,"lkkajdfkj","")</f>
        <v/>
      </c>
      <c r="N38" s="103">
        <v>33</v>
      </c>
      <c r="O38" s="103" t="str">
        <f>IF('Customer Base'!$I$15="MANUAL",IF(B38&lt;&gt;"",C38,""),IF('Customer Base'!$I$15="AUTOMATE",IF(A38&lt;&gt;"",C38,""),""))</f>
        <v/>
      </c>
      <c r="AM38" s="103">
        <v>0.8</v>
      </c>
      <c r="AN38" s="103" t="s">
        <v>2234</v>
      </c>
      <c r="AO38" s="103" t="str">
        <f>IF('Customer Base'!$I$15="MANUAL",IFERROR(AM38*B38,""),IF('Customer Base'!$I$15="AUTOMATE",IFERROR(AM38*A38,""),""))</f>
        <v/>
      </c>
      <c r="AQ38" s="103">
        <v>48</v>
      </c>
      <c r="AR38" s="103" t="s">
        <v>2202</v>
      </c>
      <c r="AS38" s="103">
        <v>1</v>
      </c>
      <c r="AT38" s="103" t="str">
        <f t="shared" si="2"/>
        <v/>
      </c>
      <c r="AV38" s="103" t="str">
        <f t="shared" si="3"/>
        <v/>
      </c>
      <c r="AW38" s="103">
        <v>9</v>
      </c>
    </row>
    <row r="39" spans="1:56">
      <c r="A39" s="103" t="str">
        <f>IF(AND('Customer Base'!D$8=48,'Customer Base'!D$13="Victron",'Customer Base'!E$13="Multiplus",'Customer Base'!D$14&gt;0.8,'Customer Base'!D$14&lt;=1.2),'Customer Base'!D$15,IF(AND('Customer Base'!D$7="Mini-Grid",'Customer Base'!D$8=48,'Customer Base'!F$13="Victron",'Customer Base'!F$14&gt;0.8,'Customer Base'!F$14&lt;=1.2),'Customer Base'!F$15,""))</f>
        <v/>
      </c>
      <c r="B39" s="270" t="s">
        <v>1</v>
      </c>
      <c r="C39" s="237" t="s">
        <v>901</v>
      </c>
      <c r="D39" s="267">
        <v>429.83</v>
      </c>
      <c r="E39" s="267">
        <v>404.83800000000002</v>
      </c>
      <c r="F39" s="238">
        <f t="shared" si="5"/>
        <v>352.60869565217388</v>
      </c>
      <c r="G39" s="238">
        <f>IFERROR(ROUNDUP(F39*'Customer Base'!$J$5,2),0)</f>
        <v>5888.5700000000006</v>
      </c>
      <c r="H39" s="238">
        <f t="shared" si="6"/>
        <v>332.10664479081214</v>
      </c>
      <c r="I39" s="238">
        <f>IFERROR(ROUNDUP(H39*'Customer Base'!$J$5,2),0)</f>
        <v>5546.1900000000005</v>
      </c>
      <c r="L39" s="103" t="str">
        <f t="shared" si="7"/>
        <v/>
      </c>
      <c r="N39" s="103">
        <v>34</v>
      </c>
      <c r="O39" s="103" t="str">
        <f>IF('Customer Base'!$I$15="MANUAL",IF(B39&lt;&gt;"",C39,""),IF('Customer Base'!$I$15="AUTOMATE",IF(A39&lt;&gt;"",C39,""),""))</f>
        <v/>
      </c>
      <c r="AM39" s="103">
        <v>1.2</v>
      </c>
      <c r="AN39" s="103" t="s">
        <v>2235</v>
      </c>
      <c r="AO39" s="103" t="str">
        <f>IF('Customer Base'!$I$15="MANUAL",IFERROR(AM39*B39,""),IF('Customer Base'!$I$15="AUTOMATE",IFERROR(AM39*A39,""),""))</f>
        <v/>
      </c>
      <c r="AQ39" s="103">
        <v>48</v>
      </c>
      <c r="AR39" s="103" t="s">
        <v>2202</v>
      </c>
      <c r="AS39" s="103">
        <v>1</v>
      </c>
      <c r="AT39" s="103" t="str">
        <f t="shared" si="2"/>
        <v/>
      </c>
      <c r="AV39" s="103" t="str">
        <f t="shared" si="3"/>
        <v/>
      </c>
      <c r="AW39" s="103">
        <v>13</v>
      </c>
    </row>
    <row r="40" spans="1:56">
      <c r="A40" s="103" t="str">
        <f>IF(AND('Customer Base'!D$8=48,'Customer Base'!D$13="Victron",'Customer Base'!E$13="Multiplus",'Customer Base'!D$14&gt;1.2,'Customer Base'!D$14&lt;=1.6),'Customer Base'!D$15,IF(AND('Customer Base'!D$7="Mini-Grid",'Customer Base'!D$8=48,'Customer Base'!F$13="Victron",'Customer Base'!F$14&gt;1.2,'Customer Base'!F$14&lt;=1.6),'Customer Base'!F$15,""))</f>
        <v/>
      </c>
      <c r="B40" s="270" t="s">
        <v>1</v>
      </c>
      <c r="C40" s="237" t="s">
        <v>902</v>
      </c>
      <c r="D40" s="267">
        <v>488.51</v>
      </c>
      <c r="E40" s="267">
        <v>460.11200000000002</v>
      </c>
      <c r="F40" s="238">
        <f t="shared" si="5"/>
        <v>400.74651353568493</v>
      </c>
      <c r="G40" s="238">
        <f>IFERROR(ROUNDUP(F40*'Customer Base'!$J$5,2),0)</f>
        <v>6692.47</v>
      </c>
      <c r="H40" s="238">
        <f t="shared" si="6"/>
        <v>377.45036915504511</v>
      </c>
      <c r="I40" s="238">
        <f>IFERROR(ROUNDUP(H40*'Customer Base'!$J$5,2),0)</f>
        <v>6303.43</v>
      </c>
      <c r="L40" s="103" t="str">
        <f t="shared" si="7"/>
        <v/>
      </c>
      <c r="N40" s="103">
        <v>35</v>
      </c>
      <c r="O40" s="103" t="str">
        <f>IF('Customer Base'!$I$15="MANUAL",IF(B40&lt;&gt;"",C40,""),IF('Customer Base'!$I$15="AUTOMATE",IF(A40&lt;&gt;"",C40,""),""))</f>
        <v/>
      </c>
      <c r="AM40" s="103">
        <v>1.6</v>
      </c>
      <c r="AN40" s="103" t="s">
        <v>2256</v>
      </c>
      <c r="AO40" s="103" t="str">
        <f>IF('Customer Base'!$I$15="MANUAL",IFERROR(AM40*B40,""),IF('Customer Base'!$I$15="AUTOMATE",IFERROR(AM40*A40,""),""))</f>
        <v/>
      </c>
      <c r="AQ40" s="103">
        <v>48</v>
      </c>
      <c r="AR40" s="103" t="s">
        <v>2202</v>
      </c>
      <c r="AS40" s="103">
        <v>1</v>
      </c>
      <c r="AT40" s="103" t="str">
        <f t="shared" si="2"/>
        <v/>
      </c>
      <c r="AV40" s="103" t="str">
        <f t="shared" ref="AV40:AV93" si="8">IF(AU40&lt;&gt;"",AU40,AT40)</f>
        <v/>
      </c>
      <c r="AW40" s="103">
        <v>20</v>
      </c>
    </row>
    <row r="41" spans="1:56">
      <c r="A41" s="103" t="str">
        <f>IF(AND('Customer Base'!D$8=48,'Customer Base'!D$13="Victron",'Customer Base'!E$13="Multiplus",'Customer Base'!D$14&gt;1.6,'Customer Base'!D$14&lt;=2),'Customer Base'!D$15,IF(AND('Customer Base'!D$7="Mini-Grid",'Customer Base'!D$8=48,'Customer Base'!F$13="Victron",'Customer Base'!F$14&gt;1.6,'Customer Base'!F$14&lt;=2),'Customer Base'!F$15,""))</f>
        <v/>
      </c>
      <c r="B41" s="270" t="s">
        <v>1</v>
      </c>
      <c r="C41" s="237" t="s">
        <v>1938</v>
      </c>
      <c r="D41" s="267">
        <v>544.51</v>
      </c>
      <c r="E41" s="267">
        <v>512.86</v>
      </c>
      <c r="F41" s="238">
        <f t="shared" si="5"/>
        <v>446.68580803937652</v>
      </c>
      <c r="G41" s="238">
        <f>IFERROR(ROUNDUP(F41*'Customer Base'!$J$5,2),0)</f>
        <v>7459.66</v>
      </c>
      <c r="H41" s="238">
        <f t="shared" si="6"/>
        <v>420.72190319934373</v>
      </c>
      <c r="I41" s="238">
        <f>IFERROR(ROUNDUP(H41*'Customer Base'!$J$5,2),0)</f>
        <v>7026.06</v>
      </c>
      <c r="L41" s="103" t="str">
        <f t="shared" si="7"/>
        <v/>
      </c>
      <c r="N41" s="103">
        <v>36</v>
      </c>
      <c r="O41" s="103" t="str">
        <f>IF('Customer Base'!$I$15="MANUAL",IF(B41&lt;&gt;"",C41,""),IF('Customer Base'!$I$15="AUTOMATE",IF(A41&lt;&gt;"",C41,""),""))</f>
        <v/>
      </c>
      <c r="AM41" s="103">
        <v>2</v>
      </c>
      <c r="AN41" s="103" t="s">
        <v>2257</v>
      </c>
      <c r="AO41" s="103" t="str">
        <f>IF('Customer Base'!$I$15="MANUAL",IFERROR(AM41*B41,""),IF('Customer Base'!$I$15="AUTOMATE",IFERROR(AM41*A41,""),""))</f>
        <v/>
      </c>
      <c r="AQ41" s="103">
        <v>48</v>
      </c>
      <c r="AR41" s="103" t="s">
        <v>2202</v>
      </c>
      <c r="AS41" s="103">
        <v>1</v>
      </c>
      <c r="AT41" s="103" t="str">
        <f t="shared" si="2"/>
        <v/>
      </c>
      <c r="AV41" s="103" t="str">
        <f t="shared" si="8"/>
        <v/>
      </c>
      <c r="AW41" s="103">
        <v>25</v>
      </c>
    </row>
    <row r="42" spans="1:56">
      <c r="C42" s="237" t="s">
        <v>903</v>
      </c>
      <c r="D42" s="267">
        <v>829.87</v>
      </c>
      <c r="E42" s="267">
        <v>781.61800000000005</v>
      </c>
      <c r="F42" s="238">
        <f t="shared" si="5"/>
        <v>680.7793273174733</v>
      </c>
      <c r="G42" s="238">
        <f>IFERROR(ROUNDUP(F42*'Customer Base'!$J$5,2),0)</f>
        <v>11369.02</v>
      </c>
      <c r="H42" s="238">
        <f t="shared" si="6"/>
        <v>641.19606234618539</v>
      </c>
      <c r="I42" s="238">
        <f>IFERROR(ROUNDUP(H42*'Customer Base'!$J$5,2),0)</f>
        <v>10707.98</v>
      </c>
      <c r="L42" s="103" t="str">
        <f t="shared" si="7"/>
        <v/>
      </c>
      <c r="N42" s="103">
        <v>37</v>
      </c>
      <c r="O42" s="103" t="str">
        <f>IF('Customer Base'!$I$15="MANUAL",IF(B42&lt;&gt;"",C42,""),IF('Customer Base'!$I$15="AUTOMATE",IF(A42&lt;&gt;"",C42,""),""))</f>
        <v/>
      </c>
      <c r="AM42" s="103">
        <v>3</v>
      </c>
      <c r="AN42" s="103" t="s">
        <v>2315</v>
      </c>
      <c r="AO42" s="103">
        <f>IF('Customer Base'!$I$15="MANUAL",IFERROR(AM42*B42,""),IF('Customer Base'!$I$15="AUTOMATE",IFERROR(AM42*A42,""),""))</f>
        <v>0</v>
      </c>
      <c r="AQ42" s="103">
        <v>48</v>
      </c>
      <c r="AR42" s="103" t="s">
        <v>2202</v>
      </c>
      <c r="AS42" s="103">
        <v>1</v>
      </c>
      <c r="AT42" s="103" t="str">
        <f t="shared" si="2"/>
        <v/>
      </c>
      <c r="AV42" s="103" t="str">
        <f t="shared" si="8"/>
        <v/>
      </c>
      <c r="AW42" s="103">
        <v>35</v>
      </c>
      <c r="AZ42" s="240"/>
    </row>
    <row r="43" spans="1:56">
      <c r="C43" s="237" t="s">
        <v>904</v>
      </c>
      <c r="D43" s="267">
        <v>865.99</v>
      </c>
      <c r="E43" s="267">
        <v>815.63800000000003</v>
      </c>
      <c r="F43" s="238">
        <f t="shared" si="5"/>
        <v>710.41017227235432</v>
      </c>
      <c r="G43" s="238">
        <f>IFERROR(ROUNDUP(F43*'Customer Base'!$J$5,2),0)</f>
        <v>11863.85</v>
      </c>
      <c r="H43" s="238">
        <f t="shared" si="6"/>
        <v>669.10418375717802</v>
      </c>
      <c r="I43" s="238">
        <f>IFERROR(ROUNDUP(H43*'Customer Base'!$J$5,2),0)</f>
        <v>11174.04</v>
      </c>
      <c r="L43" s="103" t="str">
        <f t="shared" si="7"/>
        <v/>
      </c>
      <c r="N43" s="103">
        <v>38</v>
      </c>
      <c r="O43" s="103" t="str">
        <f>IF('Customer Base'!$I$15="MANUAL",IF(B43&lt;&gt;"",C43,""),IF('Customer Base'!$I$15="AUTOMATE",IF(A43&lt;&gt;"",C43,""),""))</f>
        <v/>
      </c>
      <c r="AM43" s="103">
        <v>3</v>
      </c>
      <c r="AN43" s="103" t="s">
        <v>2316</v>
      </c>
      <c r="AO43" s="103">
        <f>IF('Customer Base'!$I$15="MANUAL",IFERROR(AM43*B43,""),IF('Customer Base'!$I$15="AUTOMATE",IFERROR(AM43*A43,""),""))</f>
        <v>0</v>
      </c>
      <c r="AQ43" s="103">
        <v>48</v>
      </c>
      <c r="AR43" s="103" t="s">
        <v>2202</v>
      </c>
      <c r="AS43" s="103">
        <v>1</v>
      </c>
      <c r="AT43" s="103">
        <f t="shared" ref="AT43:AT92" si="9">IF(AND(AR43=$AY$1,$AZ$1=AN43),BA$1,"")</f>
        <v>1</v>
      </c>
      <c r="AV43" s="103">
        <f t="shared" si="8"/>
        <v>1</v>
      </c>
      <c r="AW43" s="103">
        <v>35</v>
      </c>
      <c r="AZ43" s="240"/>
    </row>
    <row r="44" spans="1:56">
      <c r="C44" s="237" t="s">
        <v>907</v>
      </c>
      <c r="D44" s="267">
        <v>1174.79</v>
      </c>
      <c r="E44" s="267">
        <v>1106.492</v>
      </c>
      <c r="F44" s="238">
        <f t="shared" si="5"/>
        <v>963.73256767842486</v>
      </c>
      <c r="G44" s="238">
        <f>IFERROR(ROUNDUP(F44*'Customer Base'!$J$5,2),0)</f>
        <v>16094.34</v>
      </c>
      <c r="H44" s="238">
        <f t="shared" si="6"/>
        <v>907.70467596390472</v>
      </c>
      <c r="I44" s="238">
        <f>IFERROR(ROUNDUP(H44*'Customer Base'!$J$5,2),0)</f>
        <v>15158.67</v>
      </c>
      <c r="L44" s="103" t="str">
        <f t="shared" si="7"/>
        <v/>
      </c>
      <c r="N44" s="103">
        <v>39</v>
      </c>
      <c r="O44" s="103" t="str">
        <f>IF('Customer Base'!$I$15="MANUAL",IF(B44&lt;&gt;"",C44,""),IF('Customer Base'!$I$15="AUTOMATE",IF(A44&lt;&gt;"",C44,""),""))</f>
        <v/>
      </c>
      <c r="AM44" s="103">
        <v>5</v>
      </c>
      <c r="AN44" s="103" t="s">
        <v>2259</v>
      </c>
      <c r="AO44" s="103">
        <f>IF('Customer Base'!$I$15="MANUAL",IFERROR(AM44*B44,""),IF('Customer Base'!$I$15="AUTOMATE",IFERROR(AM44*A44,""),""))</f>
        <v>0</v>
      </c>
      <c r="AQ44" s="103">
        <v>48</v>
      </c>
      <c r="AR44" s="103" t="s">
        <v>2202</v>
      </c>
      <c r="AS44" s="103">
        <v>1</v>
      </c>
      <c r="AT44" s="103" t="str">
        <f t="shared" si="9"/>
        <v/>
      </c>
      <c r="AV44" s="103" t="str">
        <f t="shared" si="8"/>
        <v/>
      </c>
      <c r="AW44" s="103">
        <v>70</v>
      </c>
      <c r="AZ44" s="240"/>
    </row>
    <row r="45" spans="1:56">
      <c r="A45" s="103" t="str">
        <f>IF(AND('Customer Base'!D$8=48,'Customer Base'!D$13="Victron",'Customer Base'!E$13="Multiplus",'Customer Base'!D$14&gt;5,'Customer Base'!D$14&lt;=6),'Customer Base'!D$15,IF(AND('Customer Base'!D$7="Mini-Grid",'Customer Base'!D$8=48,'Customer Base'!F$13="Victron",'Customer Base'!F$14&gt;5,'Customer Base'!F$14&lt;=6),'Customer Base'!F$15,""))</f>
        <v/>
      </c>
      <c r="B45" s="270" t="s">
        <v>1</v>
      </c>
      <c r="C45" s="237" t="s">
        <v>1914</v>
      </c>
      <c r="D45" s="267">
        <v>1914.36</v>
      </c>
      <c r="E45" s="267">
        <v>1803.06</v>
      </c>
      <c r="F45" s="238">
        <f>$D45/1.219</f>
        <v>1570.4347826086955</v>
      </c>
      <c r="G45" s="238">
        <f>IFERROR(ROUNDUP(F45*'Customer Base'!$J$5,2),0)</f>
        <v>26226.269999999997</v>
      </c>
      <c r="H45" s="238">
        <f>$E45/1.219</f>
        <v>1479.1304347826085</v>
      </c>
      <c r="I45" s="238">
        <f>IFERROR(ROUNDUP(H45*'Customer Base'!$J$5,2),0)</f>
        <v>24701.48</v>
      </c>
      <c r="L45" s="103" t="str">
        <f t="shared" si="7"/>
        <v/>
      </c>
      <c r="N45" s="103">
        <v>40</v>
      </c>
      <c r="O45" s="103" t="str">
        <f>IF('Customer Base'!$I$15="MANUAL",IF(B45&lt;&gt;"",C45,""),IF('Customer Base'!$I$15="AUTOMATE",IF(A45&lt;&gt;"",C45,""),""))</f>
        <v/>
      </c>
      <c r="AM45" s="103">
        <v>6</v>
      </c>
      <c r="AN45" s="103" t="s">
        <v>2260</v>
      </c>
      <c r="AO45" s="103" t="str">
        <f>IF('Customer Base'!$I$15="MANUAL",IFERROR(AM45*B45,""),IF('Customer Base'!$I$15="AUTOMATE",IFERROR(AM45*A45,""),""))</f>
        <v/>
      </c>
      <c r="AP45" s="103">
        <v>450</v>
      </c>
      <c r="AQ45" s="103">
        <v>48</v>
      </c>
      <c r="AR45" s="103" t="s">
        <v>2202</v>
      </c>
      <c r="AS45" s="103">
        <v>1</v>
      </c>
      <c r="AT45" s="103" t="str">
        <f t="shared" si="9"/>
        <v/>
      </c>
      <c r="AV45" s="103" t="str">
        <f>IF(AU45&lt;&gt;"",AU45,AT45)</f>
        <v/>
      </c>
      <c r="AW45" s="103">
        <v>100</v>
      </c>
      <c r="AZ45" s="240"/>
    </row>
    <row r="46" spans="1:56">
      <c r="D46" s="319"/>
      <c r="E46" s="319"/>
      <c r="I46" s="224"/>
      <c r="L46" s="103" t="str">
        <f t="shared" si="7"/>
        <v/>
      </c>
      <c r="N46" s="103">
        <v>41</v>
      </c>
      <c r="O46" s="103" t="str">
        <f>IF('Customer Base'!$I$15="MANUAL",IF(B46&lt;&gt;"",C46,""),IF('Customer Base'!$I$15="AUTOMATE",IF(A46&lt;&gt;"",C46,""),""))</f>
        <v/>
      </c>
      <c r="AO46" s="103">
        <f>IF('Customer Base'!$I$15="MANUAL",IFERROR(AM46*B46,""),IF('Customer Base'!$I$15="AUTOMATE",IFERROR(AM46*A46,""),""))</f>
        <v>0</v>
      </c>
      <c r="AT46" s="103" t="str">
        <f t="shared" si="9"/>
        <v/>
      </c>
      <c r="AZ46" s="240"/>
    </row>
    <row r="47" spans="1:56">
      <c r="A47" s="103" t="str">
        <f>IF(AND('Customer Base'!D$8=24,'Customer Base'!D$13="Victron",'Customer Base'!E$13="Multiplus",'Customer Base'!D$14&gt;2,'Customer Base'!D$14&lt;=3),'Customer Base'!D$15,IF(AND('Customer Base'!D$7="Mini-Grid",'Customer Base'!D$8=24,'Customer Base'!F$13="Victron",'Customer Base'!F$14&gt;2,'Customer Base'!F$14&lt;=3),'Customer Base'!F$15,""))</f>
        <v/>
      </c>
      <c r="B47" s="270" t="s">
        <v>1</v>
      </c>
      <c r="C47" s="237" t="s">
        <v>2713</v>
      </c>
      <c r="D47" s="267">
        <v>988.79</v>
      </c>
      <c r="E47" s="267">
        <v>931.30600000000004</v>
      </c>
      <c r="F47" s="238">
        <f>$D47/1.219</f>
        <v>811.14848236259218</v>
      </c>
      <c r="G47" s="238">
        <f>IFERROR(ROUNDUP(F47*'Customer Base'!$J$5,2),0)</f>
        <v>13546.18</v>
      </c>
      <c r="H47" s="238">
        <f>$E47/1.219</f>
        <v>763.99179655455293</v>
      </c>
      <c r="I47" s="238">
        <f>IFERROR(ROUNDUP(H47*'Customer Base'!$J$5,2),0)</f>
        <v>12758.67</v>
      </c>
      <c r="L47" s="103" t="str">
        <f t="shared" si="7"/>
        <v/>
      </c>
      <c r="N47" s="103">
        <v>42</v>
      </c>
      <c r="O47" s="103" t="str">
        <f>IF('Customer Base'!$I$15="MANUAL",IF(B47&lt;&gt;"",C47,""),IF('Customer Base'!$I$15="AUTOMATE",IF(A47&lt;&gt;"",C47,""),""))</f>
        <v/>
      </c>
      <c r="AM47" s="103">
        <v>3</v>
      </c>
      <c r="AN47" s="103" t="s">
        <v>2254</v>
      </c>
      <c r="AO47" s="103" t="str">
        <f>IF('Customer Base'!$I$15="MANUAL",IFERROR(AM47*B47,""),IF('Customer Base'!$I$15="AUTOMATE",IFERROR(AM47*A47,""),""))</f>
        <v/>
      </c>
      <c r="AQ47" s="103">
        <v>24</v>
      </c>
      <c r="AR47" s="103" t="s">
        <v>2264</v>
      </c>
      <c r="AS47" s="103">
        <v>1</v>
      </c>
      <c r="AT47" s="103" t="str">
        <f t="shared" si="9"/>
        <v/>
      </c>
      <c r="AV47" s="103" t="str">
        <f>IF(AU47&lt;&gt;"",AU47,AT47)</f>
        <v/>
      </c>
      <c r="AW47" s="103">
        <v>70</v>
      </c>
      <c r="AZ47" s="240"/>
    </row>
    <row r="48" spans="1:56">
      <c r="A48" s="103" t="str">
        <f>IF(AND('Customer Base'!D$8=24,'Customer Base'!D$13="Victron",'Customer Base'!E$13="Multiplus",'Customer Base'!D$14&gt;3,'Customer Base'!D$14&lt;=5),'Customer Base'!D$15,IF(AND('Customer Base'!D$7="Mini-Grid",'Customer Base'!D$8=24,'Customer Base'!F$13="Victron",'Customer Base'!F$14&gt;3,'Customer Base'!F$14&lt;=5),'Customer Base'!F$15,""))</f>
        <v/>
      </c>
      <c r="B48" s="270" t="s">
        <v>1</v>
      </c>
      <c r="C48" s="237" t="s">
        <v>2714</v>
      </c>
      <c r="D48" s="267">
        <v>2166.8760000000002</v>
      </c>
      <c r="E48" s="267">
        <v>1950.1880000000001</v>
      </c>
      <c r="F48" s="238">
        <f>$D48/1.219</f>
        <v>1777.5849056603774</v>
      </c>
      <c r="G48" s="238">
        <f>IFERROR(ROUNDUP(F48*'Customer Base'!$J$5,2),0)</f>
        <v>29685.67</v>
      </c>
      <c r="H48" s="238">
        <f>$E48/1.219</f>
        <v>1599.8260869565217</v>
      </c>
      <c r="I48" s="238">
        <f>IFERROR(ROUNDUP(H48*'Customer Base'!$J$5,2),0)</f>
        <v>26717.1</v>
      </c>
      <c r="L48" s="103" t="str">
        <f t="shared" si="7"/>
        <v/>
      </c>
      <c r="N48" s="103">
        <v>43</v>
      </c>
      <c r="O48" s="103" t="str">
        <f>IF('Customer Base'!$I$15="MANUAL",IF(B48&lt;&gt;"",C48,""),IF('Customer Base'!$I$15="AUTOMATE",IF(A48&lt;&gt;"",C48,""),""))</f>
        <v/>
      </c>
      <c r="AM48" s="103">
        <v>5</v>
      </c>
      <c r="AN48" s="103" t="s">
        <v>2255</v>
      </c>
      <c r="AO48" s="103" t="str">
        <f>IF('Customer Base'!$I$15="MANUAL",IFERROR(AM48*B48,""),IF('Customer Base'!$I$15="AUTOMATE",IFERROR(AM48*A48,""),""))</f>
        <v/>
      </c>
      <c r="AQ48" s="103">
        <v>24</v>
      </c>
      <c r="AR48" s="103" t="s">
        <v>2264</v>
      </c>
      <c r="AS48" s="103">
        <v>1</v>
      </c>
      <c r="AT48" s="103" t="str">
        <f t="shared" si="9"/>
        <v/>
      </c>
      <c r="AV48" s="103" t="str">
        <f>IF(AU48&lt;&gt;"",AU48,AT48)</f>
        <v/>
      </c>
      <c r="AW48" s="103">
        <v>120</v>
      </c>
      <c r="AZ48" s="240"/>
    </row>
    <row r="49" spans="1:52">
      <c r="A49" s="103" t="str">
        <f>IF(AND('Customer Base'!D$8=48,'Customer Base'!D$13="Victron",'Customer Base'!E$13="Multiplus",'Customer Base'!D$14&gt;2,'Customer Base'!D$14&lt;=3),'Customer Base'!D$15,IF(AND('Customer Base'!D$7="Mini-Grid",'Customer Base'!D$8=48,'Customer Base'!F$13="Victron",'Customer Base'!F$14&gt;2,'Customer Base'!F$14&lt;=3),'Customer Base'!F$15,""))</f>
        <v/>
      </c>
      <c r="B49" s="270" t="s">
        <v>1</v>
      </c>
      <c r="C49" s="237" t="s">
        <v>905</v>
      </c>
      <c r="D49" s="267">
        <v>592.37</v>
      </c>
      <c r="E49" s="267">
        <v>557.928</v>
      </c>
      <c r="F49" s="238">
        <f t="shared" si="5"/>
        <v>485.94749794913861</v>
      </c>
      <c r="G49" s="238">
        <f>IFERROR(ROUNDUP(F49*'Customer Base'!$J$5,2),0)</f>
        <v>8115.33</v>
      </c>
      <c r="H49" s="238">
        <f t="shared" si="6"/>
        <v>457.69319114027888</v>
      </c>
      <c r="I49" s="238">
        <f>IFERROR(ROUNDUP(H49*'Customer Base'!$J$5,2),0)</f>
        <v>7643.4800000000005</v>
      </c>
      <c r="L49" s="103" t="str">
        <f t="shared" si="7"/>
        <v/>
      </c>
      <c r="N49" s="103">
        <v>45</v>
      </c>
      <c r="O49" s="103" t="str">
        <f>IF('Customer Base'!$I$15="MANUAL",IF(B49&lt;&gt;"",C49,""),IF('Customer Base'!$I$15="AUTOMATE",IF(A49&lt;&gt;"",C49,""),""))</f>
        <v/>
      </c>
      <c r="AM49" s="103">
        <v>3</v>
      </c>
      <c r="AN49" s="103" t="s">
        <v>2258</v>
      </c>
      <c r="AO49" s="103" t="str">
        <f>IF('Customer Base'!$I$15="MANUAL",IFERROR(AM49*B49,""),IF('Customer Base'!$I$15="AUTOMATE",IFERROR(AM49*A49,""),""))</f>
        <v/>
      </c>
      <c r="AQ49" s="103">
        <v>48</v>
      </c>
      <c r="AR49" s="103" t="s">
        <v>2264</v>
      </c>
      <c r="AS49" s="103">
        <v>1</v>
      </c>
      <c r="AT49" s="103" t="str">
        <f t="shared" si="9"/>
        <v/>
      </c>
      <c r="AV49" s="103" t="str">
        <f t="shared" si="8"/>
        <v/>
      </c>
      <c r="AW49" s="103">
        <v>35</v>
      </c>
      <c r="AZ49" s="240"/>
    </row>
    <row r="50" spans="1:52">
      <c r="A50" s="103">
        <f>IF(AND('Customer Base'!D$8=48,'Customer Base'!D$13="Victron",'Customer Base'!E$13="Multiplus",'Customer Base'!D$14&gt;3,'Customer Base'!D$14&lt;=5),'Customer Base'!D$15,IF(AND('Customer Base'!D$7="Mini-Grid",'Customer Base'!D$8=48,'Customer Base'!F$13="Victron",'Customer Base'!F$14&gt;3,'Customer Base'!F$14&lt;=5),'Customer Base'!F$15,""))</f>
        <v>1</v>
      </c>
      <c r="B50" s="270">
        <v>1</v>
      </c>
      <c r="C50" s="237" t="s">
        <v>908</v>
      </c>
      <c r="D50" s="267">
        <v>937.31</v>
      </c>
      <c r="E50" s="267">
        <v>882.81899999999996</v>
      </c>
      <c r="F50" s="238">
        <f t="shared" ref="F50:F183" si="10">$D50/1.219</f>
        <v>768.91714520098435</v>
      </c>
      <c r="G50" s="238">
        <f>IFERROR(ROUNDUP(F50*'Customer Base'!$J$5,2),0)</f>
        <v>12840.92</v>
      </c>
      <c r="H50" s="238">
        <f t="shared" ref="H50:H184" si="11">$E50/1.219</f>
        <v>724.21575061525834</v>
      </c>
      <c r="I50" s="238">
        <f>IFERROR(ROUNDUP(H50*'Customer Base'!$J$5,2),0)</f>
        <v>12094.41</v>
      </c>
      <c r="L50" s="103" t="str">
        <f t="shared" si="7"/>
        <v/>
      </c>
      <c r="N50" s="103">
        <v>46</v>
      </c>
      <c r="O50" s="103" t="str">
        <f>IF('Customer Base'!$I$15="MANUAL",IF(B50&lt;&gt;"",C50,""),IF('Customer Base'!$I$15="AUTOMATE",IF(A50&lt;&gt;"",C50,""),""))</f>
        <v>Victron MultiPlus-II 48/5000/70-50 230V</v>
      </c>
      <c r="AM50" s="103">
        <v>5</v>
      </c>
      <c r="AN50" s="103" t="s">
        <v>2259</v>
      </c>
      <c r="AO50" s="103">
        <f>IF('Customer Base'!$I$15="MANUAL",IFERROR(AM50*B50,""),IF('Customer Base'!$I$15="AUTOMATE",IFERROR(AM50*A50,""),""))</f>
        <v>5</v>
      </c>
      <c r="AQ50" s="103">
        <v>48</v>
      </c>
      <c r="AR50" s="103" t="s">
        <v>2264</v>
      </c>
      <c r="AS50" s="103">
        <v>1</v>
      </c>
      <c r="AT50" s="103" t="str">
        <f t="shared" si="9"/>
        <v/>
      </c>
      <c r="AV50" s="103" t="str">
        <f t="shared" si="8"/>
        <v/>
      </c>
      <c r="AW50" s="103">
        <v>70</v>
      </c>
    </row>
    <row r="51" spans="1:52">
      <c r="A51" s="103" t="str">
        <f>IF(AND('Customer Base'!D$8=48,'Customer Base'!D$13="Victron",'Customer Base'!E$13="Multiplus",'Customer Base'!D$14&gt;6,'Customer Base'!D$14&lt;=8),'Customer Base'!D$15,IF(AND('Customer Base'!D$7="Mini-Grid",'Customer Base'!D$8=48,'Customer Base'!F$13="Victron",'Customer Base'!F$14&gt;6,'Customer Base'!F$14&lt;=8),'Customer Base'!F$15,""))</f>
        <v/>
      </c>
      <c r="B51" s="270" t="s">
        <v>1</v>
      </c>
      <c r="C51" s="237" t="s">
        <v>1012</v>
      </c>
      <c r="D51" s="267">
        <v>1629.91</v>
      </c>
      <c r="E51" s="267">
        <v>1535.144</v>
      </c>
      <c r="F51" s="238">
        <f t="shared" si="10"/>
        <v>1337.0877768662838</v>
      </c>
      <c r="G51" s="238">
        <f>IFERROR(ROUNDUP(F51*'Customer Base'!$J$5,2),0)</f>
        <v>22329.37</v>
      </c>
      <c r="H51" s="238">
        <f t="shared" si="11"/>
        <v>1259.3470057424117</v>
      </c>
      <c r="I51" s="238">
        <f>IFERROR(ROUNDUP(H51*'Customer Base'!$J$5,2),0)</f>
        <v>21031.1</v>
      </c>
      <c r="L51" s="103" t="str">
        <f t="shared" si="7"/>
        <v/>
      </c>
      <c r="N51" s="103">
        <v>47</v>
      </c>
      <c r="O51" s="103" t="str">
        <f>IF('Customer Base'!$I$15="MANUAL",IF(B51&lt;&gt;"",C51,""),IF('Customer Base'!$I$15="AUTOMATE",IF(A51&lt;&gt;"",C51,""),""))</f>
        <v/>
      </c>
      <c r="AM51" s="103">
        <v>8</v>
      </c>
      <c r="AN51" s="103" t="s">
        <v>2261</v>
      </c>
      <c r="AO51" s="103" t="str">
        <f>IF('Customer Base'!$I$15="MANUAL",IFERROR(AM51*B51,""),IF('Customer Base'!$I$15="AUTOMATE",IFERROR(AM51*A51,""),""))</f>
        <v/>
      </c>
      <c r="AQ51" s="103">
        <v>48</v>
      </c>
      <c r="AR51" s="103" t="s">
        <v>2264</v>
      </c>
      <c r="AS51" s="103">
        <v>1</v>
      </c>
      <c r="AT51" s="103" t="str">
        <f t="shared" si="9"/>
        <v/>
      </c>
      <c r="AV51" s="103" t="str">
        <f t="shared" si="8"/>
        <v/>
      </c>
      <c r="AW51" s="103">
        <v>110</v>
      </c>
    </row>
    <row r="52" spans="1:52">
      <c r="A52" s="103" t="str">
        <f>IF(AND('Customer Base'!D$8=48,'Customer Base'!D$13="Victron",'Customer Base'!E$13="Multiplus",'Customer Base'!D$14&gt;8,'Customer Base'!D$14&lt;=10),'Customer Base'!D$15,IF(AND('Customer Base'!D$7="Mini-Grid",'Customer Base'!D$8=48,'Customer Base'!F$13="Victron",'Customer Base'!F$14&gt;8,'Customer Base'!F$14&lt;=10),'Customer Base'!F$15,""))</f>
        <v/>
      </c>
      <c r="B52" s="270" t="s">
        <v>1</v>
      </c>
      <c r="C52" s="237" t="s">
        <v>2715</v>
      </c>
      <c r="D52" s="267">
        <v>1945.97</v>
      </c>
      <c r="E52" s="267">
        <v>1832.836</v>
      </c>
      <c r="F52" s="238">
        <f t="shared" si="10"/>
        <v>1596.3658736669399</v>
      </c>
      <c r="G52" s="238">
        <f>IFERROR(ROUNDUP(F52*'Customer Base'!$J$5,2),0)</f>
        <v>26659.32</v>
      </c>
      <c r="H52" s="238">
        <f t="shared" si="11"/>
        <v>1503.5570139458571</v>
      </c>
      <c r="I52" s="238">
        <f>IFERROR(ROUNDUP(H52*'Customer Base'!$J$5,2),0)</f>
        <v>25109.41</v>
      </c>
      <c r="L52" s="103" t="str">
        <f t="shared" si="7"/>
        <v/>
      </c>
      <c r="N52" s="103">
        <v>48</v>
      </c>
      <c r="O52" s="103" t="str">
        <f>IF('Customer Base'!$I$15="MANUAL",IF(B52&lt;&gt;"",C52,""),IF('Customer Base'!$I$15="AUTOMATE",IF(A52&lt;&gt;"",C52,""),""))</f>
        <v/>
      </c>
      <c r="AM52" s="103">
        <v>10</v>
      </c>
      <c r="AN52" s="103" t="s">
        <v>2262</v>
      </c>
      <c r="AO52" s="103" t="str">
        <f>IF('Customer Base'!$I$15="MANUAL",IFERROR(AM52*B52,""),IF('Customer Base'!$I$15="AUTOMATE",IFERROR(AM52*A52,""),""))</f>
        <v/>
      </c>
      <c r="AQ52" s="103">
        <v>48</v>
      </c>
      <c r="AR52" s="103" t="s">
        <v>2264</v>
      </c>
      <c r="AS52" s="103">
        <v>1</v>
      </c>
      <c r="AT52" s="103" t="str">
        <f t="shared" si="9"/>
        <v/>
      </c>
      <c r="AV52" s="103" t="str">
        <f t="shared" si="8"/>
        <v/>
      </c>
      <c r="AW52" s="103">
        <v>140</v>
      </c>
    </row>
    <row r="53" spans="1:52">
      <c r="A53" s="103" t="str">
        <f>IF(AND('Customer Base'!D$8=48,'Customer Base'!D$13="Victron",'Customer Base'!E$13="Multiplus",'Customer Base'!D$14&gt;10,'Customer Base'!D$14&lt;=15),'Customer Base'!D$15,IF(AND('Customer Base'!D$7="Mini-Grid",'Customer Base'!D$8=48,'Customer Base'!F$13="Victron",'Customer Base'!F$14&gt;10,'Customer Base'!F$14&lt;=15),'Customer Base'!F$15,""))</f>
        <v/>
      </c>
      <c r="B53" s="270" t="s">
        <v>1</v>
      </c>
      <c r="C53" s="237" t="s">
        <v>2716</v>
      </c>
      <c r="D53" s="267">
        <v>2716.22</v>
      </c>
      <c r="E53" s="267">
        <v>2558.3040000000001</v>
      </c>
      <c r="F53" s="238">
        <f t="shared" si="10"/>
        <v>2228.236259228876</v>
      </c>
      <c r="G53" s="238">
        <f>IFERROR(ROUNDUP(F53*'Customer Base'!$J$5,2),0)</f>
        <v>37211.550000000003</v>
      </c>
      <c r="H53" s="238">
        <f t="shared" si="11"/>
        <v>2098.6907301066449</v>
      </c>
      <c r="I53" s="238">
        <f>IFERROR(ROUNDUP(H53*'Customer Base'!$J$5,2),0)</f>
        <v>35048.14</v>
      </c>
      <c r="L53" s="103" t="str">
        <f t="shared" si="7"/>
        <v/>
      </c>
      <c r="N53" s="103">
        <v>49</v>
      </c>
      <c r="O53" s="103" t="str">
        <f>IF('Customer Base'!$I$15="MANUAL",IF(B53&lt;&gt;"",C53,""),IF('Customer Base'!$I$15="AUTOMATE",IF(A53&lt;&gt;"",C53,""),""))</f>
        <v/>
      </c>
      <c r="AM53" s="103">
        <v>15</v>
      </c>
      <c r="AN53" s="103" t="s">
        <v>2263</v>
      </c>
      <c r="AO53" s="103" t="str">
        <f>IF('Customer Base'!$I$15="MANUAL",IFERROR(AM53*B53,""),IF('Customer Base'!$I$15="AUTOMATE",IFERROR(AM53*A53,""),""))</f>
        <v/>
      </c>
      <c r="AQ53" s="103">
        <v>48</v>
      </c>
      <c r="AR53" s="103" t="s">
        <v>2264</v>
      </c>
      <c r="AS53" s="103">
        <v>1</v>
      </c>
      <c r="AT53" s="103" t="str">
        <f t="shared" si="9"/>
        <v/>
      </c>
      <c r="AV53" s="103" t="str">
        <f t="shared" si="8"/>
        <v/>
      </c>
      <c r="AW53" s="103">
        <v>200</v>
      </c>
    </row>
    <row r="54" spans="1:52">
      <c r="C54" s="237" t="s">
        <v>906</v>
      </c>
      <c r="D54" s="267">
        <v>674.55</v>
      </c>
      <c r="E54" s="267">
        <v>635.33199999999999</v>
      </c>
      <c r="F54" s="238">
        <f>$D54/1.219</f>
        <v>553.36341263330587</v>
      </c>
      <c r="G54" s="238">
        <f>IFERROR(ROUNDUP(F54*'Customer Base'!$J$5,2),0)</f>
        <v>9241.17</v>
      </c>
      <c r="H54" s="238">
        <f>$E54/1.219</f>
        <v>521.19114027891715</v>
      </c>
      <c r="I54" s="238">
        <f>IFERROR(ROUNDUP(H54*'Customer Base'!$J$5,2),0)</f>
        <v>8703.9</v>
      </c>
      <c r="J54" s="103" t="str">
        <f t="shared" ref="J54:J85" si="12">IF(D54&lt;&gt;"",IF(D54&lt;E54,"lkdfjk",""),"")</f>
        <v/>
      </c>
      <c r="L54" s="103" t="str">
        <f t="shared" si="7"/>
        <v/>
      </c>
      <c r="N54" s="103">
        <v>51</v>
      </c>
      <c r="O54" s="103" t="str">
        <f>IF('Customer Base'!$I$15="MANUAL",IF(B54&lt;&gt;"",C54,""),IF('Customer Base'!$I$15="AUTOMATE",IF(A54&lt;&gt;"",C54,""),""))</f>
        <v/>
      </c>
      <c r="AM54" s="103">
        <v>3</v>
      </c>
      <c r="AN54" s="103" t="s">
        <v>2258</v>
      </c>
      <c r="AO54" s="103">
        <f>IF('Customer Base'!$I$15="MANUAL",IFERROR(AM54*B54,""),IF('Customer Base'!$I$15="AUTOMATE",IFERROR(AM54*A54,""),""))</f>
        <v>0</v>
      </c>
      <c r="AQ54" s="103">
        <v>48</v>
      </c>
      <c r="AR54" s="103" t="s">
        <v>2265</v>
      </c>
      <c r="AS54" s="103">
        <v>1</v>
      </c>
      <c r="AT54" s="103" t="str">
        <f t="shared" si="9"/>
        <v/>
      </c>
      <c r="AV54" s="103" t="str">
        <f>IF(AU54&lt;&gt;"",AU54,AT54)</f>
        <v/>
      </c>
      <c r="AW54" s="103">
        <v>35</v>
      </c>
    </row>
    <row r="55" spans="1:52">
      <c r="C55" s="237" t="s">
        <v>909</v>
      </c>
      <c r="D55" s="267">
        <v>1038.45</v>
      </c>
      <c r="E55" s="267">
        <v>978.07500000000005</v>
      </c>
      <c r="F55" s="238">
        <f>$D55/1.219</f>
        <v>851.88679245283015</v>
      </c>
      <c r="G55" s="238">
        <f>IFERROR(ROUNDUP(F55*'Customer Base'!$J$5,2),0)</f>
        <v>14226.51</v>
      </c>
      <c r="H55" s="238">
        <f>$E55/1.219</f>
        <v>802.35849056603774</v>
      </c>
      <c r="I55" s="238">
        <f>IFERROR(ROUNDUP(H55*'Customer Base'!$J$5,2),0)</f>
        <v>13399.39</v>
      </c>
      <c r="J55" s="103" t="str">
        <f t="shared" si="12"/>
        <v/>
      </c>
      <c r="L55" s="103" t="str">
        <f t="shared" si="7"/>
        <v/>
      </c>
      <c r="N55" s="103">
        <v>52</v>
      </c>
      <c r="O55" s="103" t="str">
        <f>IF('Customer Base'!$I$15="MANUAL",IF(B55&lt;&gt;"",C55,""),IF('Customer Base'!$I$15="AUTOMATE",IF(A55&lt;&gt;"",C55,""),""))</f>
        <v/>
      </c>
      <c r="AM55" s="103">
        <v>5</v>
      </c>
      <c r="AN55" s="103" t="s">
        <v>2259</v>
      </c>
      <c r="AO55" s="103">
        <f>IF('Customer Base'!$I$15="MANUAL",IFERROR(AM55*B55,""),IF('Customer Base'!$I$15="AUTOMATE",IFERROR(AM55*A55,""),""))</f>
        <v>0</v>
      </c>
      <c r="AQ55" s="103">
        <v>48</v>
      </c>
      <c r="AR55" s="103" t="s">
        <v>2265</v>
      </c>
      <c r="AS55" s="103">
        <v>1</v>
      </c>
      <c r="AT55" s="103" t="str">
        <f t="shared" si="9"/>
        <v/>
      </c>
      <c r="AV55" s="103" t="str">
        <f>IF(AU55&lt;&gt;"",AU55,AT55)</f>
        <v/>
      </c>
      <c r="AW55" s="103">
        <v>70</v>
      </c>
    </row>
    <row r="56" spans="1:52">
      <c r="C56" s="226"/>
      <c r="D56" s="319"/>
      <c r="E56" s="319"/>
      <c r="F56" s="224">
        <f>$D56/1.219</f>
        <v>0</v>
      </c>
      <c r="G56" s="224">
        <f>IFERROR(ROUNDUP(F56*'Customer Base'!$J$5,2),0)</f>
        <v>0</v>
      </c>
      <c r="H56" s="224">
        <f>$E56/1.219</f>
        <v>0</v>
      </c>
      <c r="I56" s="224">
        <f>IFERROR(ROUNDUP(H56*'Customer Base'!$J$5,2),0)</f>
        <v>0</v>
      </c>
      <c r="J56" s="103" t="str">
        <f t="shared" si="12"/>
        <v/>
      </c>
      <c r="L56" s="103" t="str">
        <f t="shared" si="7"/>
        <v/>
      </c>
      <c r="N56" s="103">
        <v>53</v>
      </c>
      <c r="O56" s="103" t="str">
        <f>IF('Customer Base'!$I$15="MANUAL",IF(B56&lt;&gt;"",C56,""),IF('Customer Base'!$I$15="AUTOMATE",IF(A56&lt;&gt;"",C56,""),""))</f>
        <v/>
      </c>
      <c r="AO56" s="103">
        <f>IF('Customer Base'!$I$15="MANUAL",IFERROR(AM56*B56,""),IF('Customer Base'!$I$15="AUTOMATE",IFERROR(AM56*A56,""),""))</f>
        <v>0</v>
      </c>
      <c r="AT56" s="103" t="str">
        <f t="shared" si="9"/>
        <v/>
      </c>
      <c r="AV56" s="103" t="str">
        <f>IF(AU56&lt;&gt;"",AU56,AT56)</f>
        <v/>
      </c>
    </row>
    <row r="57" spans="1:52">
      <c r="A57" s="103" t="str">
        <f>IF(AND('Customer Base'!D$8=48,'Customer Base'!D$13="Victron",'Customer Base'!E$13="Quattro",'Customer Base'!D$14=5),'Customer Base'!D$15,IF(AND('Customer Base'!D$7="Mini-Grid",'Customer Base'!D$8=48,'Customer Base'!F$13="Victron",'Customer Base'!F$14=5),'Customer Base'!F$15,""))</f>
        <v/>
      </c>
      <c r="B57" s="270" t="s">
        <v>1</v>
      </c>
      <c r="C57" s="243" t="s">
        <v>910</v>
      </c>
      <c r="D57" s="267">
        <v>1672.37</v>
      </c>
      <c r="E57" s="267">
        <v>1575.126</v>
      </c>
      <c r="F57" s="238">
        <f t="shared" si="10"/>
        <v>1371.9196062346184</v>
      </c>
      <c r="G57" s="238">
        <f>IFERROR(ROUNDUP(F57*'Customer Base'!$J$5,2),0)</f>
        <v>22911.059999999998</v>
      </c>
      <c r="H57" s="238">
        <f t="shared" si="11"/>
        <v>1292.1460213289581</v>
      </c>
      <c r="I57" s="238">
        <f>IFERROR(ROUNDUP(H57*'Customer Base'!$J$5,2),0)</f>
        <v>21578.84</v>
      </c>
      <c r="J57" s="103" t="str">
        <f t="shared" si="12"/>
        <v/>
      </c>
      <c r="L57" s="103" t="str">
        <f t="shared" si="7"/>
        <v/>
      </c>
      <c r="N57" s="103">
        <v>54</v>
      </c>
      <c r="O57" s="103" t="str">
        <f>IF('Customer Base'!$I$15="MANUAL",IF(B57&lt;&gt;"",C57,""),IF('Customer Base'!$I$15="AUTOMATE",IF(A57&lt;&gt;"",C57,""),""))</f>
        <v/>
      </c>
      <c r="AM57" s="103">
        <v>5</v>
      </c>
      <c r="AN57" s="103" t="s">
        <v>2259</v>
      </c>
      <c r="AO57" s="103" t="str">
        <f>IF('Customer Base'!$I$15="MANUAL",IFERROR(AM57*B57,""),IF('Customer Base'!$I$15="AUTOMATE",IFERROR(AM57*A57,""),""))</f>
        <v/>
      </c>
      <c r="AQ57" s="103">
        <v>48</v>
      </c>
      <c r="AR57" s="103" t="s">
        <v>2203</v>
      </c>
      <c r="AS57" s="103">
        <v>1</v>
      </c>
      <c r="AT57" s="103" t="str">
        <f t="shared" si="9"/>
        <v/>
      </c>
      <c r="AV57" s="103" t="str">
        <f t="shared" si="8"/>
        <v/>
      </c>
      <c r="AW57" s="103">
        <v>70</v>
      </c>
    </row>
    <row r="58" spans="1:52">
      <c r="A58" s="103" t="str">
        <f>IF(AND('Customer Base'!D$8=48,'Customer Base'!D$13="Victron",'Customer Base'!E$13="Quattro",'Customer Base'!D$14&gt;5,'Customer Base'!D$14&lt;=8),'Customer Base'!D$15,IF(AND('Customer Base'!D$7="Mini-Grid",'Customer Base'!D$8=48,'Customer Base'!F$13="Victron",'Customer Base'!F$14&gt;5,'Customer Base'!F$14&lt;=8),'Customer Base'!F$15,""))</f>
        <v/>
      </c>
      <c r="B58" s="270" t="s">
        <v>1</v>
      </c>
      <c r="C58" s="243" t="s">
        <v>911</v>
      </c>
      <c r="D58" s="267">
        <v>2207.83</v>
      </c>
      <c r="E58" s="267">
        <v>2079.4639999999999</v>
      </c>
      <c r="F58" s="238">
        <f t="shared" si="10"/>
        <v>1811.1812961443804</v>
      </c>
      <c r="G58" s="238">
        <f>IFERROR(ROUNDUP(F58*'Customer Base'!$J$5,2),0)</f>
        <v>30246.73</v>
      </c>
      <c r="H58" s="238">
        <f t="shared" si="11"/>
        <v>1705.8769483182934</v>
      </c>
      <c r="I58" s="238">
        <f>IFERROR(ROUNDUP(H58*'Customer Base'!$J$5,2),0)</f>
        <v>28488.149999999998</v>
      </c>
      <c r="J58" s="103" t="str">
        <f t="shared" si="12"/>
        <v/>
      </c>
      <c r="L58" s="103" t="str">
        <f t="shared" si="7"/>
        <v/>
      </c>
      <c r="N58" s="103">
        <v>55</v>
      </c>
      <c r="O58" s="103" t="str">
        <f>IF('Customer Base'!$I$15="MANUAL",IF(B58&lt;&gt;"",C58,""),IF('Customer Base'!$I$15="AUTOMATE",IF(A58&lt;&gt;"",C58,""),""))</f>
        <v/>
      </c>
      <c r="AM58" s="103">
        <v>8</v>
      </c>
      <c r="AN58" s="103" t="s">
        <v>2261</v>
      </c>
      <c r="AO58" s="103" t="str">
        <f>IF('Customer Base'!$I$15="MANUAL",IFERROR(AM58*B58,""),IF('Customer Base'!$I$15="AUTOMATE",IFERROR(AM58*A58,""),""))</f>
        <v/>
      </c>
      <c r="AQ58" s="103">
        <v>48</v>
      </c>
      <c r="AR58" s="103" t="s">
        <v>2203</v>
      </c>
      <c r="AS58" s="103">
        <v>1</v>
      </c>
      <c r="AT58" s="103" t="str">
        <f t="shared" si="9"/>
        <v/>
      </c>
      <c r="AV58" s="103" t="str">
        <f t="shared" si="8"/>
        <v/>
      </c>
      <c r="AW58" s="103">
        <v>110</v>
      </c>
    </row>
    <row r="59" spans="1:52">
      <c r="A59" s="103" t="str">
        <f>IF(AND('Customer Base'!D$8=48,'Customer Base'!D$13="Victron",'Customer Base'!E$13="Quattro",'Customer Base'!D$14&gt;8,'Customer Base'!D$14&lt;=10),'Customer Base'!D$15,IF(AND('Customer Base'!D$7="Mini-Grid",'Customer Base'!D$8=48,'Customer Base'!F$13="Victron",'Customer Base'!F$14&gt;8,'Customer Base'!F$14&lt;=10),'Customer Base'!F$15,""))</f>
        <v/>
      </c>
      <c r="B59" s="270" t="s">
        <v>1</v>
      </c>
      <c r="C59" s="243" t="s">
        <v>912</v>
      </c>
      <c r="D59" s="267">
        <v>2637.65</v>
      </c>
      <c r="E59" s="267">
        <v>2484.3020000000001</v>
      </c>
      <c r="F59" s="238">
        <f t="shared" si="10"/>
        <v>2163.7817883511075</v>
      </c>
      <c r="G59" s="238">
        <f>IFERROR(ROUNDUP(F59*'Customer Base'!$J$5,2),0)</f>
        <v>36135.160000000003</v>
      </c>
      <c r="H59" s="238">
        <f t="shared" si="11"/>
        <v>2037.9835931091059</v>
      </c>
      <c r="I59" s="238">
        <f>IFERROR(ROUNDUP(H59*'Customer Base'!$J$5,2),0)</f>
        <v>34034.33</v>
      </c>
      <c r="J59" s="103" t="str">
        <f t="shared" si="12"/>
        <v/>
      </c>
      <c r="L59" s="103" t="str">
        <f t="shared" si="7"/>
        <v/>
      </c>
      <c r="N59" s="103">
        <v>56</v>
      </c>
      <c r="O59" s="103" t="str">
        <f>IF('Customer Base'!$I$15="MANUAL",IF(B59&lt;&gt;"",C59,""),IF('Customer Base'!$I$15="AUTOMATE",IF(A59&lt;&gt;"",C59,""),""))</f>
        <v/>
      </c>
      <c r="AM59" s="103">
        <v>10</v>
      </c>
      <c r="AN59" s="103" t="s">
        <v>2262</v>
      </c>
      <c r="AO59" s="103" t="str">
        <f>IF('Customer Base'!$I$15="MANUAL",IFERROR(AM59*B59,""),IF('Customer Base'!$I$15="AUTOMATE",IFERROR(AM59*A59,""),""))</f>
        <v/>
      </c>
      <c r="AQ59" s="103">
        <v>48</v>
      </c>
      <c r="AR59" s="103" t="s">
        <v>2203</v>
      </c>
      <c r="AS59" s="103">
        <v>1</v>
      </c>
      <c r="AT59" s="103" t="str">
        <f t="shared" si="9"/>
        <v/>
      </c>
      <c r="AV59" s="103" t="str">
        <f t="shared" si="8"/>
        <v/>
      </c>
      <c r="AW59" s="103">
        <v>140</v>
      </c>
    </row>
    <row r="60" spans="1:52">
      <c r="A60" s="103" t="str">
        <f>IF(AND('Customer Base'!D$8=48,'Customer Base'!D$13="Victron",'Customer Base'!E$13="Quattro",'Customer Base'!D$14&gt;10,'Customer Base'!D$14&lt;=15),'Customer Base'!D$15,IF(AND('Customer Base'!D$7="Mini-Grid",'Customer Base'!D$8=48,'Customer Base'!F$13="Victron",'Customer Base'!F$14&gt;10,'Customer Base'!F$14&lt;=15),'Customer Base'!F$15,""))</f>
        <v/>
      </c>
      <c r="B60" s="270" t="s">
        <v>1</v>
      </c>
      <c r="C60" s="243" t="s">
        <v>913</v>
      </c>
      <c r="D60" s="267">
        <v>3464.8</v>
      </c>
      <c r="E60" s="267">
        <v>3263.36</v>
      </c>
      <c r="F60" s="238">
        <f t="shared" si="10"/>
        <v>2842.3297785069731</v>
      </c>
      <c r="G60" s="238">
        <f>IFERROR(ROUNDUP(F60*'Customer Base'!$J$5,2),0)</f>
        <v>47466.91</v>
      </c>
      <c r="H60" s="238">
        <f t="shared" si="11"/>
        <v>2677.0795734208368</v>
      </c>
      <c r="I60" s="238">
        <f>IFERROR(ROUNDUP(H60*'Customer Base'!$J$5,2),0)</f>
        <v>44707.23</v>
      </c>
      <c r="J60" s="103" t="str">
        <f t="shared" si="12"/>
        <v/>
      </c>
      <c r="L60" s="103" t="str">
        <f t="shared" si="7"/>
        <v/>
      </c>
      <c r="N60" s="103">
        <v>57</v>
      </c>
      <c r="O60" s="103" t="str">
        <f>IF('Customer Base'!$I$15="MANUAL",IF(B60&lt;&gt;"",C60,""),IF('Customer Base'!$I$15="AUTOMATE",IF(A60&lt;&gt;"",C60,""),""))</f>
        <v/>
      </c>
      <c r="AM60" s="103">
        <v>15</v>
      </c>
      <c r="AN60" s="103" t="s">
        <v>2263</v>
      </c>
      <c r="AO60" s="103" t="str">
        <f>IF('Customer Base'!$I$15="MANUAL",IFERROR(AM60*B60,""),IF('Customer Base'!$I$15="AUTOMATE",IFERROR(AM60*A60,""),""))</f>
        <v/>
      </c>
      <c r="AQ60" s="103">
        <v>48</v>
      </c>
      <c r="AR60" s="103" t="s">
        <v>2203</v>
      </c>
      <c r="AS60" s="103">
        <v>1</v>
      </c>
      <c r="AT60" s="103" t="str">
        <f t="shared" si="9"/>
        <v/>
      </c>
      <c r="AV60" s="103" t="str">
        <f t="shared" si="8"/>
        <v/>
      </c>
      <c r="AW60" s="103">
        <v>200</v>
      </c>
    </row>
    <row r="61" spans="1:52">
      <c r="C61" s="226"/>
      <c r="D61" s="319"/>
      <c r="E61" s="319"/>
      <c r="F61" s="224">
        <f t="shared" si="10"/>
        <v>0</v>
      </c>
      <c r="G61" s="224">
        <f>IFERROR(ROUNDUP(F61*'Customer Base'!$J$5,2),0)</f>
        <v>0</v>
      </c>
      <c r="H61" s="224">
        <f t="shared" si="11"/>
        <v>0</v>
      </c>
      <c r="I61" s="224">
        <f>IFERROR(ROUNDUP(H61*'Customer Base'!$J$5,2),0)</f>
        <v>0</v>
      </c>
      <c r="J61" s="103" t="str">
        <f t="shared" si="12"/>
        <v/>
      </c>
      <c r="L61" s="103" t="str">
        <f t="shared" si="7"/>
        <v/>
      </c>
      <c r="N61" s="103">
        <v>58</v>
      </c>
      <c r="O61" s="103" t="str">
        <f>IF('Customer Base'!$I$15="MANUAL",IF(B61&lt;&gt;"",C61,""),IF('Customer Base'!$I$15="AUTOMATE",IF(A61&lt;&gt;"",C61,""),""))</f>
        <v/>
      </c>
      <c r="AO61" s="103">
        <f>IF('Customer Base'!$I$15="MANUAL",IFERROR(AM61*B61,""),IF('Customer Base'!$I$15="AUTOMATE",IFERROR(AM61*A61,""),""))</f>
        <v>0</v>
      </c>
      <c r="AT61" s="103" t="str">
        <f t="shared" si="9"/>
        <v/>
      </c>
      <c r="AV61" s="103" t="str">
        <f t="shared" si="8"/>
        <v/>
      </c>
    </row>
    <row r="62" spans="1:52">
      <c r="C62" s="243" t="s">
        <v>2717</v>
      </c>
      <c r="D62" s="267">
        <v>1462.86</v>
      </c>
      <c r="E62" s="267">
        <v>1377.81</v>
      </c>
      <c r="F62" s="238">
        <f t="shared" si="10"/>
        <v>1200.0492206726824</v>
      </c>
      <c r="G62" s="238">
        <f>IFERROR(ROUNDUP(F62*'Customer Base'!$J$5,2),0)</f>
        <v>20040.829999999998</v>
      </c>
      <c r="H62" s="238">
        <f t="shared" si="11"/>
        <v>1130.2789171452009</v>
      </c>
      <c r="I62" s="238">
        <f>IFERROR(ROUNDUP(H62*'Customer Base'!$J$5,2),0)</f>
        <v>18875.66</v>
      </c>
      <c r="J62" s="103" t="str">
        <f t="shared" si="12"/>
        <v/>
      </c>
      <c r="L62" s="103" t="str">
        <f t="shared" si="7"/>
        <v/>
      </c>
      <c r="N62" s="103">
        <v>59</v>
      </c>
      <c r="O62" s="103" t="str">
        <f>IF('Customer Base'!$I$15="MANUAL",IF(B62&lt;&gt;"",C62,""),IF('Customer Base'!$I$15="AUTOMATE",IF(A62&lt;&gt;"",C62,""),""))</f>
        <v/>
      </c>
      <c r="AM62" s="103">
        <v>5</v>
      </c>
      <c r="AN62" s="103" t="s">
        <v>2259</v>
      </c>
      <c r="AO62" s="103">
        <f>IF('Customer Base'!$I$15="MANUAL",IFERROR(AM62*B62,""),IF('Customer Base'!$I$15="AUTOMATE",IFERROR(AM62*A62,""),""))</f>
        <v>0</v>
      </c>
      <c r="AQ62" s="103">
        <v>48</v>
      </c>
      <c r="AR62" s="103" t="s">
        <v>2204</v>
      </c>
      <c r="AS62" s="103">
        <v>1</v>
      </c>
      <c r="AT62" s="103" t="str">
        <f t="shared" si="9"/>
        <v/>
      </c>
      <c r="AV62" s="103" t="str">
        <f t="shared" si="8"/>
        <v/>
      </c>
      <c r="AW62" s="103">
        <v>70</v>
      </c>
    </row>
    <row r="63" spans="1:52">
      <c r="C63" s="226"/>
      <c r="D63" s="319"/>
      <c r="E63" s="319"/>
      <c r="F63" s="224">
        <f t="shared" si="10"/>
        <v>0</v>
      </c>
      <c r="G63" s="224">
        <f>IFERROR(ROUNDUP(F63*'Customer Base'!$J$5,2),0)</f>
        <v>0</v>
      </c>
      <c r="H63" s="224">
        <f t="shared" si="11"/>
        <v>0</v>
      </c>
      <c r="I63" s="224">
        <f>IFERROR(ROUNDUP(H63*'Customer Base'!$J$5,2),0)</f>
        <v>0</v>
      </c>
      <c r="J63" s="103" t="str">
        <f t="shared" si="12"/>
        <v/>
      </c>
      <c r="L63" s="103" t="str">
        <f t="shared" si="7"/>
        <v/>
      </c>
      <c r="N63" s="103">
        <v>60</v>
      </c>
      <c r="O63" s="103" t="str">
        <f>IF('Customer Base'!$I$15="MANUAL",IF(B63&lt;&gt;"",C63,""),IF('Customer Base'!$I$15="AUTOMATE",IF(A63&lt;&gt;"",C63,""),""))</f>
        <v/>
      </c>
      <c r="AO63" s="103">
        <f>IF('Customer Base'!$I$15="MANUAL",IFERROR(AM63*B63,""),IF('Customer Base'!$I$15="AUTOMATE",IFERROR(AM63*A63,""),""))</f>
        <v>0</v>
      </c>
      <c r="AT63" s="103" t="str">
        <f t="shared" si="9"/>
        <v/>
      </c>
      <c r="AV63" s="103" t="str">
        <f t="shared" si="8"/>
        <v/>
      </c>
    </row>
    <row r="64" spans="1:52">
      <c r="C64" s="243" t="s">
        <v>1013</v>
      </c>
      <c r="D64" s="267">
        <v>1342.77</v>
      </c>
      <c r="E64" s="267">
        <v>1264.702</v>
      </c>
      <c r="F64" s="238">
        <f t="shared" si="10"/>
        <v>1101.5340442986053</v>
      </c>
      <c r="G64" s="238">
        <f>IFERROR(ROUNDUP(F64*'Customer Base'!$J$5,2),0)</f>
        <v>18395.62</v>
      </c>
      <c r="H64" s="238">
        <f t="shared" si="11"/>
        <v>1037.4913863822806</v>
      </c>
      <c r="I64" s="238">
        <f>IFERROR(ROUNDUP(H64*'Customer Base'!$J$5,2),0)</f>
        <v>17326.109999999997</v>
      </c>
      <c r="J64" s="103" t="str">
        <f t="shared" si="12"/>
        <v/>
      </c>
      <c r="L64" s="103" t="str">
        <f t="shared" si="7"/>
        <v/>
      </c>
      <c r="N64" s="103">
        <v>61</v>
      </c>
      <c r="O64" s="103" t="str">
        <f>IF('Customer Base'!$I$15="MANUAL",IF(B64&lt;&gt;"",C64,""),IF('Customer Base'!$I$15="AUTOMATE",IF(A64&lt;&gt;"",C64,""),""))</f>
        <v/>
      </c>
      <c r="AM64" s="103">
        <v>3</v>
      </c>
      <c r="AN64" s="103" t="s">
        <v>2254</v>
      </c>
      <c r="AO64" s="103">
        <f>IF('Customer Base'!$I$15="MANUAL",IFERROR(AM64*B64,""),IF('Customer Base'!$I$15="AUTOMATE",IFERROR(AM64*A64,""),""))</f>
        <v>0</v>
      </c>
      <c r="AQ64" s="103">
        <v>24</v>
      </c>
      <c r="AR64" s="103" t="s">
        <v>2266</v>
      </c>
      <c r="AS64" s="103">
        <v>1</v>
      </c>
      <c r="AT64" s="103" t="str">
        <f t="shared" si="9"/>
        <v/>
      </c>
      <c r="AV64" s="103" t="str">
        <f t="shared" si="8"/>
        <v/>
      </c>
      <c r="AW64" s="103">
        <v>70</v>
      </c>
    </row>
    <row r="65" spans="1:49">
      <c r="C65" s="243" t="s">
        <v>914</v>
      </c>
      <c r="D65" s="267">
        <v>1342.77</v>
      </c>
      <c r="E65" s="267">
        <v>1264.702</v>
      </c>
      <c r="F65" s="238">
        <f t="shared" si="10"/>
        <v>1101.5340442986053</v>
      </c>
      <c r="G65" s="238">
        <f>IFERROR(ROUNDUP(F65*'Customer Base'!$J$5,2),0)</f>
        <v>18395.62</v>
      </c>
      <c r="H65" s="238">
        <f t="shared" si="11"/>
        <v>1037.4913863822806</v>
      </c>
      <c r="I65" s="238">
        <f>IFERROR(ROUNDUP(H65*'Customer Base'!$J$5,2),0)</f>
        <v>17326.109999999997</v>
      </c>
      <c r="J65" s="103" t="str">
        <f t="shared" si="12"/>
        <v/>
      </c>
      <c r="L65" s="103" t="str">
        <f t="shared" si="7"/>
        <v/>
      </c>
      <c r="N65" s="103">
        <v>62</v>
      </c>
      <c r="O65" s="103" t="str">
        <f>IF('Customer Base'!$I$15="MANUAL",IF(B65&lt;&gt;"",C65,""),IF('Customer Base'!$I$15="AUTOMATE",IF(A65&lt;&gt;"",C65,""),""))</f>
        <v/>
      </c>
      <c r="AM65" s="103">
        <v>3</v>
      </c>
      <c r="AN65" s="103" t="s">
        <v>2258</v>
      </c>
      <c r="AO65" s="103">
        <f>IF('Customer Base'!$I$15="MANUAL",IFERROR(AM65*B65,""),IF('Customer Base'!$I$15="AUTOMATE",IFERROR(AM65*A65,""),""))</f>
        <v>0</v>
      </c>
      <c r="AQ65" s="103">
        <v>48</v>
      </c>
      <c r="AR65" s="103" t="s">
        <v>2266</v>
      </c>
      <c r="AS65" s="103">
        <v>1</v>
      </c>
      <c r="AT65" s="103" t="str">
        <f t="shared" si="9"/>
        <v/>
      </c>
      <c r="AV65" s="103" t="str">
        <f t="shared" si="8"/>
        <v/>
      </c>
      <c r="AW65" s="103">
        <v>35</v>
      </c>
    </row>
    <row r="66" spans="1:49">
      <c r="C66" s="243" t="s">
        <v>1014</v>
      </c>
      <c r="D66" s="267">
        <v>1893.58</v>
      </c>
      <c r="E66" s="267">
        <v>1783.49</v>
      </c>
      <c r="F66" s="238">
        <f t="shared" si="10"/>
        <v>1553.3880229696472</v>
      </c>
      <c r="G66" s="238">
        <f>IFERROR(ROUNDUP(F66*'Customer Base'!$J$5,2),0)</f>
        <v>25941.579999999998</v>
      </c>
      <c r="H66" s="238">
        <f t="shared" si="11"/>
        <v>1463.0762920426578</v>
      </c>
      <c r="I66" s="238">
        <f>IFERROR(ROUNDUP(H66*'Customer Base'!$J$5,2),0)</f>
        <v>24433.379999999997</v>
      </c>
      <c r="J66" s="103" t="str">
        <f t="shared" si="12"/>
        <v/>
      </c>
      <c r="L66" s="103" t="str">
        <f t="shared" si="7"/>
        <v/>
      </c>
      <c r="N66" s="103">
        <v>63</v>
      </c>
      <c r="O66" s="103" t="str">
        <f>IF('Customer Base'!$I$15="MANUAL",IF(B66&lt;&gt;"",C66,""),IF('Customer Base'!$I$15="AUTOMATE",IF(A66&lt;&gt;"",C66,""),""))</f>
        <v/>
      </c>
      <c r="AM66" s="103">
        <v>5</v>
      </c>
      <c r="AN66" s="103" t="s">
        <v>2259</v>
      </c>
      <c r="AO66" s="103">
        <f>IF('Customer Base'!$I$15="MANUAL",IFERROR(AM66*B66,""),IF('Customer Base'!$I$15="AUTOMATE",IFERROR(AM66*A66,""),""))</f>
        <v>0</v>
      </c>
      <c r="AQ66" s="103">
        <v>48</v>
      </c>
      <c r="AR66" s="103" t="s">
        <v>2266</v>
      </c>
      <c r="AS66" s="103">
        <v>1</v>
      </c>
      <c r="AT66" s="103" t="str">
        <f t="shared" si="9"/>
        <v/>
      </c>
      <c r="AV66" s="103" t="str">
        <f t="shared" si="8"/>
        <v/>
      </c>
      <c r="AW66" s="103">
        <v>70</v>
      </c>
    </row>
    <row r="67" spans="1:49">
      <c r="C67" s="226"/>
      <c r="D67" s="319"/>
      <c r="E67" s="319"/>
      <c r="I67" s="224"/>
      <c r="J67" s="103" t="str">
        <f t="shared" si="12"/>
        <v/>
      </c>
      <c r="L67" s="103" t="str">
        <f t="shared" si="7"/>
        <v/>
      </c>
      <c r="N67" s="103">
        <v>64</v>
      </c>
      <c r="O67" s="103" t="str">
        <f>IF('Customer Base'!$I$15="MANUAL",IF(B67&lt;&gt;"",C67,""),IF('Customer Base'!$I$15="AUTOMATE",IF(A67&lt;&gt;"",C67,""),""))</f>
        <v/>
      </c>
      <c r="AO67" s="103">
        <f>IF('Customer Base'!$I$15="MANUAL",IFERROR(AM67*B67,""),IF('Customer Base'!$I$15="AUTOMATE",IFERROR(AM67*A67,""),""))</f>
        <v>0</v>
      </c>
      <c r="AT67" s="103" t="str">
        <f t="shared" si="9"/>
        <v/>
      </c>
      <c r="AV67" s="103" t="str">
        <f t="shared" si="8"/>
        <v/>
      </c>
    </row>
    <row r="68" spans="1:49">
      <c r="C68" s="246" t="s">
        <v>1886</v>
      </c>
      <c r="D68" s="320"/>
      <c r="E68" s="320"/>
      <c r="F68" s="234"/>
      <c r="G68" s="234"/>
      <c r="H68" s="234"/>
      <c r="I68" s="234"/>
      <c r="J68" s="103" t="str">
        <f t="shared" si="12"/>
        <v/>
      </c>
      <c r="L68" s="103" t="str">
        <f t="shared" si="7"/>
        <v/>
      </c>
      <c r="N68" s="103">
        <v>65</v>
      </c>
      <c r="O68" s="103" t="str">
        <f>IF('Customer Base'!$I$15="MANUAL",IF(B68&lt;&gt;"",C68,""),IF('Customer Base'!$I$15="AUTOMATE",IF(A68&lt;&gt;"",C68,""),""))</f>
        <v/>
      </c>
      <c r="AO68" s="103">
        <f>IF('Customer Base'!$I$15="MANUAL",IFERROR(AM68*B68,""),IF('Customer Base'!$I$15="AUTOMATE",IFERROR(AM68*A68,""),""))</f>
        <v>0</v>
      </c>
      <c r="AT68" s="103" t="str">
        <f t="shared" si="9"/>
        <v/>
      </c>
      <c r="AV68" s="103" t="str">
        <f t="shared" si="8"/>
        <v/>
      </c>
    </row>
    <row r="69" spans="1:49">
      <c r="A69" s="103" t="str">
        <f>IF(AND('Customer Base'!D$9=1,'Customer Base'!D$13="Phocos",'Customer Base'!D$14&gt;0,'Customer Base'!D$14&lt;=3),'Customer Base'!D$15,IF(AND('Customer Base'!D$7="Mini-Grid",'Customer Base'!D$9=1,'Customer Base'!F$13="Phocos",'Customer Base'!F$14&gt;0,'Customer Base'!F$14&lt;=3),'Customer Base'!F$15,""))</f>
        <v/>
      </c>
      <c r="B69" s="270" t="s">
        <v>1</v>
      </c>
      <c r="C69" s="351" t="s">
        <v>1777</v>
      </c>
      <c r="D69" s="332">
        <v>1170.4100000000001</v>
      </c>
      <c r="E69" s="332">
        <v>1102.3610000000001</v>
      </c>
      <c r="F69" s="266">
        <f t="shared" si="10"/>
        <v>960.13945857260046</v>
      </c>
      <c r="G69" s="266">
        <f>IFERROR(ROUNDUP(F69*'Customer Base'!$J$5,2),0)</f>
        <v>16034.33</v>
      </c>
      <c r="H69" s="266">
        <f t="shared" si="11"/>
        <v>904.31583264971289</v>
      </c>
      <c r="I69" s="266">
        <f>IFERROR(ROUNDUP(H69*'Customer Base'!$J$5,2),0)</f>
        <v>15102.08</v>
      </c>
      <c r="J69" s="103" t="str">
        <f t="shared" si="12"/>
        <v/>
      </c>
      <c r="L69" s="103" t="str">
        <f t="shared" si="7"/>
        <v/>
      </c>
      <c r="N69" s="103">
        <v>66</v>
      </c>
      <c r="O69" s="103" t="str">
        <f>IF('Customer Base'!$I$15="MANUAL",IF(B69&lt;&gt;"",C69,""),IF('Customer Base'!$I$15="AUTOMATE",IF(A69&lt;&gt;"",C69,""),""))</f>
        <v/>
      </c>
      <c r="AM69" s="103">
        <v>3</v>
      </c>
      <c r="AN69" s="103" t="s">
        <v>2254</v>
      </c>
      <c r="AO69" s="103" t="str">
        <f>IF('Customer Base'!$I$15="MANUAL",IFERROR(AM69*B69,""),IF('Customer Base'!$I$15="AUTOMATE",IFERROR(AM69*A69,""),""))</f>
        <v/>
      </c>
      <c r="AP69" s="103">
        <v>450</v>
      </c>
      <c r="AQ69" s="103">
        <v>24</v>
      </c>
      <c r="AR69" s="103" t="s">
        <v>2267</v>
      </c>
      <c r="AS69" s="103">
        <v>1</v>
      </c>
      <c r="AT69" s="103" t="str">
        <f t="shared" si="9"/>
        <v/>
      </c>
      <c r="AV69" s="103" t="str">
        <f t="shared" si="8"/>
        <v/>
      </c>
      <c r="AW69" s="103">
        <v>80</v>
      </c>
    </row>
    <row r="70" spans="1:49">
      <c r="A70" s="103" t="str">
        <f>IF(AND('Customer Base'!D$9=1,'Customer Base'!D$13="Phocos",'Customer Base'!D$14&gt;3,'Customer Base'!D$14&lt;=5),'Customer Base'!D$15,IF(AND('Customer Base'!D$7="Mini-Grid",'Customer Base'!D$9=1,'Customer Base'!F$13="Phocos",'Customer Base'!F$14&gt;3,'Customer Base'!F$14&lt;=5),'Customer Base'!F$15,""))</f>
        <v/>
      </c>
      <c r="B70" s="270" t="s">
        <v>1</v>
      </c>
      <c r="C70" s="351" t="s">
        <v>1778</v>
      </c>
      <c r="D70" s="332">
        <v>1204</v>
      </c>
      <c r="E70" s="332">
        <v>1134</v>
      </c>
      <c r="F70" s="266">
        <f t="shared" si="10"/>
        <v>987.69483182936824</v>
      </c>
      <c r="G70" s="266">
        <f>IFERROR(ROUNDUP(F70*'Customer Base'!$J$5,2),0)</f>
        <v>16494.509999999998</v>
      </c>
      <c r="H70" s="266">
        <f t="shared" si="11"/>
        <v>930.27071369975386</v>
      </c>
      <c r="I70" s="266">
        <f>IFERROR(ROUNDUP(H70*'Customer Base'!$J$5,2),0)</f>
        <v>15535.53</v>
      </c>
      <c r="J70" s="103" t="str">
        <f t="shared" si="12"/>
        <v/>
      </c>
      <c r="L70" s="103" t="str">
        <f t="shared" ref="L70:L101" si="13">IF(H70&gt;F70,"lkkajdfkj","")</f>
        <v/>
      </c>
      <c r="N70" s="103">
        <v>67</v>
      </c>
      <c r="O70" s="103" t="str">
        <f>IF('Customer Base'!$I$15="MANUAL",IF(B70&lt;&gt;"",C70,""),IF('Customer Base'!$I$15="AUTOMATE",IF(A70&lt;&gt;"",C70,""),""))</f>
        <v/>
      </c>
      <c r="AM70" s="103">
        <v>5</v>
      </c>
      <c r="AN70" s="103" t="s">
        <v>2259</v>
      </c>
      <c r="AO70" s="103" t="str">
        <f>IF('Customer Base'!$I$15="MANUAL",IFERROR(AM70*B70,""),IF('Customer Base'!$I$15="AUTOMATE",IFERROR(AM70*A70,""),""))</f>
        <v/>
      </c>
      <c r="AP70" s="103">
        <v>450</v>
      </c>
      <c r="AQ70" s="103">
        <v>48</v>
      </c>
      <c r="AR70" s="103" t="s">
        <v>2267</v>
      </c>
      <c r="AS70" s="103">
        <v>1</v>
      </c>
      <c r="AT70" s="103" t="str">
        <f t="shared" si="9"/>
        <v/>
      </c>
      <c r="AV70" s="103" t="str">
        <f t="shared" si="8"/>
        <v/>
      </c>
      <c r="AW70" s="103">
        <v>80</v>
      </c>
    </row>
    <row r="71" spans="1:49">
      <c r="A71" s="103" t="str">
        <f>IF(AND('Customer Base'!D$9=1,'Customer Base'!D$13="Phocos",'Customer Base'!D$14&gt;5,'Customer Base'!D$14&lt;=8),'Customer Base'!D$15,IF(AND('Customer Base'!D$7="Mini-Grid",'Customer Base'!D$9=1,'Customer Base'!F$13="Phocos",'Customer Base'!F$14&gt;5,'Customer Base'!F$14&lt;=8),'Customer Base'!F$15,""))</f>
        <v/>
      </c>
      <c r="B71" s="270" t="s">
        <v>1</v>
      </c>
      <c r="C71" s="351" t="s">
        <v>1780</v>
      </c>
      <c r="D71" s="332">
        <v>1582.4</v>
      </c>
      <c r="E71" s="332">
        <v>1490.4</v>
      </c>
      <c r="F71" s="266">
        <f t="shared" si="10"/>
        <v>1298.1132075471698</v>
      </c>
      <c r="G71" s="266">
        <f>IFERROR(ROUNDUP(F71*'Customer Base'!$J$5,2),0)</f>
        <v>21678.5</v>
      </c>
      <c r="H71" s="266">
        <f t="shared" si="11"/>
        <v>1222.6415094339623</v>
      </c>
      <c r="I71" s="266">
        <f>IFERROR(ROUNDUP(H71*'Customer Base'!$J$5,2),0)</f>
        <v>20418.12</v>
      </c>
      <c r="J71" s="103" t="str">
        <f t="shared" si="12"/>
        <v/>
      </c>
      <c r="L71" s="103" t="str">
        <f t="shared" si="13"/>
        <v/>
      </c>
      <c r="N71" s="103">
        <v>68</v>
      </c>
      <c r="O71" s="103" t="str">
        <f>IF('Customer Base'!$I$15="MANUAL",IF(B71&lt;&gt;"",C71,""),IF('Customer Base'!$I$15="AUTOMATE",IF(A71&lt;&gt;"",C71,""),""))</f>
        <v/>
      </c>
      <c r="AM71" s="103">
        <v>8</v>
      </c>
      <c r="AN71" s="103" t="s">
        <v>2261</v>
      </c>
      <c r="AO71" s="103" t="str">
        <f>IF('Customer Base'!$I$15="MANUAL",IFERROR(AM71*B71,""),IF('Customer Base'!$I$15="AUTOMATE",IFERROR(AM71*A71,""),""))</f>
        <v/>
      </c>
      <c r="AP71" s="103">
        <v>500</v>
      </c>
      <c r="AQ71" s="103">
        <v>48</v>
      </c>
      <c r="AR71" s="103" t="s">
        <v>2267</v>
      </c>
      <c r="AS71" s="103">
        <v>1</v>
      </c>
      <c r="AT71" s="103" t="str">
        <f t="shared" si="9"/>
        <v/>
      </c>
      <c r="AV71" s="103" t="str">
        <f t="shared" si="8"/>
        <v/>
      </c>
      <c r="AW71" s="103">
        <v>120</v>
      </c>
    </row>
    <row r="72" spans="1:49" ht="17">
      <c r="C72" s="352" t="s">
        <v>1779</v>
      </c>
      <c r="D72" s="332">
        <v>757.69</v>
      </c>
      <c r="E72" s="332">
        <v>713.64200000000005</v>
      </c>
      <c r="F72" s="266">
        <f t="shared" si="10"/>
        <v>621.56685808039379</v>
      </c>
      <c r="G72" s="266">
        <f>IFERROR(ROUNDUP(F72*'Customer Base'!$J$5,2),0)</f>
        <v>10380.17</v>
      </c>
      <c r="H72" s="266">
        <f t="shared" si="11"/>
        <v>585.43232157506156</v>
      </c>
      <c r="I72" s="266">
        <f>IFERROR(ROUNDUP(H72*'Customer Base'!$J$5,2),0)</f>
        <v>9776.7199999999993</v>
      </c>
      <c r="J72" s="103" t="str">
        <f t="shared" si="12"/>
        <v/>
      </c>
      <c r="L72" s="103" t="str">
        <f t="shared" si="13"/>
        <v/>
      </c>
      <c r="N72" s="103">
        <v>69</v>
      </c>
      <c r="O72" s="103" t="str">
        <f>IF('Customer Base'!$I$15="MANUAL",IF(B72&lt;&gt;"",C72,""),IF('Customer Base'!$I$15="AUTOMATE",IF(A72&lt;&gt;"",C72,""),""))</f>
        <v/>
      </c>
      <c r="AM72" s="103">
        <v>3</v>
      </c>
      <c r="AN72" s="103" t="s">
        <v>2254</v>
      </c>
      <c r="AO72" s="103">
        <f>IF('Customer Base'!$I$15="MANUAL",IFERROR(AM72*B72,""),IF('Customer Base'!$I$15="AUTOMATE",IFERROR(AM72*A72,""),""))</f>
        <v>0</v>
      </c>
      <c r="AP72" s="103">
        <v>145</v>
      </c>
      <c r="AQ72" s="103">
        <v>24</v>
      </c>
      <c r="AR72" s="103" t="s">
        <v>2268</v>
      </c>
      <c r="AS72" s="103">
        <v>1</v>
      </c>
      <c r="AT72" s="103" t="str">
        <f t="shared" si="9"/>
        <v/>
      </c>
      <c r="AV72" s="103" t="str">
        <f t="shared" si="8"/>
        <v/>
      </c>
      <c r="AW72" s="103">
        <v>60</v>
      </c>
    </row>
    <row r="73" spans="1:49">
      <c r="C73" s="351" t="s">
        <v>1775</v>
      </c>
      <c r="D73" s="332">
        <v>342.28</v>
      </c>
      <c r="E73" s="332">
        <v>322.38</v>
      </c>
      <c r="F73" s="266">
        <f t="shared" si="10"/>
        <v>280.78753076292037</v>
      </c>
      <c r="G73" s="266">
        <f>IFERROR(ROUNDUP(F73*'Customer Base'!$J$5,2),0)</f>
        <v>4689.16</v>
      </c>
      <c r="H73" s="266">
        <f t="shared" si="11"/>
        <v>264.46267432321571</v>
      </c>
      <c r="I73" s="266">
        <f>IFERROR(ROUNDUP(H73*'Customer Base'!$J$5,2),0)</f>
        <v>4416.5300000000007</v>
      </c>
      <c r="J73" s="103" t="str">
        <f t="shared" si="12"/>
        <v/>
      </c>
      <c r="L73" s="103" t="str">
        <f t="shared" si="13"/>
        <v/>
      </c>
      <c r="N73" s="103">
        <v>70</v>
      </c>
      <c r="O73" s="103" t="str">
        <f>IF('Customer Base'!$I$15="MANUAL",IF(B73&lt;&gt;"",C73,""),IF('Customer Base'!$I$15="AUTOMATE",IF(A73&lt;&gt;"",C73,""),""))</f>
        <v/>
      </c>
      <c r="AO73" s="103">
        <f>IF('Customer Base'!$I$15="MANUAL",IFERROR(AM73*B73,""),IF('Customer Base'!$I$15="AUTOMATE",IFERROR(AM73*A73,""),""))</f>
        <v>0</v>
      </c>
      <c r="AT73" s="103" t="str">
        <f t="shared" si="9"/>
        <v/>
      </c>
      <c r="AV73" s="103" t="str">
        <f t="shared" si="8"/>
        <v/>
      </c>
    </row>
    <row r="74" spans="1:49">
      <c r="C74" s="351" t="s">
        <v>1923</v>
      </c>
      <c r="D74" s="332">
        <v>368.15</v>
      </c>
      <c r="E74" s="332">
        <v>318.39999999999998</v>
      </c>
      <c r="F74" s="266">
        <f t="shared" si="10"/>
        <v>302.00984413453648</v>
      </c>
      <c r="G74" s="266">
        <f>IFERROR(ROUNDUP(F74*'Customer Base'!$J$5,2),0)</f>
        <v>5043.5700000000006</v>
      </c>
      <c r="H74" s="266">
        <f t="shared" si="11"/>
        <v>261.1977030352748</v>
      </c>
      <c r="I74" s="266">
        <f>IFERROR(ROUNDUP(H74*'Customer Base'!$J$5,2),0)</f>
        <v>4362.01</v>
      </c>
      <c r="J74" s="103" t="str">
        <f t="shared" si="12"/>
        <v/>
      </c>
      <c r="L74" s="103" t="str">
        <f t="shared" si="13"/>
        <v/>
      </c>
      <c r="N74" s="103">
        <v>71</v>
      </c>
      <c r="O74" s="103" t="str">
        <f>IF('Customer Base'!$I$15="MANUAL",IF(B74&lt;&gt;"",C74,""),IF('Customer Base'!$I$15="AUTOMATE",IF(A74&lt;&gt;"",C74,""),""))</f>
        <v/>
      </c>
      <c r="AO74" s="103">
        <f>IF('Customer Base'!$I$15="MANUAL",IFERROR(AM74*B74,""),IF('Customer Base'!$I$15="AUTOMATE",IFERROR(AM74*A74,""),""))</f>
        <v>0</v>
      </c>
      <c r="AT74" s="103" t="str">
        <f t="shared" si="9"/>
        <v/>
      </c>
      <c r="AV74" s="103" t="str">
        <f t="shared" si="8"/>
        <v/>
      </c>
    </row>
    <row r="75" spans="1:49">
      <c r="C75" s="226"/>
      <c r="D75" s="319"/>
      <c r="E75" s="319"/>
      <c r="I75" s="224"/>
      <c r="J75" s="103" t="str">
        <f t="shared" si="12"/>
        <v/>
      </c>
      <c r="L75" s="103" t="str">
        <f t="shared" si="13"/>
        <v/>
      </c>
      <c r="N75" s="103">
        <v>72</v>
      </c>
      <c r="O75" s="103" t="str">
        <f>IF('Customer Base'!$I$15="MANUAL",IF(B75&lt;&gt;"",C75,""),IF('Customer Base'!$I$15="AUTOMATE",IF(A75&lt;&gt;"",C75,""),""))</f>
        <v/>
      </c>
      <c r="AO75" s="103">
        <f>IF('Customer Base'!$I$15="MANUAL",IFERROR(AM75*B75,""),IF('Customer Base'!$I$15="AUTOMATE",IFERROR(AM75*A75,""),""))</f>
        <v>0</v>
      </c>
      <c r="AT75" s="103" t="str">
        <f t="shared" si="9"/>
        <v/>
      </c>
      <c r="AV75" s="103" t="str">
        <f t="shared" si="8"/>
        <v/>
      </c>
    </row>
    <row r="76" spans="1:49">
      <c r="C76" s="246" t="s">
        <v>1915</v>
      </c>
      <c r="D76" s="320"/>
      <c r="E76" s="320"/>
      <c r="F76" s="234"/>
      <c r="G76" s="234"/>
      <c r="H76" s="234"/>
      <c r="I76" s="234"/>
      <c r="J76" s="103" t="str">
        <f t="shared" si="12"/>
        <v/>
      </c>
      <c r="L76" s="103" t="str">
        <f t="shared" si="13"/>
        <v/>
      </c>
      <c r="N76" s="103">
        <v>73</v>
      </c>
      <c r="O76" s="103" t="str">
        <f>IF('Customer Base'!$I$15="MANUAL",IF(B76&lt;&gt;"",C76,""),IF('Customer Base'!$I$15="AUTOMATE",IF(A76&lt;&gt;"",C76,""),""))</f>
        <v/>
      </c>
      <c r="AO76" s="103">
        <f>IF('Customer Base'!$I$15="MANUAL",IFERROR(AM76*B76,""),IF('Customer Base'!$I$15="AUTOMATE",IFERROR(AM76*A76,""),""))</f>
        <v>0</v>
      </c>
      <c r="AT76" s="103" t="str">
        <f t="shared" si="9"/>
        <v/>
      </c>
      <c r="AV76" s="103" t="str">
        <f t="shared" si="8"/>
        <v/>
      </c>
    </row>
    <row r="77" spans="1:49">
      <c r="A77" s="103" t="str">
        <f>IF(AND('Customer Base'!D$9=1,'Customer Base'!D$13="Deye",'Customer Base'!D$14&gt;0,'Customer Base'!D$14&lt;=3),'Customer Base'!D$15,IF(AND('Customer Base'!D$7="Mini-Grid",'Customer Base'!D$9=1,'Customer Base'!F$13="Deye",'Customer Base'!F$14&gt;0,'Customer Base'!F$14&lt;=3),'Customer Base'!F$15,""))</f>
        <v/>
      </c>
      <c r="B77" s="270" t="s">
        <v>1</v>
      </c>
      <c r="C77" s="262" t="s">
        <v>1916</v>
      </c>
      <c r="D77" s="330">
        <v>1276.5</v>
      </c>
      <c r="E77" s="330">
        <v>1138.5</v>
      </c>
      <c r="F77" s="263">
        <f t="shared" ref="F77:F83" si="14">$D77/1.219</f>
        <v>1047.1698113207547</v>
      </c>
      <c r="G77" s="263">
        <f>IFERROR(ROUNDUP(F77*'Customer Base'!$J$5,2),0)</f>
        <v>17487.739999999998</v>
      </c>
      <c r="H77" s="263">
        <f t="shared" ref="H77:H83" si="15">$E77/1.219</f>
        <v>933.96226415094338</v>
      </c>
      <c r="I77" s="263">
        <f>IFERROR(ROUNDUP(H77*'Customer Base'!$J$5,2),0)</f>
        <v>15597.17</v>
      </c>
      <c r="J77" s="103" t="str">
        <f t="shared" si="12"/>
        <v/>
      </c>
      <c r="L77" s="103" t="str">
        <f t="shared" si="13"/>
        <v/>
      </c>
      <c r="N77" s="103">
        <v>74</v>
      </c>
      <c r="O77" s="103" t="str">
        <f>IF('Customer Base'!$I$15="MANUAL",IF(B77&lt;&gt;"",C77,""),IF('Customer Base'!$I$15="AUTOMATE",IF(A77&lt;&gt;"",C77,""),""))</f>
        <v/>
      </c>
      <c r="AM77" s="103">
        <v>3</v>
      </c>
      <c r="AN77" s="103" t="s">
        <v>2258</v>
      </c>
      <c r="AO77" s="103" t="str">
        <f>IF('Customer Base'!$I$15="MANUAL",IFERROR(AM77*B77,""),IF('Customer Base'!$I$15="AUTOMATE",IFERROR(AM77*A77,""),""))</f>
        <v/>
      </c>
      <c r="AP77" s="103">
        <v>500</v>
      </c>
      <c r="AQ77" s="103">
        <v>48</v>
      </c>
      <c r="AR77" s="103" t="s">
        <v>2206</v>
      </c>
      <c r="AS77" s="103">
        <v>1</v>
      </c>
      <c r="AT77" s="103" t="str">
        <f t="shared" si="9"/>
        <v/>
      </c>
      <c r="AV77" s="103" t="str">
        <f t="shared" si="8"/>
        <v/>
      </c>
      <c r="AW77" s="103">
        <v>70</v>
      </c>
    </row>
    <row r="78" spans="1:49">
      <c r="A78" s="103" t="str">
        <f>IF(AND('Customer Base'!D$9=1,'Customer Base'!D$13="Deye",'Customer Base'!D$14&gt;3,'Customer Base'!D$14&lt;=5),'Customer Base'!D$15,IF(AND('Customer Base'!D$7="Mini-Grid",'Customer Base'!D$9=1,'Customer Base'!F$13="Deye",'Customer Base'!F$14&gt;3,'Customer Base'!F$14&lt;=5),'Customer Base'!F$15,""))</f>
        <v/>
      </c>
      <c r="B78" s="270" t="s">
        <v>1</v>
      </c>
      <c r="C78" s="262" t="s">
        <v>1917</v>
      </c>
      <c r="D78" s="330">
        <v>1554</v>
      </c>
      <c r="E78" s="330">
        <v>1386</v>
      </c>
      <c r="F78" s="263">
        <f t="shared" si="14"/>
        <v>1274.8154224774405</v>
      </c>
      <c r="G78" s="263">
        <f>IFERROR(ROUNDUP(F78*'Customer Base'!$J$5,2),0)</f>
        <v>21289.42</v>
      </c>
      <c r="H78" s="263">
        <f t="shared" si="15"/>
        <v>1136.9975389663657</v>
      </c>
      <c r="I78" s="263">
        <f>IFERROR(ROUNDUP(H78*'Customer Base'!$J$5,2),0)</f>
        <v>18987.859999999997</v>
      </c>
      <c r="J78" s="103" t="str">
        <f t="shared" si="12"/>
        <v/>
      </c>
      <c r="L78" s="103" t="str">
        <f t="shared" si="13"/>
        <v/>
      </c>
      <c r="N78" s="103">
        <v>75</v>
      </c>
      <c r="O78" s="103" t="str">
        <f>IF('Customer Base'!$I$15="MANUAL",IF(B78&lt;&gt;"",C78,""),IF('Customer Base'!$I$15="AUTOMATE",IF(A78&lt;&gt;"",C78,""),""))</f>
        <v/>
      </c>
      <c r="AM78" s="103">
        <v>5</v>
      </c>
      <c r="AN78" s="103" t="s">
        <v>2259</v>
      </c>
      <c r="AO78" s="103" t="str">
        <f>IF('Customer Base'!$I$15="MANUAL",IFERROR(AM78*B78,""),IF('Customer Base'!$I$15="AUTOMATE",IFERROR(AM78*A78,""),""))</f>
        <v/>
      </c>
      <c r="AP78" s="103">
        <v>500</v>
      </c>
      <c r="AQ78" s="103">
        <v>48</v>
      </c>
      <c r="AR78" s="103" t="s">
        <v>2206</v>
      </c>
      <c r="AS78" s="103">
        <v>1</v>
      </c>
      <c r="AT78" s="103" t="str">
        <f t="shared" si="9"/>
        <v/>
      </c>
      <c r="AV78" s="103" t="str">
        <f t="shared" si="8"/>
        <v/>
      </c>
      <c r="AW78" s="103">
        <v>120</v>
      </c>
    </row>
    <row r="79" spans="1:49">
      <c r="A79" s="103" t="str">
        <f>IF(AND('Customer Base'!D$9=1,'Customer Base'!D$13="Deye",'Customer Base'!D$14&gt;5,'Customer Base'!D$14&lt;=6),'Customer Base'!D$15,IF(AND('Customer Base'!D$7="Mini-Grid",'Customer Base'!D$9=1,'Customer Base'!F$13="Deye",'Customer Base'!F$14&gt;5,'Customer Base'!F$14&lt;=6),'Customer Base'!F$15,""))</f>
        <v/>
      </c>
      <c r="B79" s="270" t="s">
        <v>1</v>
      </c>
      <c r="C79" s="262" t="s">
        <v>1918</v>
      </c>
      <c r="D79" s="330">
        <v>1646.5</v>
      </c>
      <c r="E79" s="330">
        <v>1468.5</v>
      </c>
      <c r="F79" s="263">
        <f t="shared" si="14"/>
        <v>1350.6972928630023</v>
      </c>
      <c r="G79" s="263">
        <f>IFERROR(ROUNDUP(F79*'Customer Base'!$J$5,2),0)</f>
        <v>22556.649999999998</v>
      </c>
      <c r="H79" s="263">
        <f t="shared" si="15"/>
        <v>1204.67596390484</v>
      </c>
      <c r="I79" s="263">
        <f>IFERROR(ROUNDUP(H79*'Customer Base'!$J$5,2),0)</f>
        <v>20118.09</v>
      </c>
      <c r="J79" s="103" t="str">
        <f t="shared" si="12"/>
        <v/>
      </c>
      <c r="L79" s="103" t="str">
        <f t="shared" si="13"/>
        <v/>
      </c>
      <c r="N79" s="103">
        <v>76</v>
      </c>
      <c r="O79" s="103" t="str">
        <f>IF('Customer Base'!$I$15="MANUAL",IF(B79&lt;&gt;"",C79,""),IF('Customer Base'!$I$15="AUTOMATE",IF(A79&lt;&gt;"",C79,""),""))</f>
        <v/>
      </c>
      <c r="AM79" s="103">
        <v>6</v>
      </c>
      <c r="AN79" s="103" t="s">
        <v>2260</v>
      </c>
      <c r="AO79" s="103" t="str">
        <f>IF('Customer Base'!$I$15="MANUAL",IFERROR(AM79*B79,""),IF('Customer Base'!$I$15="AUTOMATE",IFERROR(AM79*A79,""),""))</f>
        <v/>
      </c>
      <c r="AP79" s="103">
        <v>500</v>
      </c>
      <c r="AQ79" s="103">
        <v>48</v>
      </c>
      <c r="AR79" s="103" t="s">
        <v>2206</v>
      </c>
      <c r="AS79" s="103">
        <v>1</v>
      </c>
      <c r="AT79" s="103" t="str">
        <f t="shared" si="9"/>
        <v/>
      </c>
      <c r="AV79" s="103" t="str">
        <f t="shared" si="8"/>
        <v/>
      </c>
      <c r="AW79" s="103">
        <v>135</v>
      </c>
    </row>
    <row r="80" spans="1:49">
      <c r="A80" s="103" t="str">
        <f>IF(AND('Customer Base'!D$9=1,'Customer Base'!D$13="Deye",'Customer Base'!D$14&gt;6,'Customer Base'!D$14&lt;=8),'Customer Base'!D$15,IF(AND('Customer Base'!D$7="Mini-Grid",'Customer Base'!D$9=1,'Customer Base'!F$13="Deye",'Customer Base'!F$14&gt;6,'Customer Base'!F$14&lt;=8),'Customer Base'!F$15,""))</f>
        <v/>
      </c>
      <c r="B80" s="270" t="s">
        <v>1</v>
      </c>
      <c r="C80" s="262" t="s">
        <v>1919</v>
      </c>
      <c r="D80" s="330">
        <v>2525.25</v>
      </c>
      <c r="E80" s="330">
        <v>2252.25</v>
      </c>
      <c r="F80" s="263">
        <f t="shared" si="14"/>
        <v>2071.5750615258407</v>
      </c>
      <c r="G80" s="263">
        <f>IFERROR(ROUNDUP(F80*'Customer Base'!$J$5,2),0)</f>
        <v>34595.310000000005</v>
      </c>
      <c r="H80" s="263">
        <f t="shared" si="15"/>
        <v>1847.6210008203443</v>
      </c>
      <c r="I80" s="263">
        <f>IFERROR(ROUNDUP(H80*'Customer Base'!$J$5,2),0)</f>
        <v>30855.279999999999</v>
      </c>
      <c r="J80" s="103" t="str">
        <f t="shared" si="12"/>
        <v/>
      </c>
      <c r="L80" s="103" t="str">
        <f t="shared" si="13"/>
        <v/>
      </c>
      <c r="N80" s="103">
        <v>77</v>
      </c>
      <c r="O80" s="103" t="str">
        <f>IF('Customer Base'!$I$15="MANUAL",IF(B80&lt;&gt;"",C80,""),IF('Customer Base'!$I$15="AUTOMATE",IF(A80&lt;&gt;"",C80,""),""))</f>
        <v/>
      </c>
      <c r="AM80" s="103">
        <v>8</v>
      </c>
      <c r="AN80" s="103" t="s">
        <v>2261</v>
      </c>
      <c r="AO80" s="103" t="str">
        <f>IF('Customer Base'!$I$15="MANUAL",IFERROR(AM80*B80,""),IF('Customer Base'!$I$15="AUTOMATE",IFERROR(AM80*A80,""),""))</f>
        <v/>
      </c>
      <c r="AP80" s="103">
        <v>500</v>
      </c>
      <c r="AQ80" s="103">
        <v>48</v>
      </c>
      <c r="AR80" s="103" t="s">
        <v>2206</v>
      </c>
      <c r="AS80" s="103">
        <v>1</v>
      </c>
      <c r="AT80" s="103" t="str">
        <f t="shared" si="9"/>
        <v/>
      </c>
      <c r="AV80" s="103" t="str">
        <f t="shared" si="8"/>
        <v/>
      </c>
      <c r="AW80" s="103">
        <v>190</v>
      </c>
    </row>
    <row r="81" spans="1:49">
      <c r="A81" s="103" t="str">
        <f>IF(AND('Customer Base'!D$9=1,'Customer Base'!D$13="Deye",'Customer Base'!D$14&gt;8,'Customer Base'!D$14&lt;=16),'Customer Base'!D$15,IF(AND('Customer Base'!D$7="Mini-Grid",'Customer Base'!D$9=1,'Customer Base'!F$13="Deye",'Customer Base'!F$14&gt;8,'Customer Base'!F$14&lt;=16),'Customer Base'!F$15,""))</f>
        <v/>
      </c>
      <c r="B81" s="270" t="s">
        <v>1</v>
      </c>
      <c r="C81" s="262" t="s">
        <v>1920</v>
      </c>
      <c r="D81" s="330">
        <v>4810</v>
      </c>
      <c r="E81" s="330">
        <v>4290</v>
      </c>
      <c r="F81" s="263">
        <f t="shared" si="14"/>
        <v>3945.8572600492203</v>
      </c>
      <c r="G81" s="263">
        <f>IFERROR(ROUNDUP(F81*'Customer Base'!$J$5,2),0)</f>
        <v>65895.819999999992</v>
      </c>
      <c r="H81" s="263">
        <f t="shared" si="15"/>
        <v>3519.2780968006559</v>
      </c>
      <c r="I81" s="263">
        <f>IFERROR(ROUNDUP(H81*'Customer Base'!$J$5,2),0)</f>
        <v>58771.950000000004</v>
      </c>
      <c r="J81" s="103" t="str">
        <f t="shared" si="12"/>
        <v/>
      </c>
      <c r="L81" s="103" t="str">
        <f t="shared" si="13"/>
        <v/>
      </c>
      <c r="N81" s="103">
        <v>78</v>
      </c>
      <c r="O81" s="103" t="str">
        <f>IF('Customer Base'!$I$15="MANUAL",IF(B81&lt;&gt;"",C81,""),IF('Customer Base'!$I$15="AUTOMATE",IF(A81&lt;&gt;"",C81,""),""))</f>
        <v/>
      </c>
      <c r="AM81" s="103">
        <v>16</v>
      </c>
      <c r="AN81" s="103" t="s">
        <v>2269</v>
      </c>
      <c r="AO81" s="103" t="str">
        <f>IF('Customer Base'!$I$15="MANUAL",IFERROR(AM81*B81,""),IF('Customer Base'!$I$15="AUTOMATE",IFERROR(AM81*A81,""),""))</f>
        <v/>
      </c>
      <c r="AP81" s="103">
        <v>500</v>
      </c>
      <c r="AQ81" s="103">
        <v>48</v>
      </c>
      <c r="AR81" s="103" t="s">
        <v>2206</v>
      </c>
      <c r="AS81" s="103">
        <v>1</v>
      </c>
      <c r="AT81" s="103" t="str">
        <f t="shared" si="9"/>
        <v/>
      </c>
      <c r="AV81" s="103" t="str">
        <f t="shared" si="8"/>
        <v/>
      </c>
      <c r="AW81" s="103">
        <v>290</v>
      </c>
    </row>
    <row r="82" spans="1:49">
      <c r="A82" s="103" t="str">
        <f>IF(AND('Customer Base'!D$9=3,'Customer Base'!D$13="Deye",'Customer Base'!D$14&gt;0,'Customer Base'!D$14&lt;=10),'Customer Base'!D$15,IF(AND('Customer Base'!D$7="Mini-Grid",'Customer Base'!D$9=3,'Customer Base'!F$13="Deye",'Customer Base'!F$14&gt;0,'Customer Base'!F$14&lt;=10),'Customer Base'!F$15,""))</f>
        <v/>
      </c>
      <c r="B82" s="270" t="s">
        <v>1</v>
      </c>
      <c r="C82" s="262" t="s">
        <v>1921</v>
      </c>
      <c r="D82" s="330">
        <v>3400.3</v>
      </c>
      <c r="E82" s="330">
        <v>3032.7</v>
      </c>
      <c r="F82" s="263">
        <f t="shared" si="14"/>
        <v>2789.4175553732566</v>
      </c>
      <c r="G82" s="263">
        <f>IFERROR(ROUNDUP(F82*'Customer Base'!$J$5,2),0)</f>
        <v>46583.28</v>
      </c>
      <c r="H82" s="263">
        <f t="shared" si="15"/>
        <v>2487.8589007383098</v>
      </c>
      <c r="I82" s="263">
        <f>IFERROR(ROUNDUP(H82*'Customer Base'!$J$5,2),0)</f>
        <v>41547.25</v>
      </c>
      <c r="J82" s="103" t="str">
        <f t="shared" si="12"/>
        <v/>
      </c>
      <c r="L82" s="103" t="str">
        <f t="shared" si="13"/>
        <v/>
      </c>
      <c r="N82" s="103">
        <v>79</v>
      </c>
      <c r="O82" s="103" t="str">
        <f>IF('Customer Base'!$I$15="MANUAL",IF(B82&lt;&gt;"",C82,""),IF('Customer Base'!$I$15="AUTOMATE",IF(A82&lt;&gt;"",C82,""),""))</f>
        <v/>
      </c>
      <c r="AM82" s="103">
        <v>10</v>
      </c>
      <c r="AN82" s="103" t="s">
        <v>2262</v>
      </c>
      <c r="AO82" s="103" t="str">
        <f>IF('Customer Base'!$I$15="MANUAL",IFERROR(AM82*B82,""),IF('Customer Base'!$I$15="AUTOMATE",IFERROR(AM82*A82,""),""))</f>
        <v/>
      </c>
      <c r="AP82" s="103">
        <v>800</v>
      </c>
      <c r="AQ82" s="103">
        <v>48</v>
      </c>
      <c r="AR82" s="103" t="s">
        <v>2206</v>
      </c>
      <c r="AS82" s="103">
        <v>3</v>
      </c>
      <c r="AT82" s="103" t="str">
        <f t="shared" si="9"/>
        <v/>
      </c>
      <c r="AV82" s="103" t="str">
        <f t="shared" si="8"/>
        <v/>
      </c>
      <c r="AW82" s="103">
        <v>210</v>
      </c>
    </row>
    <row r="83" spans="1:49">
      <c r="A83" s="103" t="str">
        <f>IF(AND('Customer Base'!D$9=3,'Customer Base'!D$13="Deye",'Customer Base'!D$14&gt;10,'Customer Base'!D$14&lt;=12),'Customer Base'!D$15,IF(AND('Customer Base'!D$7="Mini-Grid",'Customer Base'!D$9=3,'Customer Base'!F$13="Deye",'Customer Base'!F$14&gt;10,'Customer Base'!F$14&lt;=12),'Customer Base'!F$15,""))</f>
        <v/>
      </c>
      <c r="B83" s="270" t="s">
        <v>1</v>
      </c>
      <c r="C83" s="262" t="s">
        <v>1922</v>
      </c>
      <c r="D83" s="330">
        <v>3594.55</v>
      </c>
      <c r="E83" s="330">
        <v>3205.95</v>
      </c>
      <c r="F83" s="263">
        <f t="shared" si="14"/>
        <v>2948.7694831829367</v>
      </c>
      <c r="G83" s="263">
        <f>IFERROR(ROUNDUP(F83*'Customer Base'!$J$5,2),0)</f>
        <v>49244.46</v>
      </c>
      <c r="H83" s="263">
        <f t="shared" si="15"/>
        <v>2629.9835931091056</v>
      </c>
      <c r="I83" s="263">
        <f>IFERROR(ROUNDUP(H83*'Customer Base'!$J$5,2),0)</f>
        <v>43920.73</v>
      </c>
      <c r="J83" s="103" t="str">
        <f t="shared" si="12"/>
        <v/>
      </c>
      <c r="L83" s="103" t="str">
        <f t="shared" si="13"/>
        <v/>
      </c>
      <c r="N83" s="103">
        <v>80</v>
      </c>
      <c r="O83" s="103" t="str">
        <f>IF('Customer Base'!$I$15="MANUAL",IF(B83&lt;&gt;"",C83,""),IF('Customer Base'!$I$15="AUTOMATE",IF(A83&lt;&gt;"",C83,""),""))</f>
        <v/>
      </c>
      <c r="AM83" s="103">
        <v>12</v>
      </c>
      <c r="AN83" s="103" t="s">
        <v>2270</v>
      </c>
      <c r="AO83" s="103" t="str">
        <f>IF('Customer Base'!$I$15="MANUAL",IFERROR(AM83*B83,""),IF('Customer Base'!$I$15="AUTOMATE",IFERROR(AM83*A83,""),""))</f>
        <v/>
      </c>
      <c r="AP83" s="103">
        <v>800</v>
      </c>
      <c r="AQ83" s="103">
        <v>48</v>
      </c>
      <c r="AR83" s="103" t="s">
        <v>2206</v>
      </c>
      <c r="AS83" s="103">
        <v>3</v>
      </c>
      <c r="AT83" s="103" t="str">
        <f t="shared" si="9"/>
        <v/>
      </c>
      <c r="AV83" s="103" t="str">
        <f t="shared" si="8"/>
        <v/>
      </c>
      <c r="AW83" s="103">
        <v>240</v>
      </c>
    </row>
    <row r="84" spans="1:49">
      <c r="D84" s="319"/>
      <c r="E84" s="319"/>
      <c r="I84" s="224"/>
      <c r="J84" s="103" t="str">
        <f t="shared" si="12"/>
        <v/>
      </c>
      <c r="L84" s="103" t="str">
        <f t="shared" si="13"/>
        <v/>
      </c>
      <c r="N84" s="103">
        <v>81</v>
      </c>
      <c r="O84" s="103" t="str">
        <f>IF('Customer Base'!$I$15="MANUAL",IF(B84&lt;&gt;"",C84,""),IF('Customer Base'!$I$15="AUTOMATE",IF(A84&lt;&gt;"",C84,""),""))</f>
        <v/>
      </c>
      <c r="AO84" s="103">
        <f>IF('Customer Base'!$I$15="MANUAL",IFERROR(AM84*B84,""),IF('Customer Base'!$I$15="AUTOMATE",IFERROR(AM84*A84,""),""))</f>
        <v>0</v>
      </c>
      <c r="AT84" s="103" t="str">
        <f t="shared" si="9"/>
        <v/>
      </c>
      <c r="AV84" s="103" t="str">
        <f t="shared" si="8"/>
        <v/>
      </c>
    </row>
    <row r="85" spans="1:49">
      <c r="C85" s="232" t="s">
        <v>1945</v>
      </c>
      <c r="D85" s="320"/>
      <c r="E85" s="320"/>
      <c r="F85" s="234"/>
      <c r="G85" s="234"/>
      <c r="H85" s="234"/>
      <c r="I85" s="234"/>
      <c r="J85" s="103" t="str">
        <f t="shared" si="12"/>
        <v/>
      </c>
      <c r="L85" s="103" t="str">
        <f t="shared" si="13"/>
        <v/>
      </c>
      <c r="N85" s="103">
        <v>82</v>
      </c>
      <c r="O85" s="103" t="str">
        <f>IF('Customer Base'!$I$15="MANUAL",IF(B85&lt;&gt;"",C85,""),IF('Customer Base'!$I$15="AUTOMATE",IF(A85&lt;&gt;"",C85,""),""))</f>
        <v/>
      </c>
      <c r="AO85" s="103">
        <f>IF('Customer Base'!$I$15="MANUAL",IFERROR(AM85*B85,""),IF('Customer Base'!$I$15="AUTOMATE",IFERROR(AM85*A85,""),""))</f>
        <v>0</v>
      </c>
      <c r="AT85" s="103" t="str">
        <f t="shared" si="9"/>
        <v/>
      </c>
      <c r="AV85" s="103" t="str">
        <f t="shared" si="8"/>
        <v/>
      </c>
    </row>
    <row r="86" spans="1:49">
      <c r="A86" s="103" t="str">
        <f>IF(AND('Customer Base'!D$9=1,'Customer Base'!D$13="Huawei",'Customer Base'!D$14&gt;0,'Customer Base'!D$14&lt;=2),'Customer Base'!D$15,IF(AND('Customer Base'!D$7="Mini-Grid",'Customer Base'!D$9=1,'Customer Base'!F$13="Huawei",'Customer Base'!F$14&gt;0,'Customer Base'!F$14&lt;=2),'Customer Base'!F$15,""))</f>
        <v/>
      </c>
      <c r="B86" s="270" t="s">
        <v>1</v>
      </c>
      <c r="C86" s="237" t="s">
        <v>2340</v>
      </c>
      <c r="D86" s="267">
        <v>729.28</v>
      </c>
      <c r="E86" s="267">
        <v>686.88</v>
      </c>
      <c r="F86" s="238">
        <f t="shared" ref="F86:F100" si="16">$D86/1.219</f>
        <v>598.26086956521738</v>
      </c>
      <c r="G86" s="238">
        <f>IFERROR(ROUNDUP(F86*'Customer Base'!$J$5,2),0)</f>
        <v>9990.9600000000009</v>
      </c>
      <c r="H86" s="238">
        <f t="shared" ref="H86:H100" si="17">$E86/1.219</f>
        <v>563.47826086956513</v>
      </c>
      <c r="I86" s="238">
        <f>IFERROR(ROUNDUP(H86*'Customer Base'!$J$5,2),0)</f>
        <v>9410.09</v>
      </c>
      <c r="J86" s="103" t="str">
        <f t="shared" ref="J86:J114" si="18">IF(D86&lt;&gt;"",IF(D86&lt;E86,"lkdfjk",""),"")</f>
        <v/>
      </c>
      <c r="L86" s="103" t="str">
        <f t="shared" si="13"/>
        <v/>
      </c>
      <c r="N86" s="103">
        <v>83</v>
      </c>
      <c r="O86" s="103" t="str">
        <f>IF('Customer Base'!$I$15="MANUAL",IF(B86&lt;&gt;"",C86,""),IF('Customer Base'!$I$15="AUTOMATE",IF(A86&lt;&gt;"",C86,""),""))</f>
        <v/>
      </c>
      <c r="AM86" s="103">
        <v>2</v>
      </c>
      <c r="AN86" s="103" t="s">
        <v>2257</v>
      </c>
      <c r="AO86" s="103" t="str">
        <f>IF('Customer Base'!$I$15="MANUAL",IFERROR(AM86*B86,""),IF('Customer Base'!$I$15="AUTOMATE",IFERROR(AM86*A86,""),""))</f>
        <v/>
      </c>
      <c r="AP86" s="103">
        <v>600</v>
      </c>
      <c r="AQ86" s="103">
        <v>48</v>
      </c>
      <c r="AR86" s="103" t="s">
        <v>2207</v>
      </c>
      <c r="AS86" s="103">
        <v>1</v>
      </c>
      <c r="AT86" s="103" t="str">
        <f t="shared" si="9"/>
        <v/>
      </c>
      <c r="AV86" s="103" t="str">
        <f t="shared" si="8"/>
        <v/>
      </c>
    </row>
    <row r="87" spans="1:49">
      <c r="A87" s="103" t="str">
        <f>IF(AND('Customer Base'!D$9=1,'Customer Base'!D$13="Huawei",'Customer Base'!D$14&gt;2,'Customer Base'!D$14&lt;=3),'Customer Base'!D$15,IF(AND('Customer Base'!D$7="Mini-Grid",'Customer Base'!D$9=1,'Customer Base'!F$13="Huawei",'Customer Base'!F$14&gt;2,'Customer Base'!F$14&lt;=3),'Customer Base'!F$15,""))</f>
        <v/>
      </c>
      <c r="B87" s="270" t="s">
        <v>1</v>
      </c>
      <c r="C87" s="237" t="s">
        <v>2341</v>
      </c>
      <c r="D87" s="267">
        <v>846.14</v>
      </c>
      <c r="E87" s="267">
        <v>796.94299999999998</v>
      </c>
      <c r="F87" s="238">
        <f t="shared" si="16"/>
        <v>694.12633305988504</v>
      </c>
      <c r="G87" s="238">
        <f>IFERROR(ROUNDUP(F87*'Customer Base'!$J$5,2),0)</f>
        <v>11591.91</v>
      </c>
      <c r="H87" s="238">
        <f t="shared" si="17"/>
        <v>653.76784249384741</v>
      </c>
      <c r="I87" s="238">
        <f>IFERROR(ROUNDUP(H87*'Customer Base'!$J$5,2),0)</f>
        <v>10917.93</v>
      </c>
      <c r="J87" s="103" t="str">
        <f t="shared" si="18"/>
        <v/>
      </c>
      <c r="L87" s="103" t="str">
        <f t="shared" si="13"/>
        <v/>
      </c>
      <c r="N87" s="103">
        <v>84</v>
      </c>
      <c r="O87" s="103" t="str">
        <f>IF('Customer Base'!$I$15="MANUAL",IF(B87&lt;&gt;"",C87,""),IF('Customer Base'!$I$15="AUTOMATE",IF(A87&lt;&gt;"",C87,""),""))</f>
        <v/>
      </c>
      <c r="AM87" s="103">
        <v>3</v>
      </c>
      <c r="AN87" s="103" t="s">
        <v>2258</v>
      </c>
      <c r="AO87" s="103" t="str">
        <f>IF('Customer Base'!$I$15="MANUAL",IFERROR(AM87*B87,""),IF('Customer Base'!$I$15="AUTOMATE",IFERROR(AM87*A87,""),""))</f>
        <v/>
      </c>
      <c r="AP87" s="103">
        <v>600</v>
      </c>
      <c r="AQ87" s="103">
        <v>48</v>
      </c>
      <c r="AR87" s="103" t="s">
        <v>2207</v>
      </c>
      <c r="AS87" s="103">
        <v>1</v>
      </c>
      <c r="AT87" s="103" t="str">
        <f t="shared" si="9"/>
        <v/>
      </c>
      <c r="AV87" s="103" t="str">
        <f t="shared" si="8"/>
        <v/>
      </c>
    </row>
    <row r="88" spans="1:49">
      <c r="A88" s="103" t="str">
        <f>IF(AND('Customer Base'!D$9=1,'Customer Base'!D$13="Huawei",'Customer Base'!D$14&gt;3,'Customer Base'!D$14&lt;=5),'Customer Base'!D$15,IF(AND('Customer Base'!D$7="Mini-Grid",'Customer Base'!D$9=1,'Customer Base'!F$13="Huawei",'Customer Base'!F$14&gt;3,'Customer Base'!F$14&lt;=5),'Customer Base'!F$15,""))</f>
        <v/>
      </c>
      <c r="B88" s="270" t="s">
        <v>1</v>
      </c>
      <c r="C88" s="237" t="s">
        <v>2342</v>
      </c>
      <c r="D88" s="267">
        <v>1086.1300000000001</v>
      </c>
      <c r="E88" s="267">
        <v>1022.981</v>
      </c>
      <c r="F88" s="238">
        <f t="shared" si="16"/>
        <v>891.00082034454476</v>
      </c>
      <c r="G88" s="238">
        <f>IFERROR(ROUNDUP(F88*'Customer Base'!$J$5,2),0)</f>
        <v>14879.72</v>
      </c>
      <c r="H88" s="238">
        <f t="shared" si="17"/>
        <v>839.19688269073004</v>
      </c>
      <c r="I88" s="238">
        <f>IFERROR(ROUNDUP(H88*'Customer Base'!$J$5,2),0)</f>
        <v>14014.59</v>
      </c>
      <c r="J88" s="103" t="str">
        <f t="shared" si="18"/>
        <v/>
      </c>
      <c r="L88" s="103" t="str">
        <f t="shared" si="13"/>
        <v/>
      </c>
      <c r="N88" s="103">
        <v>85</v>
      </c>
      <c r="O88" s="103" t="str">
        <f>IF('Customer Base'!$I$15="MANUAL",IF(B88&lt;&gt;"",C88,""),IF('Customer Base'!$I$15="AUTOMATE",IF(A88&lt;&gt;"",C88,""),""))</f>
        <v/>
      </c>
      <c r="AM88" s="103">
        <v>5</v>
      </c>
      <c r="AN88" s="103" t="s">
        <v>2259</v>
      </c>
      <c r="AO88" s="103" t="str">
        <f>IF('Customer Base'!$I$15="MANUAL",IFERROR(AM88*B88,""),IF('Customer Base'!$I$15="AUTOMATE",IFERROR(AM88*A88,""),""))</f>
        <v/>
      </c>
      <c r="AP88" s="103">
        <v>600</v>
      </c>
      <c r="AQ88" s="103">
        <v>48</v>
      </c>
      <c r="AR88" s="103" t="s">
        <v>2207</v>
      </c>
      <c r="AS88" s="103">
        <v>1</v>
      </c>
      <c r="AT88" s="103" t="str">
        <f t="shared" si="9"/>
        <v/>
      </c>
      <c r="AV88" s="103" t="str">
        <f t="shared" si="8"/>
        <v/>
      </c>
    </row>
    <row r="89" spans="1:49">
      <c r="A89" s="103" t="str">
        <f>IF(AND('Customer Base'!D$9=3,'Customer Base'!D$13="Huawei",'Customer Base'!D$14&gt;0,'Customer Base'!D$14&lt;=5),'Customer Base'!D$15,IF(AND('Customer Base'!D$7="Mini-Grid",'Customer Base'!D$9=3,'Customer Base'!F$13="Huawei",'Customer Base'!F$14&gt;0,'Customer Base'!F$14&lt;=5),'Customer Base'!F$15,""))</f>
        <v/>
      </c>
      <c r="B89" s="270" t="s">
        <v>1</v>
      </c>
      <c r="C89" s="237" t="s">
        <v>2343</v>
      </c>
      <c r="D89" s="267">
        <v>1266.3499999999999</v>
      </c>
      <c r="E89" s="267">
        <v>1192.7249999999999</v>
      </c>
      <c r="F89" s="238">
        <f t="shared" si="16"/>
        <v>1038.8433141919604</v>
      </c>
      <c r="G89" s="238">
        <f>IFERROR(ROUNDUP(F89*'Customer Base'!$J$5,2),0)</f>
        <v>17348.689999999999</v>
      </c>
      <c r="H89" s="238">
        <f t="shared" si="17"/>
        <v>978.44544708777676</v>
      </c>
      <c r="I89" s="238">
        <f>IFERROR(ROUNDUP(H89*'Customer Base'!$J$5,2),0)</f>
        <v>16340.04</v>
      </c>
      <c r="J89" s="103" t="str">
        <f t="shared" si="18"/>
        <v/>
      </c>
      <c r="L89" s="103" t="str">
        <f t="shared" si="13"/>
        <v/>
      </c>
      <c r="N89" s="103">
        <v>86</v>
      </c>
      <c r="O89" s="103" t="str">
        <f>IF('Customer Base'!$I$15="MANUAL",IF(B89&lt;&gt;"",C89,""),IF('Customer Base'!$I$15="AUTOMATE",IF(A89&lt;&gt;"",C89,""),""))</f>
        <v/>
      </c>
      <c r="AM89" s="103">
        <v>5</v>
      </c>
      <c r="AN89" s="103" t="s">
        <v>2259</v>
      </c>
      <c r="AO89" s="103" t="str">
        <f>IF('Customer Base'!$I$15="MANUAL",IFERROR(AM89*B89,""),IF('Customer Base'!$I$15="AUTOMATE",IFERROR(AM89*A89,""),""))</f>
        <v/>
      </c>
      <c r="AP89" s="103">
        <v>1100</v>
      </c>
      <c r="AQ89" s="103">
        <v>48</v>
      </c>
      <c r="AR89" s="103" t="s">
        <v>2207</v>
      </c>
      <c r="AS89" s="103">
        <v>1</v>
      </c>
      <c r="AT89" s="103" t="str">
        <f t="shared" si="9"/>
        <v/>
      </c>
      <c r="AV89" s="103" t="str">
        <f t="shared" si="8"/>
        <v/>
      </c>
    </row>
    <row r="90" spans="1:49">
      <c r="A90" s="103" t="str">
        <f>IF(AND('Customer Base'!D$9=3,'Customer Base'!D$13="Huawei",'Customer Base'!D$14&gt;5,'Customer Base'!D$14&lt;=10),'Customer Base'!D$15,IF(AND('Customer Base'!D$7="Mini-Grid",'Customer Base'!D$9=3,'Customer Base'!F$13="Huawei",'Customer Base'!F$14&gt;5,'Customer Base'!F$14&lt;=10),'Customer Base'!F$15,""))</f>
        <v/>
      </c>
      <c r="B90" s="270" t="s">
        <v>1</v>
      </c>
      <c r="C90" s="237" t="s">
        <v>2344</v>
      </c>
      <c r="D90" s="267">
        <v>1884.04</v>
      </c>
      <c r="E90" s="267">
        <v>1774.499</v>
      </c>
      <c r="F90" s="238">
        <f t="shared" si="16"/>
        <v>1545.5619360131254</v>
      </c>
      <c r="G90" s="238">
        <f>IFERROR(ROUNDUP(F90*'Customer Base'!$J$5,2),0)</f>
        <v>25810.89</v>
      </c>
      <c r="H90" s="238">
        <f t="shared" si="17"/>
        <v>1455.7005742411811</v>
      </c>
      <c r="I90" s="238">
        <f>IFERROR(ROUNDUP(H90*'Customer Base'!$J$5,2),0)</f>
        <v>24310.199999999997</v>
      </c>
      <c r="J90" s="103" t="str">
        <f t="shared" si="18"/>
        <v/>
      </c>
      <c r="L90" s="103" t="str">
        <f t="shared" si="13"/>
        <v/>
      </c>
      <c r="N90" s="103">
        <v>87</v>
      </c>
      <c r="O90" s="103" t="str">
        <f>IF('Customer Base'!$I$15="MANUAL",IF(B90&lt;&gt;"",C90,""),IF('Customer Base'!$I$15="AUTOMATE",IF(A90&lt;&gt;"",C90,""),""))</f>
        <v/>
      </c>
      <c r="AM90" s="103">
        <v>10</v>
      </c>
      <c r="AN90" s="103" t="s">
        <v>2262</v>
      </c>
      <c r="AO90" s="103" t="str">
        <f>IF('Customer Base'!$I$15="MANUAL",IFERROR(AM90*B90,""),IF('Customer Base'!$I$15="AUTOMATE",IFERROR(AM90*A90,""),""))</f>
        <v/>
      </c>
      <c r="AP90" s="103">
        <v>1100</v>
      </c>
      <c r="AQ90" s="103">
        <v>48</v>
      </c>
      <c r="AR90" s="103" t="s">
        <v>2207</v>
      </c>
      <c r="AS90" s="103">
        <v>1</v>
      </c>
      <c r="AT90" s="103" t="str">
        <f t="shared" si="9"/>
        <v/>
      </c>
      <c r="AV90" s="103" t="str">
        <f t="shared" si="8"/>
        <v/>
      </c>
    </row>
    <row r="91" spans="1:49">
      <c r="A91" s="103" t="str">
        <f>IF(AND('Customer Base'!D$9=3,'Customer Base'!D$13="Huawei",'Customer Base'!D$14&gt;10,'Customer Base'!D$14&lt;=20),'Customer Base'!D$15,IF(AND('Customer Base'!D$7="Mini-Grid",'Customer Base'!D$9=3,'Customer Base'!F$13="Huawei",'Customer Base'!F$14&gt;10,'Customer Base'!F$14&lt;=20),'Customer Base'!F$15,""))</f>
        <v/>
      </c>
      <c r="B91" s="270" t="s">
        <v>1</v>
      </c>
      <c r="C91" s="237" t="s">
        <v>2345</v>
      </c>
      <c r="D91" s="267">
        <v>2491.11</v>
      </c>
      <c r="E91" s="267">
        <v>2346.2779999999998</v>
      </c>
      <c r="F91" s="238">
        <f t="shared" si="16"/>
        <v>2043.5684987694831</v>
      </c>
      <c r="G91" s="238">
        <f>IFERROR(ROUNDUP(F91*'Customer Base'!$J$5,2),0)</f>
        <v>34127.599999999999</v>
      </c>
      <c r="H91" s="238">
        <f t="shared" si="17"/>
        <v>1924.7563576702212</v>
      </c>
      <c r="I91" s="238">
        <f>IFERROR(ROUNDUP(H91*'Customer Base'!$J$5,2),0)</f>
        <v>32143.439999999999</v>
      </c>
      <c r="J91" s="103" t="str">
        <f t="shared" si="18"/>
        <v/>
      </c>
      <c r="L91" s="103" t="str">
        <f t="shared" si="13"/>
        <v/>
      </c>
      <c r="N91" s="103">
        <v>88</v>
      </c>
      <c r="O91" s="103" t="str">
        <f>IF('Customer Base'!$I$15="MANUAL",IF(B91&lt;&gt;"",C91,""),IF('Customer Base'!$I$15="AUTOMATE",IF(A91&lt;&gt;"",C91,""),""))</f>
        <v/>
      </c>
      <c r="AM91" s="103">
        <v>20</v>
      </c>
      <c r="AN91" s="103" t="s">
        <v>2271</v>
      </c>
      <c r="AO91" s="103" t="str">
        <f>IF('Customer Base'!$I$15="MANUAL",IFERROR(AM91*B91,""),IF('Customer Base'!$I$15="AUTOMATE",IFERROR(AM91*A91,""),""))</f>
        <v/>
      </c>
      <c r="AP91" s="103">
        <v>1100</v>
      </c>
      <c r="AQ91" s="103">
        <v>48</v>
      </c>
      <c r="AR91" s="103" t="s">
        <v>2207</v>
      </c>
      <c r="AS91" s="103">
        <v>3</v>
      </c>
      <c r="AT91" s="103" t="str">
        <f t="shared" si="9"/>
        <v/>
      </c>
      <c r="AV91" s="103" t="str">
        <f t="shared" si="8"/>
        <v/>
      </c>
    </row>
    <row r="92" spans="1:49">
      <c r="A92" s="103" t="str">
        <f>IF(AND('Customer Base'!D$9=3,'Customer Base'!D$13="Huawei",'Customer Base'!D$14&gt;20,'Customer Base'!D$14&lt;=30),'Customer Base'!D$15,IF(AND('Customer Base'!D$7="Mini-Grid",'Customer Base'!D$9=3,'Customer Base'!F$13="Huawei",'Customer Base'!F$14&gt;20,'Customer Base'!F$14&lt;=30),'Customer Base'!F$15,""))</f>
        <v/>
      </c>
      <c r="B92" s="270" t="s">
        <v>1</v>
      </c>
      <c r="C92" s="237" t="s">
        <v>2346</v>
      </c>
      <c r="D92" s="267">
        <v>2913.47</v>
      </c>
      <c r="E92" s="267">
        <v>2744.0859999999998</v>
      </c>
      <c r="F92" s="238">
        <f t="shared" si="16"/>
        <v>2390.0492206726822</v>
      </c>
      <c r="G92" s="238">
        <f>IFERROR(ROUNDUP(F92*'Customer Base'!$J$5,2),0)</f>
        <v>39913.83</v>
      </c>
      <c r="H92" s="238">
        <f t="shared" si="17"/>
        <v>2251.0959803117307</v>
      </c>
      <c r="I92" s="238">
        <f>IFERROR(ROUNDUP(H92*'Customer Base'!$J$5,2),0)</f>
        <v>37593.310000000005</v>
      </c>
      <c r="J92" s="103" t="str">
        <f t="shared" si="18"/>
        <v/>
      </c>
      <c r="L92" s="103" t="str">
        <f t="shared" si="13"/>
        <v/>
      </c>
      <c r="N92" s="103">
        <v>89</v>
      </c>
      <c r="O92" s="103" t="str">
        <f>IF('Customer Base'!$I$15="MANUAL",IF(B92&lt;&gt;"",C92,""),IF('Customer Base'!$I$15="AUTOMATE",IF(A92&lt;&gt;"",C92,""),""))</f>
        <v/>
      </c>
      <c r="AM92" s="103">
        <v>30</v>
      </c>
      <c r="AN92" s="103" t="s">
        <v>2272</v>
      </c>
      <c r="AO92" s="103" t="str">
        <f>IF('Customer Base'!$I$15="MANUAL",IFERROR(AM92*B92,""),IF('Customer Base'!$I$15="AUTOMATE",IFERROR(AM92*A92,""),""))</f>
        <v/>
      </c>
      <c r="AP92" s="103">
        <v>1100</v>
      </c>
      <c r="AQ92" s="103">
        <v>48</v>
      </c>
      <c r="AR92" s="103" t="s">
        <v>2207</v>
      </c>
      <c r="AS92" s="103">
        <v>3</v>
      </c>
      <c r="AT92" s="103" t="str">
        <f t="shared" si="9"/>
        <v/>
      </c>
      <c r="AV92" s="103" t="str">
        <f t="shared" si="8"/>
        <v/>
      </c>
    </row>
    <row r="93" spans="1:49">
      <c r="A93" s="103" t="str">
        <f>IF(AND('Customer Base'!D$9=3,'Customer Base'!D$13="Huawei",'Customer Base'!D$14&gt;30,'Customer Base'!D$14&lt;=40),'Customer Base'!D$15,IF(AND('Customer Base'!D$7="Mini-Grid",'Customer Base'!D$9=3,'Customer Base'!F$13="Huawei",'Customer Base'!F$14&gt;30,'Customer Base'!F$14&lt;=40),'Customer Base'!F$15,""))</f>
        <v/>
      </c>
      <c r="B93" s="270" t="s">
        <v>1</v>
      </c>
      <c r="C93" s="237" t="s">
        <v>2347</v>
      </c>
      <c r="D93" s="267">
        <v>3448.48</v>
      </c>
      <c r="E93" s="267">
        <v>3247.9870000000001</v>
      </c>
      <c r="F93" s="238">
        <f t="shared" si="16"/>
        <v>2828.9417555373257</v>
      </c>
      <c r="G93" s="238">
        <f>IFERROR(ROUNDUP(F93*'Customer Base'!$J$5,2),0)</f>
        <v>47243.33</v>
      </c>
      <c r="H93" s="238">
        <f t="shared" si="17"/>
        <v>2664.4684167350288</v>
      </c>
      <c r="I93" s="238">
        <f>IFERROR(ROUNDUP(H93*'Customer Base'!$J$5,2),0)</f>
        <v>44496.630000000005</v>
      </c>
      <c r="J93" s="103" t="str">
        <f t="shared" si="18"/>
        <v/>
      </c>
      <c r="L93" s="103" t="str">
        <f t="shared" si="13"/>
        <v/>
      </c>
      <c r="N93" s="103">
        <v>90</v>
      </c>
      <c r="O93" s="103" t="str">
        <f>IF('Customer Base'!$I$15="MANUAL",IF(B93&lt;&gt;"",C93,""),IF('Customer Base'!$I$15="AUTOMATE",IF(A93&lt;&gt;"",C93,""),""))</f>
        <v/>
      </c>
      <c r="AM93" s="103">
        <v>40</v>
      </c>
      <c r="AN93" s="103" t="s">
        <v>2273</v>
      </c>
      <c r="AO93" s="103" t="str">
        <f>IF('Customer Base'!$I$15="MANUAL",IFERROR(AM93*B93,""),IF('Customer Base'!$I$15="AUTOMATE",IFERROR(AM93*A93,""),""))</f>
        <v/>
      </c>
      <c r="AP93" s="103">
        <v>1100</v>
      </c>
      <c r="AQ93" s="103">
        <v>48</v>
      </c>
      <c r="AR93" s="103" t="s">
        <v>2207</v>
      </c>
      <c r="AS93" s="103">
        <v>3</v>
      </c>
      <c r="AT93" s="103" t="str">
        <f t="shared" ref="AT93:AT164" si="19">IF(AND(AR93=$AY$1,$AZ$1=AN93),BA$1,"")</f>
        <v/>
      </c>
      <c r="AV93" s="103" t="str">
        <f t="shared" si="8"/>
        <v/>
      </c>
    </row>
    <row r="94" spans="1:49">
      <c r="A94" s="103" t="str">
        <f>IF(AND('Customer Base'!D$9=3,'Customer Base'!D$13="Huawei",'Customer Base'!D$14&gt;40,'Customer Base'!D$14&lt;=50),'Customer Base'!D$15,IF(AND('Customer Base'!D$7="Mini-Grid",'Customer Base'!D$9=3,'Customer Base'!F$13="Huawei",'Customer Base'!F$14&gt;40,'Customer Base'!F$14&lt;=50),'Customer Base'!F$15,""))</f>
        <v/>
      </c>
      <c r="B94" s="270" t="s">
        <v>1</v>
      </c>
      <c r="C94" s="237" t="s">
        <v>2348</v>
      </c>
      <c r="D94" s="267">
        <v>3756.7</v>
      </c>
      <c r="E94" s="267">
        <v>3538.2910000000002</v>
      </c>
      <c r="F94" s="238">
        <f t="shared" si="16"/>
        <v>3081.7883511074647</v>
      </c>
      <c r="G94" s="238">
        <f>IFERROR(ROUNDUP(F94*'Customer Base'!$J$5,2),0)</f>
        <v>51465.87</v>
      </c>
      <c r="H94" s="238">
        <f t="shared" si="17"/>
        <v>2902.6177194421657</v>
      </c>
      <c r="I94" s="238">
        <f>IFERROR(ROUNDUP(H94*'Customer Base'!$J$5,2),0)</f>
        <v>48473.72</v>
      </c>
      <c r="J94" s="103" t="str">
        <f t="shared" si="18"/>
        <v/>
      </c>
      <c r="L94" s="103" t="str">
        <f t="shared" si="13"/>
        <v/>
      </c>
      <c r="N94" s="103">
        <v>91</v>
      </c>
      <c r="O94" s="103" t="str">
        <f>IF('Customer Base'!$I$15="MANUAL",IF(B94&lt;&gt;"",C94,""),IF('Customer Base'!$I$15="AUTOMATE",IF(A94&lt;&gt;"",C94,""),""))</f>
        <v/>
      </c>
      <c r="AM94" s="103">
        <v>50</v>
      </c>
      <c r="AN94" s="103" t="s">
        <v>2274</v>
      </c>
      <c r="AO94" s="103" t="str">
        <f>IF('Customer Base'!$I$15="MANUAL",IFERROR(AM94*B94,""),IF('Customer Base'!$I$15="AUTOMATE",IFERROR(AM94*A94,""),""))</f>
        <v/>
      </c>
      <c r="AP94" s="103">
        <v>1100</v>
      </c>
      <c r="AQ94" s="103">
        <v>48</v>
      </c>
      <c r="AR94" s="103" t="s">
        <v>2207</v>
      </c>
      <c r="AS94" s="103">
        <v>3</v>
      </c>
      <c r="AT94" s="103" t="str">
        <f t="shared" si="19"/>
        <v/>
      </c>
      <c r="AV94" s="103" t="str">
        <f t="shared" ref="AV94:AV165" si="20">IF(AU94&lt;&gt;"",AU94,AT94)</f>
        <v/>
      </c>
    </row>
    <row r="95" spans="1:49" ht="17">
      <c r="A95" s="103" t="str">
        <f>IFERROR(IF(AND('Customer Base'!D7="Grid-Tied",'Customer Base'!D13="Huawei",'Customer Base'!D34="No"),1,""),"")</f>
        <v/>
      </c>
      <c r="B95" s="270" t="s">
        <v>1</v>
      </c>
      <c r="C95" s="350" t="s">
        <v>2349</v>
      </c>
      <c r="D95" s="267">
        <v>65.12</v>
      </c>
      <c r="E95" s="267">
        <v>61.235999999999997</v>
      </c>
      <c r="F95" s="238">
        <f t="shared" si="16"/>
        <v>53.420836751435601</v>
      </c>
      <c r="G95" s="238">
        <f>IFERROR(ROUNDUP(F95*'Customer Base'!$J$5,2),0)</f>
        <v>892.13</v>
      </c>
      <c r="H95" s="238">
        <f t="shared" si="17"/>
        <v>50.234618539786702</v>
      </c>
      <c r="I95" s="238">
        <f>IFERROR(ROUNDUP(H95*'Customer Base'!$J$5,2),0)</f>
        <v>838.92</v>
      </c>
      <c r="J95" s="103" t="str">
        <f t="shared" si="18"/>
        <v/>
      </c>
      <c r="L95" s="103" t="str">
        <f t="shared" si="13"/>
        <v/>
      </c>
      <c r="N95" s="103">
        <v>92</v>
      </c>
      <c r="O95" s="103" t="str">
        <f>IF('Customer Base'!$I$15="MANUAL",IF(B95&lt;&gt;"",C95,""),IF('Customer Base'!$I$15="AUTOMATE",IF(A95&lt;&gt;"",C95,""),""))</f>
        <v/>
      </c>
      <c r="AO95" s="103" t="str">
        <f>IF('Customer Base'!$I$15="MANUAL",IFERROR(AM95*B95,""),IF('Customer Base'!$I$15="AUTOMATE",IFERROR(AM95*A95,""),""))</f>
        <v/>
      </c>
      <c r="AT95" s="103" t="str">
        <f t="shared" si="19"/>
        <v/>
      </c>
      <c r="AV95" s="103" t="str">
        <f t="shared" si="20"/>
        <v/>
      </c>
    </row>
    <row r="96" spans="1:49">
      <c r="C96" s="237" t="s">
        <v>2350</v>
      </c>
      <c r="D96" s="267">
        <v>158.93</v>
      </c>
      <c r="E96" s="267">
        <v>149.68799999999999</v>
      </c>
      <c r="F96" s="238">
        <f t="shared" si="16"/>
        <v>130.37735849056602</v>
      </c>
      <c r="G96" s="238">
        <f>IFERROR(ROUNDUP(F96*'Customer Base'!$J$5,2),0)</f>
        <v>2177.3100000000004</v>
      </c>
      <c r="H96" s="238">
        <f t="shared" si="17"/>
        <v>122.79573420836749</v>
      </c>
      <c r="I96" s="238">
        <f>IFERROR(ROUNDUP(H96*'Customer Base'!$J$5,2),0)</f>
        <v>2050.69</v>
      </c>
      <c r="J96" s="103" t="str">
        <f t="shared" si="18"/>
        <v/>
      </c>
      <c r="L96" s="103" t="str">
        <f t="shared" si="13"/>
        <v/>
      </c>
      <c r="N96" s="103">
        <v>93</v>
      </c>
      <c r="O96" s="103" t="str">
        <f>IF('Customer Base'!$I$15="MANUAL",IF(B96&lt;&gt;"",C96,""),IF('Customer Base'!$I$15="AUTOMATE",IF(A96&lt;&gt;"",C96,""),""))</f>
        <v/>
      </c>
      <c r="AO96" s="103">
        <f>IF('Customer Base'!$I$15="MANUAL",IFERROR(AM96*B96,""),IF('Customer Base'!$I$15="AUTOMATE",IFERROR(AM96*A96,""),""))</f>
        <v>0</v>
      </c>
      <c r="AT96" s="103" t="str">
        <f t="shared" si="19"/>
        <v/>
      </c>
      <c r="AV96" s="103" t="str">
        <f t="shared" si="20"/>
        <v/>
      </c>
    </row>
    <row r="97" spans="1:48">
      <c r="C97" s="237" t="s">
        <v>2351</v>
      </c>
      <c r="D97" s="267">
        <v>605.01</v>
      </c>
      <c r="E97" s="267">
        <v>569.83500000000004</v>
      </c>
      <c r="F97" s="238">
        <f t="shared" si="16"/>
        <v>496.31665299425754</v>
      </c>
      <c r="G97" s="238">
        <f>IFERROR(ROUNDUP(F97*'Customer Base'!$J$5,2),0)</f>
        <v>8288.49</v>
      </c>
      <c r="H97" s="238">
        <f t="shared" si="17"/>
        <v>467.46103363412635</v>
      </c>
      <c r="I97" s="238">
        <f>IFERROR(ROUNDUP(H97*'Customer Base'!$J$5,2),0)</f>
        <v>7806.6</v>
      </c>
      <c r="J97" s="103" t="str">
        <f t="shared" si="18"/>
        <v/>
      </c>
      <c r="L97" s="103" t="str">
        <f t="shared" si="13"/>
        <v/>
      </c>
      <c r="N97" s="103">
        <v>94</v>
      </c>
      <c r="O97" s="103" t="str">
        <f>IF('Customer Base'!$I$15="MANUAL",IF(B97&lt;&gt;"",C97,""),IF('Customer Base'!$I$15="AUTOMATE",IF(A97&lt;&gt;"",C97,""),""))</f>
        <v/>
      </c>
      <c r="AO97" s="103">
        <f>IF('Customer Base'!$I$15="MANUAL",IFERROR(AM97*B97,""),IF('Customer Base'!$I$15="AUTOMATE",IFERROR(AM97*A97,""),""))</f>
        <v>0</v>
      </c>
      <c r="AT97" s="103" t="str">
        <f t="shared" si="19"/>
        <v/>
      </c>
      <c r="AV97" s="103" t="str">
        <f t="shared" si="20"/>
        <v/>
      </c>
    </row>
    <row r="98" spans="1:48">
      <c r="A98" s="103" t="str">
        <f>IFERROR(IF(AND('Customer Base'!D7="Grid-Tied",'Customer Base'!D13="Huawei",'Customer Base'!D34="No"),1,""),"")</f>
        <v/>
      </c>
      <c r="B98" s="270" t="s">
        <v>1</v>
      </c>
      <c r="C98" s="237" t="s">
        <v>2352</v>
      </c>
      <c r="D98" s="267">
        <v>101.51</v>
      </c>
      <c r="E98" s="267">
        <v>95.611999999999995</v>
      </c>
      <c r="F98" s="238">
        <f t="shared" si="16"/>
        <v>83.273174733388018</v>
      </c>
      <c r="G98" s="238">
        <f>IFERROR(ROUNDUP(F98*'Customer Base'!$J$5,2),0)</f>
        <v>1390.67</v>
      </c>
      <c r="H98" s="238">
        <f t="shared" si="17"/>
        <v>78.434782608695642</v>
      </c>
      <c r="I98" s="238">
        <f>IFERROR(ROUNDUP(H98*'Customer Base'!$J$5,2),0)</f>
        <v>1309.8699999999999</v>
      </c>
      <c r="J98" s="103" t="str">
        <f t="shared" si="18"/>
        <v/>
      </c>
      <c r="L98" s="103" t="str">
        <f t="shared" si="13"/>
        <v/>
      </c>
      <c r="N98" s="103">
        <v>95</v>
      </c>
      <c r="O98" s="103" t="str">
        <f>IF('Customer Base'!$I$15="MANUAL",IF(B98&lt;&gt;"",C98,""),IF('Customer Base'!$I$15="AUTOMATE",IF(A98&lt;&gt;"",C98,""),""))</f>
        <v/>
      </c>
      <c r="AO98" s="103" t="str">
        <f>IF('Customer Base'!$I$15="MANUAL",IFERROR(AM98*B98,""),IF('Customer Base'!$I$15="AUTOMATE",IFERROR(AM98*A98,""),""))</f>
        <v/>
      </c>
      <c r="AT98" s="103" t="str">
        <f t="shared" si="19"/>
        <v/>
      </c>
      <c r="AV98" s="103" t="str">
        <f t="shared" si="20"/>
        <v/>
      </c>
    </row>
    <row r="99" spans="1:48">
      <c r="C99" s="237" t="s">
        <v>2353</v>
      </c>
      <c r="D99" s="267">
        <v>66.75</v>
      </c>
      <c r="E99" s="267">
        <v>62.872</v>
      </c>
      <c r="F99" s="238">
        <f t="shared" si="16"/>
        <v>54.757998359310903</v>
      </c>
      <c r="G99" s="238">
        <f>IFERROR(ROUNDUP(F99*'Customer Base'!$J$5,2),0)</f>
        <v>914.46</v>
      </c>
      <c r="H99" s="238">
        <f t="shared" si="17"/>
        <v>51.576702214930265</v>
      </c>
      <c r="I99" s="238">
        <f>IFERROR(ROUNDUP(H99*'Customer Base'!$J$5,2),0)</f>
        <v>861.34</v>
      </c>
      <c r="J99" s="103" t="str">
        <f t="shared" si="18"/>
        <v/>
      </c>
      <c r="L99" s="103" t="str">
        <f t="shared" si="13"/>
        <v/>
      </c>
      <c r="N99" s="103">
        <v>96</v>
      </c>
      <c r="O99" s="103" t="str">
        <f>IF('Customer Base'!$I$15="MANUAL",IF(B99&lt;&gt;"",C99,""),IF('Customer Base'!$I$15="AUTOMATE",IF(A99&lt;&gt;"",C99,""),""))</f>
        <v/>
      </c>
      <c r="AO99" s="103">
        <f>IF('Customer Base'!$I$15="MANUAL",IFERROR(AM99*B99,""),IF('Customer Base'!$I$15="AUTOMATE",IFERROR(AM99*A99,""),""))</f>
        <v>0</v>
      </c>
      <c r="AT99" s="103" t="str">
        <f t="shared" si="19"/>
        <v/>
      </c>
      <c r="AV99" s="103" t="str">
        <f t="shared" si="20"/>
        <v/>
      </c>
    </row>
    <row r="100" spans="1:48">
      <c r="C100" s="237" t="s">
        <v>2354</v>
      </c>
      <c r="D100" s="267">
        <v>294.12</v>
      </c>
      <c r="E100" s="267">
        <v>277.02</v>
      </c>
      <c r="F100" s="238">
        <f t="shared" si="16"/>
        <v>241.27973748974568</v>
      </c>
      <c r="G100" s="238">
        <f>IFERROR(ROUNDUP(F100*'Customer Base'!$J$5,2),0)</f>
        <v>4029.38</v>
      </c>
      <c r="H100" s="238">
        <f t="shared" si="17"/>
        <v>227.25184577522558</v>
      </c>
      <c r="I100" s="238">
        <f>IFERROR(ROUNDUP(H100*'Customer Base'!$J$5,2),0)</f>
        <v>3795.11</v>
      </c>
      <c r="J100" s="103" t="str">
        <f t="shared" si="18"/>
        <v/>
      </c>
      <c r="L100" s="103" t="str">
        <f t="shared" si="13"/>
        <v/>
      </c>
      <c r="N100" s="103">
        <v>97</v>
      </c>
      <c r="O100" s="103" t="str">
        <f>IF('Customer Base'!$I$15="MANUAL",IF(B100&lt;&gt;"",C100,""),IF('Customer Base'!$I$15="AUTOMATE",IF(A100&lt;&gt;"",C100,""),""))</f>
        <v/>
      </c>
      <c r="AO100" s="103">
        <f>IF('Customer Base'!$I$15="MANUAL",IFERROR(AM100*B100,""),IF('Customer Base'!$I$15="AUTOMATE",IFERROR(AM100*A100,""),""))</f>
        <v>0</v>
      </c>
      <c r="AT100" s="103" t="str">
        <f t="shared" si="19"/>
        <v/>
      </c>
      <c r="AV100" s="103" t="str">
        <f t="shared" si="20"/>
        <v/>
      </c>
    </row>
    <row r="101" spans="1:48">
      <c r="D101" s="319"/>
      <c r="E101" s="319"/>
      <c r="I101" s="224"/>
      <c r="J101" s="103" t="str">
        <f t="shared" si="18"/>
        <v/>
      </c>
      <c r="L101" s="103" t="str">
        <f t="shared" si="13"/>
        <v/>
      </c>
      <c r="N101" s="103">
        <v>98</v>
      </c>
      <c r="O101" s="103" t="str">
        <f>IF('Customer Base'!$I$15="MANUAL",IF(B101&lt;&gt;"",C101,""),IF('Customer Base'!$I$15="AUTOMATE",IF(A101&lt;&gt;"",C101,""),""))</f>
        <v/>
      </c>
      <c r="AO101" s="103">
        <f>IF('Customer Base'!$I$15="MANUAL",IFERROR(AM101*B101,""),IF('Customer Base'!$I$15="AUTOMATE",IFERROR(AM101*A101,""),""))</f>
        <v>0</v>
      </c>
      <c r="AT101" s="103" t="str">
        <f t="shared" si="19"/>
        <v/>
      </c>
      <c r="AV101" s="103" t="str">
        <f t="shared" si="20"/>
        <v/>
      </c>
    </row>
    <row r="102" spans="1:48">
      <c r="C102" s="246" t="s">
        <v>1900</v>
      </c>
      <c r="D102" s="320"/>
      <c r="E102" s="320"/>
      <c r="F102" s="234">
        <f t="shared" si="10"/>
        <v>0</v>
      </c>
      <c r="G102" s="234">
        <f>IFERROR(ROUNDUP(F102*'Customer Base'!$J$5,2),0)</f>
        <v>0</v>
      </c>
      <c r="H102" s="234">
        <f t="shared" si="11"/>
        <v>0</v>
      </c>
      <c r="I102" s="234">
        <f>IFERROR(ROUNDUP(H102*'Customer Base'!$J$5,2),0)</f>
        <v>0</v>
      </c>
      <c r="J102" s="103" t="str">
        <f t="shared" si="18"/>
        <v/>
      </c>
      <c r="L102" s="103" t="str">
        <f t="shared" ref="L102:L133" si="21">IF(H102&gt;F102,"lkkajdfkj","")</f>
        <v/>
      </c>
      <c r="N102" s="103">
        <v>99</v>
      </c>
      <c r="O102" s="103" t="str">
        <f>IF('Customer Base'!$I$15="MANUAL",IF(B102&lt;&gt;"",C102,""),IF('Customer Base'!$I$15="AUTOMATE",IF(A102&lt;&gt;"",C102,""),""))</f>
        <v/>
      </c>
      <c r="AO102" s="103">
        <f>IF('Customer Base'!$I$15="MANUAL",IFERROR(AM102*B102,""),IF('Customer Base'!$I$15="AUTOMATE",IFERROR(AM102*A102,""),""))</f>
        <v>0</v>
      </c>
      <c r="AT102" s="103" t="str">
        <f t="shared" si="19"/>
        <v/>
      </c>
      <c r="AV102" s="103" t="str">
        <f t="shared" si="20"/>
        <v/>
      </c>
    </row>
    <row r="103" spans="1:48">
      <c r="A103" s="103" t="str">
        <f>IF(AND('Customer Base'!D$9=1,'Customer Base'!D$13="Fronius",'Customer Base'!D$14&gt;0,'Customer Base'!D$14&lt;=3),'Customer Base'!D$15,IF(AND('Customer Base'!D$7="Mini-Grid",'Customer Base'!D$9=1,'Customer Base'!F$13="Fronius",'Customer Base'!F$14&gt;0,'Customer Base'!F$14&lt;=3),'Customer Base'!F$15,""))</f>
        <v/>
      </c>
      <c r="B103" s="270" t="s">
        <v>1</v>
      </c>
      <c r="C103" s="248" t="s">
        <v>23</v>
      </c>
      <c r="D103" s="321">
        <v>1337.82</v>
      </c>
      <c r="E103" s="321">
        <v>1260.0360000000001</v>
      </c>
      <c r="F103" s="249">
        <f t="shared" si="10"/>
        <v>1097.4733388022969</v>
      </c>
      <c r="G103" s="249">
        <f>IFERROR(ROUNDUP(F103*'Customer Base'!$J$5,2),0)</f>
        <v>18327.809999999998</v>
      </c>
      <c r="H103" s="249">
        <f t="shared" si="11"/>
        <v>1033.6636587366693</v>
      </c>
      <c r="I103" s="249">
        <f>IFERROR(ROUNDUP(H103*'Customer Base'!$J$5,2),0)</f>
        <v>17262.189999999999</v>
      </c>
      <c r="J103" s="103" t="str">
        <f t="shared" si="18"/>
        <v/>
      </c>
      <c r="L103" s="103" t="str">
        <f t="shared" si="21"/>
        <v/>
      </c>
      <c r="N103" s="103">
        <v>100</v>
      </c>
      <c r="O103" s="103" t="str">
        <f>IF('Customer Base'!$I$15="MANUAL",IF(B103&lt;&gt;"",C103,""),IF('Customer Base'!$I$15="AUTOMATE",IF(A103&lt;&gt;"",C103,""),""))</f>
        <v/>
      </c>
      <c r="AM103" s="103">
        <v>3</v>
      </c>
      <c r="AN103" s="103" t="s">
        <v>2277</v>
      </c>
      <c r="AO103" s="103" t="str">
        <f>IF('Customer Base'!$I$15="MANUAL",IFERROR(AM103*B103,""),IF('Customer Base'!$I$15="AUTOMATE",IFERROR(AM103*A103,""),""))</f>
        <v/>
      </c>
      <c r="AP103" s="103">
        <v>1000</v>
      </c>
      <c r="AQ103" s="103" t="s">
        <v>2201</v>
      </c>
      <c r="AR103" s="103" t="s">
        <v>2208</v>
      </c>
      <c r="AS103" s="103">
        <v>1</v>
      </c>
      <c r="AT103" s="103" t="str">
        <f t="shared" si="19"/>
        <v/>
      </c>
      <c r="AV103" s="103" t="str">
        <f t="shared" si="20"/>
        <v/>
      </c>
    </row>
    <row r="104" spans="1:48">
      <c r="A104" s="103" t="str">
        <f>IF(AND('Customer Base'!D$9=1,'Customer Base'!D$13="Fronius",'Customer Base'!D$14&gt;3,'Customer Base'!D$14&lt;=5),'Customer Base'!D$15,IF(AND('Customer Base'!D$7="Mini-Grid",'Customer Base'!D$9=1,'Customer Base'!F$13="Fronius",'Customer Base'!F$14&gt;3,'Customer Base'!F$14&lt;=5),'Customer Base'!F$15,""))</f>
        <v/>
      </c>
      <c r="B104" s="270" t="s">
        <v>1</v>
      </c>
      <c r="C104" s="248" t="s">
        <v>24</v>
      </c>
      <c r="D104" s="321">
        <v>1666.9</v>
      </c>
      <c r="E104" s="321">
        <v>1570.0070000000001</v>
      </c>
      <c r="F104" s="249">
        <f t="shared" si="10"/>
        <v>1367.4323215750615</v>
      </c>
      <c r="G104" s="249">
        <f>IFERROR(ROUNDUP(F104*'Customer Base'!$J$5,2),0)</f>
        <v>22836.12</v>
      </c>
      <c r="H104" s="249">
        <f t="shared" si="11"/>
        <v>1287.9466776045938</v>
      </c>
      <c r="I104" s="249">
        <f>IFERROR(ROUNDUP(H104*'Customer Base'!$J$5,2),0)</f>
        <v>21508.71</v>
      </c>
      <c r="J104" s="103" t="str">
        <f t="shared" si="18"/>
        <v/>
      </c>
      <c r="L104" s="103" t="str">
        <f t="shared" si="21"/>
        <v/>
      </c>
      <c r="N104" s="103">
        <v>101</v>
      </c>
      <c r="O104" s="103" t="str">
        <f>IF('Customer Base'!$I$15="MANUAL",IF(B104&lt;&gt;"",C104,""),IF('Customer Base'!$I$15="AUTOMATE",IF(A104&lt;&gt;"",C104,""),""))</f>
        <v/>
      </c>
      <c r="AM104" s="103">
        <v>5</v>
      </c>
      <c r="AN104" s="103" t="s">
        <v>2278</v>
      </c>
      <c r="AO104" s="103" t="str">
        <f>IF('Customer Base'!$I$15="MANUAL",IFERROR(AM104*B104,""),IF('Customer Base'!$I$15="AUTOMATE",IFERROR(AM104*A104,""),""))</f>
        <v/>
      </c>
      <c r="AP104" s="103">
        <v>1000</v>
      </c>
      <c r="AQ104" s="103" t="s">
        <v>2201</v>
      </c>
      <c r="AR104" s="103" t="s">
        <v>2209</v>
      </c>
      <c r="AS104" s="103">
        <v>1</v>
      </c>
      <c r="AT104" s="103" t="str">
        <f t="shared" si="19"/>
        <v/>
      </c>
      <c r="AV104" s="103" t="str">
        <f t="shared" si="20"/>
        <v/>
      </c>
    </row>
    <row r="105" spans="1:48">
      <c r="A105" s="103" t="str">
        <f>IF(AND('Customer Base'!D$9=1,'Customer Base'!D$13="Fronius",'Customer Base'!D$14&gt;5,'Customer Base'!D$14&lt;=6),'Customer Base'!D$15,IF(AND('Customer Base'!D$7="Mini-Grid",'Customer Base'!D$9=1,'Customer Base'!F$13="Fronius",'Customer Base'!F$14&gt;5,'Customer Base'!F$14&lt;=6),'Customer Base'!F$15,""))</f>
        <v/>
      </c>
      <c r="B105" s="270" t="s">
        <v>1</v>
      </c>
      <c r="C105" s="248" t="s">
        <v>2718</v>
      </c>
      <c r="D105" s="321">
        <v>2224.0632000000001</v>
      </c>
      <c r="E105" s="321">
        <v>2094.7570000000001</v>
      </c>
      <c r="F105" s="249">
        <f t="shared" si="10"/>
        <v>1824.498113207547</v>
      </c>
      <c r="G105" s="249">
        <f>IFERROR(ROUNDUP(F105*'Customer Base'!$J$5,2),0)</f>
        <v>30469.119999999999</v>
      </c>
      <c r="H105" s="249">
        <f t="shared" si="11"/>
        <v>1718.422477440525</v>
      </c>
      <c r="I105" s="249">
        <f>IFERROR(ROUNDUP(H105*'Customer Base'!$J$5,2),0)</f>
        <v>28697.66</v>
      </c>
      <c r="J105" s="103" t="str">
        <f t="shared" si="18"/>
        <v/>
      </c>
      <c r="L105" s="103" t="str">
        <f t="shared" si="21"/>
        <v/>
      </c>
      <c r="N105" s="103">
        <v>102</v>
      </c>
      <c r="O105" s="103" t="str">
        <f>IF('Customer Base'!$I$15="MANUAL",IF(B105&lt;&gt;"",C105,""),IF('Customer Base'!$I$15="AUTOMATE",IF(A105&lt;&gt;"",C105,""),""))</f>
        <v/>
      </c>
      <c r="AM105" s="103">
        <v>6</v>
      </c>
      <c r="AN105" s="103" t="s">
        <v>2280</v>
      </c>
      <c r="AO105" s="103" t="str">
        <f>IF('Customer Base'!$I$15="MANUAL",IFERROR(AM105*B105,""),IF('Customer Base'!$I$15="AUTOMATE",IFERROR(AM105*A105,""),""))</f>
        <v/>
      </c>
      <c r="AP105" s="103">
        <v>1000</v>
      </c>
      <c r="AQ105" s="103" t="s">
        <v>2201</v>
      </c>
      <c r="AR105" s="103" t="s">
        <v>2209</v>
      </c>
      <c r="AS105" s="103">
        <v>1</v>
      </c>
      <c r="AT105" s="103" t="str">
        <f t="shared" si="19"/>
        <v/>
      </c>
      <c r="AV105" s="103" t="str">
        <f t="shared" si="20"/>
        <v/>
      </c>
    </row>
    <row r="106" spans="1:48">
      <c r="A106" s="103" t="str">
        <f>IF(AND('Customer Base'!D$9=1,'Customer Base'!D$13="Fronius",'Customer Base'!D$14&gt;6,'Customer Base'!D$14&lt;=8.2),'Customer Base'!D$15,IF(AND('Customer Base'!D$7="Mini-Grid",'Customer Base'!D$9=1,'Customer Base'!F$13="Fronius",'Customer Base'!F$14&gt;6,'Customer Base'!F$14&lt;=8.2),'Customer Base'!F$15,""))</f>
        <v/>
      </c>
      <c r="B106" s="270" t="s">
        <v>1</v>
      </c>
      <c r="C106" s="248" t="s">
        <v>25</v>
      </c>
      <c r="D106" s="321">
        <v>2563.2471999999998</v>
      </c>
      <c r="E106" s="321">
        <v>2414.221</v>
      </c>
      <c r="F106" s="249">
        <f t="shared" si="10"/>
        <v>2102.745857260049</v>
      </c>
      <c r="G106" s="249">
        <f>IFERROR(ROUNDUP(F106*'Customer Base'!$J$5,2),0)</f>
        <v>35115.86</v>
      </c>
      <c r="H106" s="249">
        <f t="shared" si="11"/>
        <v>1980.4930270713699</v>
      </c>
      <c r="I106" s="249">
        <f>IFERROR(ROUNDUP(H106*'Customer Base'!$J$5,2),0)</f>
        <v>33074.240000000005</v>
      </c>
      <c r="J106" s="103" t="str">
        <f t="shared" si="18"/>
        <v/>
      </c>
      <c r="L106" s="103" t="str">
        <f t="shared" si="21"/>
        <v/>
      </c>
      <c r="N106" s="103">
        <v>103</v>
      </c>
      <c r="O106" s="103" t="str">
        <f>IF('Customer Base'!$I$15="MANUAL",IF(B106&lt;&gt;"",C106,""),IF('Customer Base'!$I$15="AUTOMATE",IF(A106&lt;&gt;"",C106,""),""))</f>
        <v/>
      </c>
      <c r="AM106" s="103">
        <v>8.1999999999999993</v>
      </c>
      <c r="AN106" s="103" t="s">
        <v>2279</v>
      </c>
      <c r="AO106" s="103" t="str">
        <f>IF('Customer Base'!$I$15="MANUAL",IFERROR(AM106*B106,""),IF('Customer Base'!$I$15="AUTOMATE",IFERROR(AM106*A106,""),""))</f>
        <v/>
      </c>
      <c r="AP106" s="103">
        <v>1000</v>
      </c>
      <c r="AQ106" s="103" t="s">
        <v>2201</v>
      </c>
      <c r="AR106" s="103" t="s">
        <v>2209</v>
      </c>
      <c r="AS106" s="103">
        <v>1</v>
      </c>
      <c r="AT106" s="103" t="str">
        <f t="shared" si="19"/>
        <v/>
      </c>
      <c r="AV106" s="103" t="str">
        <f t="shared" si="20"/>
        <v/>
      </c>
    </row>
    <row r="107" spans="1:48">
      <c r="A107" s="103" t="str">
        <f>IF(AND('Customer Base'!D$9=3,'Customer Base'!D$13="Fronius",'Customer Base'!D$14&gt;0,'Customer Base'!D$14&lt;=3),'Customer Base'!D$15,IF(AND('Customer Base'!D$7="Mini-Grid",'Customer Base'!D$9=3,'Customer Base'!F$13="Fronius",'Customer Base'!F$14&gt;0,'Customer Base'!F$14&lt;=3),'Customer Base'!F$15,""))</f>
        <v/>
      </c>
      <c r="B107" s="270" t="s">
        <v>1</v>
      </c>
      <c r="C107" s="248" t="s">
        <v>1124</v>
      </c>
      <c r="D107" s="321">
        <v>1733.12</v>
      </c>
      <c r="E107" s="321">
        <v>1632.261</v>
      </c>
      <c r="F107" s="249">
        <f t="shared" si="10"/>
        <v>1421.7555373256766</v>
      </c>
      <c r="G107" s="249">
        <f>IFERROR(ROUNDUP(F107*'Customer Base'!$J$5,2),0)</f>
        <v>23743.32</v>
      </c>
      <c r="H107" s="249">
        <f t="shared" si="11"/>
        <v>1339.0164068908941</v>
      </c>
      <c r="I107" s="249">
        <f>IFERROR(ROUNDUP(H107*'Customer Base'!$J$5,2),0)</f>
        <v>22361.579999999998</v>
      </c>
      <c r="J107" s="103" t="str">
        <f t="shared" si="18"/>
        <v/>
      </c>
      <c r="L107" s="103" t="str">
        <f t="shared" si="21"/>
        <v/>
      </c>
      <c r="N107" s="103">
        <v>104</v>
      </c>
      <c r="O107" s="103" t="str">
        <f>IF('Customer Base'!$I$15="MANUAL",IF(B107&lt;&gt;"",C107,""),IF('Customer Base'!$I$15="AUTOMATE",IF(A107&lt;&gt;"",C107,""),""))</f>
        <v/>
      </c>
      <c r="AM107" s="103">
        <v>3</v>
      </c>
      <c r="AN107" s="103" t="s">
        <v>2277</v>
      </c>
      <c r="AO107" s="103" t="str">
        <f>IF('Customer Base'!$I$15="MANUAL",IFERROR(AM107*B107,""),IF('Customer Base'!$I$15="AUTOMATE",IFERROR(AM107*A107,""),""))</f>
        <v/>
      </c>
      <c r="AP107" s="103">
        <v>1000</v>
      </c>
      <c r="AQ107" s="103" t="s">
        <v>2201</v>
      </c>
      <c r="AR107" s="103" t="s">
        <v>2210</v>
      </c>
      <c r="AS107" s="103">
        <v>3</v>
      </c>
      <c r="AT107" s="103" t="str">
        <f t="shared" si="19"/>
        <v/>
      </c>
      <c r="AV107" s="103" t="str">
        <f t="shared" si="20"/>
        <v/>
      </c>
    </row>
    <row r="108" spans="1:48">
      <c r="A108" s="103" t="str">
        <f>IF(AND('Customer Base'!D$9=3,'Customer Base'!D$13="Fronius",'Customer Base'!D$14&gt;3,'Customer Base'!D$14&lt;=5),'Customer Base'!D$15,IF(AND('Customer Base'!D$7="Mini-Grid",'Customer Base'!D$9=3,'Customer Base'!F$13="Fronius",'Customer Base'!F$14&gt;3,'Customer Base'!F$14&lt;=5),'Customer Base'!F$15,""))</f>
        <v/>
      </c>
      <c r="B108" s="270" t="s">
        <v>1</v>
      </c>
      <c r="C108" s="248" t="s">
        <v>1122</v>
      </c>
      <c r="D108" s="321">
        <v>1895.82</v>
      </c>
      <c r="E108" s="321">
        <v>1785.596</v>
      </c>
      <c r="F108" s="249">
        <f t="shared" si="10"/>
        <v>1555.2255947497947</v>
      </c>
      <c r="G108" s="249">
        <f>IFERROR(ROUNDUP(F108*'Customer Base'!$J$5,2),0)</f>
        <v>25972.269999999997</v>
      </c>
      <c r="H108" s="249">
        <f t="shared" si="11"/>
        <v>1464.8039376538145</v>
      </c>
      <c r="I108" s="249">
        <f>IFERROR(ROUNDUP(H108*'Customer Base'!$J$5,2),0)</f>
        <v>24462.23</v>
      </c>
      <c r="J108" s="103" t="str">
        <f t="shared" si="18"/>
        <v/>
      </c>
      <c r="L108" s="103" t="str">
        <f t="shared" si="21"/>
        <v/>
      </c>
      <c r="N108" s="103">
        <v>105</v>
      </c>
      <c r="O108" s="103" t="str">
        <f>IF('Customer Base'!$I$15="MANUAL",IF(B108&lt;&gt;"",C108,""),IF('Customer Base'!$I$15="AUTOMATE",IF(A108&lt;&gt;"",C108,""),""))</f>
        <v/>
      </c>
      <c r="AM108" s="103">
        <v>5</v>
      </c>
      <c r="AN108" s="103" t="s">
        <v>2278</v>
      </c>
      <c r="AO108" s="103" t="str">
        <f>IF('Customer Base'!$I$15="MANUAL",IFERROR(AM108*B108,""),IF('Customer Base'!$I$15="AUTOMATE",IFERROR(AM108*A108,""),""))</f>
        <v/>
      </c>
      <c r="AP108" s="103">
        <v>1000</v>
      </c>
      <c r="AQ108" s="103" t="s">
        <v>2201</v>
      </c>
      <c r="AR108" s="103" t="s">
        <v>2210</v>
      </c>
      <c r="AS108" s="103">
        <v>3</v>
      </c>
      <c r="AT108" s="103" t="str">
        <f t="shared" si="19"/>
        <v/>
      </c>
      <c r="AV108" s="103" t="str">
        <f t="shared" si="20"/>
        <v/>
      </c>
    </row>
    <row r="109" spans="1:48">
      <c r="A109" s="103" t="str">
        <f>IF(AND('Customer Base'!D$9=3,'Customer Base'!D$13="Fronius",'Customer Base'!D$14&gt;5,'Customer Base'!D$14&lt;=6),'Customer Base'!D$15,IF(AND('Customer Base'!D$7="Mini-Grid",'Customer Base'!D$9=3,'Customer Base'!F$13="Fronius",'Customer Base'!F$14&gt;5,'Customer Base'!F$14&lt;=6),'Customer Base'!F$15,""))</f>
        <v/>
      </c>
      <c r="B109" s="270" t="s">
        <v>1</v>
      </c>
      <c r="C109" s="248" t="s">
        <v>1123</v>
      </c>
      <c r="D109" s="321">
        <v>1938.42</v>
      </c>
      <c r="E109" s="321">
        <v>1825.7239999999999</v>
      </c>
      <c r="F109" s="249">
        <f t="shared" si="10"/>
        <v>1590.1722723543887</v>
      </c>
      <c r="G109" s="249">
        <f>IFERROR(ROUNDUP(F109*'Customer Base'!$J$5,2),0)</f>
        <v>26555.879999999997</v>
      </c>
      <c r="H109" s="249">
        <f t="shared" si="11"/>
        <v>1497.7227235438884</v>
      </c>
      <c r="I109" s="249">
        <f>IFERROR(ROUNDUP(H109*'Customer Base'!$J$5,2),0)</f>
        <v>25011.969999999998</v>
      </c>
      <c r="J109" s="103" t="str">
        <f t="shared" si="18"/>
        <v/>
      </c>
      <c r="L109" s="103" t="str">
        <f t="shared" si="21"/>
        <v/>
      </c>
      <c r="N109" s="103">
        <v>106</v>
      </c>
      <c r="O109" s="103" t="str">
        <f>IF('Customer Base'!$I$15="MANUAL",IF(B109&lt;&gt;"",C109,""),IF('Customer Base'!$I$15="AUTOMATE",IF(A109&lt;&gt;"",C109,""),""))</f>
        <v/>
      </c>
      <c r="AM109" s="103">
        <v>6</v>
      </c>
      <c r="AN109" s="103" t="s">
        <v>2280</v>
      </c>
      <c r="AO109" s="103" t="str">
        <f>IF('Customer Base'!$I$15="MANUAL",IFERROR(AM109*B109,""),IF('Customer Base'!$I$15="AUTOMATE",IFERROR(AM109*A109,""),""))</f>
        <v/>
      </c>
      <c r="AP109" s="103">
        <v>1000</v>
      </c>
      <c r="AQ109" s="103" t="s">
        <v>2201</v>
      </c>
      <c r="AR109" s="103" t="s">
        <v>2210</v>
      </c>
      <c r="AS109" s="103">
        <v>3</v>
      </c>
      <c r="AT109" s="103" t="str">
        <f t="shared" si="19"/>
        <v/>
      </c>
      <c r="AV109" s="103" t="str">
        <f t="shared" si="20"/>
        <v/>
      </c>
    </row>
    <row r="110" spans="1:48">
      <c r="A110" s="103" t="str">
        <f>IF(AND('Customer Base'!D$9=3,'Customer Base'!D$13="Fronius",'Customer Base'!D$14&gt;6,'Customer Base'!D$14&lt;=10),'Customer Base'!D$15,IF(AND('Customer Base'!D$7="Mini-Grid",'Customer Base'!D$9=3,'Customer Base'!F$13="Fronius",'Customer Base'!F$14&gt;6,'Customer Base'!F$14&lt;=10),'Customer Base'!F$15,""))</f>
        <v/>
      </c>
      <c r="B110" s="270" t="s">
        <v>1</v>
      </c>
      <c r="C110" s="248" t="s">
        <v>2765</v>
      </c>
      <c r="D110" s="321">
        <v>2600.6055999999999</v>
      </c>
      <c r="E110" s="321">
        <v>2449.4079999999999</v>
      </c>
      <c r="F110" s="249">
        <f t="shared" si="10"/>
        <v>2133.3926168990974</v>
      </c>
      <c r="G110" s="249">
        <f>IFERROR(ROUNDUP(F110*'Customer Base'!$J$5,2),0)</f>
        <v>35627.660000000003</v>
      </c>
      <c r="H110" s="249">
        <f t="shared" si="11"/>
        <v>2009.3584905660375</v>
      </c>
      <c r="I110" s="249">
        <f>IFERROR(ROUNDUP(H110*'Customer Base'!$J$5,2),0)</f>
        <v>33556.29</v>
      </c>
      <c r="J110" s="103" t="str">
        <f t="shared" si="18"/>
        <v/>
      </c>
      <c r="L110" s="103" t="str">
        <f t="shared" si="21"/>
        <v/>
      </c>
      <c r="N110" s="103">
        <v>107</v>
      </c>
      <c r="O110" s="103" t="str">
        <f>IF('Customer Base'!$I$15="MANUAL",IF(B110&lt;&gt;"",C110,""),IF('Customer Base'!$I$15="AUTOMATE",IF(A110&lt;&gt;"",C110,""),""))</f>
        <v/>
      </c>
      <c r="AM110" s="103">
        <v>10</v>
      </c>
      <c r="AN110" s="103" t="s">
        <v>2281</v>
      </c>
      <c r="AO110" s="103" t="str">
        <f>IF('Customer Base'!$I$15="MANUAL",IFERROR(AM110*B110,""),IF('Customer Base'!$I$15="AUTOMATE",IFERROR(AM110*A110,""),""))</f>
        <v/>
      </c>
      <c r="AP110" s="103">
        <v>1000</v>
      </c>
      <c r="AQ110" s="103" t="s">
        <v>2201</v>
      </c>
      <c r="AR110" s="103" t="s">
        <v>2210</v>
      </c>
      <c r="AS110" s="103">
        <v>3</v>
      </c>
      <c r="AT110" s="103" t="str">
        <f t="shared" si="19"/>
        <v/>
      </c>
      <c r="AV110" s="103" t="str">
        <f t="shared" si="20"/>
        <v/>
      </c>
    </row>
    <row r="111" spans="1:48">
      <c r="A111" s="103" t="str">
        <f>IF(AND('Customer Base'!D$9=3,'Customer Base'!D$13="Fronius",'Customer Base'!D$14&gt;10,'Customer Base'!D$14&lt;=15),'Customer Base'!D$15,IF(AND('Customer Base'!D$7="Mini-Grid",'Customer Base'!D$9=3,'Customer Base'!F$13="Fronius",'Customer Base'!F$14&gt;10,'Customer Base'!F$14&lt;=15),'Customer Base'!F$15,""))</f>
        <v/>
      </c>
      <c r="B111" s="270" t="s">
        <v>1</v>
      </c>
      <c r="C111" s="248" t="s">
        <v>2766</v>
      </c>
      <c r="D111" s="321">
        <v>3004.7195999999999</v>
      </c>
      <c r="E111" s="321">
        <v>2830.027</v>
      </c>
      <c r="F111" s="249">
        <f t="shared" si="10"/>
        <v>2464.9053322395403</v>
      </c>
      <c r="G111" s="249">
        <f>IFERROR(ROUNDUP(F111*'Customer Base'!$J$5,2),0)</f>
        <v>41163.920000000006</v>
      </c>
      <c r="H111" s="249">
        <f t="shared" si="11"/>
        <v>2321.5972108285478</v>
      </c>
      <c r="I111" s="249">
        <f>IFERROR(ROUNDUP(H111*'Customer Base'!$J$5,2),0)</f>
        <v>38770.68</v>
      </c>
      <c r="J111" s="103" t="str">
        <f t="shared" si="18"/>
        <v/>
      </c>
      <c r="L111" s="103" t="str">
        <f t="shared" si="21"/>
        <v/>
      </c>
      <c r="N111" s="103">
        <v>108</v>
      </c>
      <c r="O111" s="103" t="str">
        <f>IF('Customer Base'!$I$15="MANUAL",IF(B111&lt;&gt;"",C111,""),IF('Customer Base'!$I$15="AUTOMATE",IF(A111&lt;&gt;"",C111,""),""))</f>
        <v/>
      </c>
      <c r="AM111" s="103">
        <v>15</v>
      </c>
      <c r="AN111" s="103" t="s">
        <v>2282</v>
      </c>
      <c r="AO111" s="103" t="str">
        <f>IF('Customer Base'!$I$15="MANUAL",IFERROR(AM111*B111,""),IF('Customer Base'!$I$15="AUTOMATE",IFERROR(AM111*A111,""),""))</f>
        <v/>
      </c>
      <c r="AP111" s="103">
        <v>1000</v>
      </c>
      <c r="AQ111" s="103" t="s">
        <v>2201</v>
      </c>
      <c r="AR111" s="103" t="s">
        <v>2210</v>
      </c>
      <c r="AS111" s="103">
        <v>3</v>
      </c>
      <c r="AT111" s="103" t="str">
        <f t="shared" si="19"/>
        <v/>
      </c>
      <c r="AV111" s="103" t="str">
        <f t="shared" si="20"/>
        <v/>
      </c>
    </row>
    <row r="112" spans="1:48">
      <c r="A112" s="103" t="str">
        <f>IF(AND('Customer Base'!D$9=3,'Customer Base'!D$13="Fronius",'Customer Base'!D$14&gt;17.5,'Customer Base'!D$14&lt;=20),'Customer Base'!D$15,IF(AND('Customer Base'!D$7="Mini-Grid",'Customer Base'!D$9=3,'Customer Base'!F$13="Fronius",'Customer Base'!F$14&gt;17.5,'Customer Base'!F$14&lt;=20),'Customer Base'!F$15,""))</f>
        <v/>
      </c>
      <c r="B112" s="270" t="s">
        <v>1</v>
      </c>
      <c r="C112" s="248" t="s">
        <v>2767</v>
      </c>
      <c r="D112" s="321">
        <v>3365.7647999999999</v>
      </c>
      <c r="E112" s="321">
        <v>3170.0810000000001</v>
      </c>
      <c r="F112" s="249">
        <f t="shared" si="10"/>
        <v>2761.0867924528297</v>
      </c>
      <c r="G112" s="249">
        <f>IFERROR(ROUNDUP(F112*'Customer Base'!$J$5,2),0)</f>
        <v>46110.15</v>
      </c>
      <c r="H112" s="249">
        <f t="shared" si="11"/>
        <v>2600.5586546349468</v>
      </c>
      <c r="I112" s="249">
        <f>IFERROR(ROUNDUP(H112*'Customer Base'!$J$5,2),0)</f>
        <v>43429.33</v>
      </c>
      <c r="J112" s="103" t="str">
        <f t="shared" si="18"/>
        <v/>
      </c>
      <c r="L112" s="103" t="str">
        <f t="shared" si="21"/>
        <v/>
      </c>
      <c r="N112" s="103">
        <v>109</v>
      </c>
      <c r="O112" s="103" t="str">
        <f>IF('Customer Base'!$I$15="MANUAL",IF(B112&lt;&gt;"",C112,""),IF('Customer Base'!$I$15="AUTOMATE",IF(A112&lt;&gt;"",C112,""),""))</f>
        <v/>
      </c>
      <c r="AM112" s="103">
        <v>20</v>
      </c>
      <c r="AN112" s="103" t="s">
        <v>2283</v>
      </c>
      <c r="AO112" s="103" t="str">
        <f>IF('Customer Base'!$I$15="MANUAL",IFERROR(AM112*B112,""),IF('Customer Base'!$I$15="AUTOMATE",IFERROR(AM112*A112,""),""))</f>
        <v/>
      </c>
      <c r="AP112" s="103">
        <v>1000</v>
      </c>
      <c r="AQ112" s="103" t="s">
        <v>2201</v>
      </c>
      <c r="AR112" s="103" t="s">
        <v>2210</v>
      </c>
      <c r="AS112" s="103">
        <v>3</v>
      </c>
      <c r="AT112" s="103" t="str">
        <f t="shared" si="19"/>
        <v/>
      </c>
      <c r="AV112" s="103" t="str">
        <f t="shared" si="20"/>
        <v/>
      </c>
    </row>
    <row r="113" spans="1:48">
      <c r="A113" s="103" t="str">
        <f>IF(AND('Customer Base'!D$9=3,'Customer Base'!D$13="Fronius",'Customer Base'!D$14&gt;20,'Customer Base'!D$14&lt;=25),'Customer Base'!D$15,IF(AND('Customer Base'!D$7="Mini-Grid",'Customer Base'!D$9=3,'Customer Base'!F$13="Fronius",'Customer Base'!F$14&gt;20,'Customer Base'!F$14&lt;=25),'Customer Base'!F$15,""))</f>
        <v/>
      </c>
      <c r="B113" s="270" t="s">
        <v>1</v>
      </c>
      <c r="C113" s="248" t="s">
        <v>1125</v>
      </c>
      <c r="D113" s="321">
        <v>3204.36</v>
      </c>
      <c r="E113" s="321">
        <v>3018.06</v>
      </c>
      <c r="F113" s="249">
        <f t="shared" si="10"/>
        <v>2628.6792452830186</v>
      </c>
      <c r="G113" s="249">
        <f>IFERROR(ROUNDUP(F113*'Customer Base'!$J$5,2),0)</f>
        <v>43898.950000000004</v>
      </c>
      <c r="H113" s="249">
        <f t="shared" si="11"/>
        <v>2475.8490566037735</v>
      </c>
      <c r="I113" s="249">
        <f>IFERROR(ROUNDUP(H113*'Customer Base'!$J$5,2),0)</f>
        <v>41346.68</v>
      </c>
      <c r="J113" s="103" t="str">
        <f t="shared" si="18"/>
        <v/>
      </c>
      <c r="L113" s="103" t="str">
        <f t="shared" si="21"/>
        <v/>
      </c>
      <c r="N113" s="103">
        <v>110</v>
      </c>
      <c r="O113" s="103" t="str">
        <f>IF('Customer Base'!$I$15="MANUAL",IF(B113&lt;&gt;"",C113,""),IF('Customer Base'!$I$15="AUTOMATE",IF(A113&lt;&gt;"",C113,""),""))</f>
        <v/>
      </c>
      <c r="AM113" s="103">
        <v>25</v>
      </c>
      <c r="AN113" s="103" t="s">
        <v>2284</v>
      </c>
      <c r="AO113" s="103" t="str">
        <f>IF('Customer Base'!$I$15="MANUAL",IFERROR(AM113*B113,""),IF('Customer Base'!$I$15="AUTOMATE",IFERROR(AM113*A113,""),""))</f>
        <v/>
      </c>
      <c r="AP113" s="103">
        <v>1000</v>
      </c>
      <c r="AQ113" s="103" t="s">
        <v>2201</v>
      </c>
      <c r="AR113" s="103" t="s">
        <v>2211</v>
      </c>
      <c r="AS113" s="103">
        <v>3</v>
      </c>
      <c r="AT113" s="103" t="str">
        <f t="shared" si="19"/>
        <v/>
      </c>
      <c r="AV113" s="103" t="str">
        <f t="shared" si="20"/>
        <v/>
      </c>
    </row>
    <row r="114" spans="1:48">
      <c r="A114" s="103" t="str">
        <f>IF(AND('Customer Base'!D$9=3,'Customer Base'!D$13="Fronius",'Customer Base'!D$14&gt;25,'Customer Base'!D$14&lt;=27),'Customer Base'!D$15,IF(AND('Customer Base'!D$7="Mini-Grid",'Customer Base'!D$9=3,'Customer Base'!F$13="Fronius",'Customer Base'!F$14&gt;25,'Customer Base'!F$14&lt;=27),'Customer Base'!F$15,""))</f>
        <v/>
      </c>
      <c r="B114" s="270" t="s">
        <v>1</v>
      </c>
      <c r="C114" s="248" t="s">
        <v>1126</v>
      </c>
      <c r="D114" s="321">
        <v>3297.24</v>
      </c>
      <c r="E114" s="321">
        <v>3105.54</v>
      </c>
      <c r="F114" s="249">
        <f t="shared" si="10"/>
        <v>2704.8728465955696</v>
      </c>
      <c r="G114" s="249">
        <f>IFERROR(ROUNDUP(F114*'Customer Base'!$J$5,2),0)</f>
        <v>45171.380000000005</v>
      </c>
      <c r="H114" s="249">
        <f t="shared" si="11"/>
        <v>2547.6127973748971</v>
      </c>
      <c r="I114" s="249">
        <f>IFERROR(ROUNDUP(H114*'Customer Base'!$J$5,2),0)</f>
        <v>42545.14</v>
      </c>
      <c r="J114" s="103" t="str">
        <f t="shared" si="18"/>
        <v/>
      </c>
      <c r="L114" s="103" t="str">
        <f t="shared" si="21"/>
        <v/>
      </c>
      <c r="N114" s="103">
        <v>111</v>
      </c>
      <c r="O114" s="103" t="str">
        <f>IF('Customer Base'!$I$15="MANUAL",IF(B114&lt;&gt;"",C114,""),IF('Customer Base'!$I$15="AUTOMATE",IF(A114&lt;&gt;"",C114,""),""))</f>
        <v/>
      </c>
      <c r="AM114" s="103">
        <v>27</v>
      </c>
      <c r="AN114" s="103" t="s">
        <v>2285</v>
      </c>
      <c r="AO114" s="103" t="str">
        <f>IF('Customer Base'!$I$15="MANUAL",IFERROR(AM114*B114,""),IF('Customer Base'!$I$15="AUTOMATE",IFERROR(AM114*A114,""),""))</f>
        <v/>
      </c>
      <c r="AP114" s="103">
        <v>1000</v>
      </c>
      <c r="AQ114" s="103" t="s">
        <v>2201</v>
      </c>
      <c r="AR114" s="103" t="s">
        <v>2211</v>
      </c>
      <c r="AS114" s="103">
        <v>3</v>
      </c>
      <c r="AT114" s="103" t="str">
        <f t="shared" si="19"/>
        <v/>
      </c>
      <c r="AV114" s="103" t="str">
        <f t="shared" si="20"/>
        <v/>
      </c>
    </row>
    <row r="115" spans="1:48">
      <c r="A115" s="103" t="str">
        <f>IF(AND('Customer Base'!D$9=3,'Customer Base'!D$13="Fronius",'Customer Base'!D$14&gt;27,'Customer Base'!D$14&lt;=30),'Customer Base'!D$15,IF(AND('Customer Base'!D$7="Mini-Grid",'Customer Base'!D$9=3,'Customer Base'!F$13="Fronius",'Customer Base'!F$14&gt;27,'Customer Base'!F$14&lt;=30),'Customer Base'!F$15,""))</f>
        <v/>
      </c>
      <c r="B115" s="270" t="s">
        <v>1</v>
      </c>
      <c r="C115" s="248" t="s">
        <v>2719</v>
      </c>
      <c r="D115" s="321">
        <v>4183.04</v>
      </c>
      <c r="E115" s="321">
        <v>3939.84</v>
      </c>
      <c r="F115" s="249">
        <f t="shared" si="10"/>
        <v>3431.5340442986053</v>
      </c>
      <c r="G115" s="249">
        <f>IFERROR(ROUNDUP(F115*'Customer Base'!$J$5,2),0)</f>
        <v>57306.62</v>
      </c>
      <c r="H115" s="249">
        <f t="shared" si="11"/>
        <v>3232.0262510254306</v>
      </c>
      <c r="I115" s="249">
        <f>IFERROR(ROUNDUP(H115*'Customer Base'!$J$5,2),0)</f>
        <v>53974.840000000004</v>
      </c>
      <c r="L115" s="103" t="str">
        <f t="shared" si="21"/>
        <v/>
      </c>
      <c r="N115" s="103">
        <v>112</v>
      </c>
      <c r="O115" s="103" t="str">
        <f>IF('Customer Base'!$I$15="MANUAL",IF(B115&lt;&gt;"",C115,""),IF('Customer Base'!$I$15="AUTOMATE",IF(A115&lt;&gt;"",C115,""),""))</f>
        <v/>
      </c>
      <c r="AM115" s="103">
        <v>30</v>
      </c>
      <c r="AN115" s="103" t="s">
        <v>2772</v>
      </c>
      <c r="AO115" s="103" t="str">
        <f>IF('Customer Base'!$I$15="MANUAL",IFERROR(AM115*B115,""),IF('Customer Base'!$I$15="AUTOMATE",IFERROR(AM115*A115,""),""))</f>
        <v/>
      </c>
      <c r="AP115" s="103">
        <v>1000</v>
      </c>
      <c r="AQ115" s="103" t="s">
        <v>2201</v>
      </c>
      <c r="AR115" s="103" t="s">
        <v>2774</v>
      </c>
      <c r="AS115" s="103">
        <v>3</v>
      </c>
      <c r="AT115" s="103" t="str">
        <f t="shared" si="19"/>
        <v/>
      </c>
      <c r="AV115" s="103" t="str">
        <f t="shared" si="20"/>
        <v/>
      </c>
    </row>
    <row r="116" spans="1:48">
      <c r="C116" s="248" t="s">
        <v>2720</v>
      </c>
      <c r="D116" s="321">
        <v>4148.04</v>
      </c>
      <c r="E116" s="321">
        <v>3907.44</v>
      </c>
      <c r="F116" s="249">
        <f t="shared" si="10"/>
        <v>3402.8219852337979</v>
      </c>
      <c r="G116" s="249">
        <f>IFERROR(ROUNDUP(F116*'Customer Base'!$J$5,2),0)</f>
        <v>56827.130000000005</v>
      </c>
      <c r="H116" s="249">
        <f t="shared" si="11"/>
        <v>3205.4470877768663</v>
      </c>
      <c r="I116" s="249">
        <f>IFERROR(ROUNDUP(H116*'Customer Base'!$J$5,2),0)</f>
        <v>53530.97</v>
      </c>
      <c r="J116" s="103" t="str">
        <f t="shared" ref="J116:J129" si="22">IF(D116&lt;&gt;"",IF(D116&lt;E116,"lkdfjk",""),"")</f>
        <v/>
      </c>
      <c r="L116" s="103" t="str">
        <f t="shared" si="21"/>
        <v/>
      </c>
      <c r="N116" s="103">
        <v>113</v>
      </c>
      <c r="O116" s="103" t="str">
        <f>IF('Customer Base'!$I$15="MANUAL",IF(B116&lt;&gt;"",C116,""),IF('Customer Base'!$I$15="AUTOMATE",IF(A116&lt;&gt;"",C116,""),""))</f>
        <v/>
      </c>
      <c r="AM116" s="103">
        <v>30</v>
      </c>
      <c r="AN116" s="103" t="s">
        <v>2772</v>
      </c>
      <c r="AO116" s="103">
        <f>IF('Customer Base'!$I$15="MANUAL",IFERROR(AM116*B116,""),IF('Customer Base'!$I$15="AUTOMATE",IFERROR(AM116*A116,""),""))</f>
        <v>0</v>
      </c>
      <c r="AP116" s="103">
        <v>1000</v>
      </c>
      <c r="AQ116" s="103" t="s">
        <v>2201</v>
      </c>
      <c r="AR116" s="103" t="s">
        <v>2774</v>
      </c>
      <c r="AS116" s="103">
        <v>3</v>
      </c>
      <c r="AT116" s="103" t="str">
        <f t="shared" si="19"/>
        <v/>
      </c>
      <c r="AV116" s="103" t="str">
        <f t="shared" si="20"/>
        <v/>
      </c>
    </row>
    <row r="117" spans="1:48">
      <c r="A117" s="103" t="str">
        <f>IF(AND('Customer Base'!D$9=3,'Customer Base'!D$13="Fronius",'Customer Base'!D$14&gt;30,'Customer Base'!D$14&lt;=33.3),'Customer Base'!D$15,IF(AND('Customer Base'!D$7="Mini-Grid",'Customer Base'!D$9=3,'Customer Base'!F$13="Fronius",'Customer Base'!F$14&gt;30,'Customer Base'!F$14&lt;=33.3),'Customer Base'!F$15,""))</f>
        <v/>
      </c>
      <c r="B117" s="270" t="s">
        <v>1</v>
      </c>
      <c r="C117" s="248" t="s">
        <v>2721</v>
      </c>
      <c r="D117" s="321">
        <v>4490.92</v>
      </c>
      <c r="E117" s="321">
        <v>4229.82</v>
      </c>
      <c r="F117" s="249">
        <f t="shared" si="10"/>
        <v>3684.1017227235438</v>
      </c>
      <c r="G117" s="249">
        <f>IFERROR(ROUNDUP(F117*'Customer Base'!$J$5,2),0)</f>
        <v>61524.5</v>
      </c>
      <c r="H117" s="249">
        <f t="shared" si="11"/>
        <v>3469.9097621000815</v>
      </c>
      <c r="I117" s="249">
        <f>IFERROR(ROUNDUP(H117*'Customer Base'!$J$5,2),0)</f>
        <v>57947.5</v>
      </c>
      <c r="J117" s="103" t="str">
        <f t="shared" si="22"/>
        <v/>
      </c>
      <c r="L117" s="103" t="str">
        <f t="shared" si="21"/>
        <v/>
      </c>
      <c r="N117" s="103">
        <v>114</v>
      </c>
      <c r="O117" s="103" t="str">
        <f>IF('Customer Base'!$I$15="MANUAL",IF(B117&lt;&gt;"",C117,""),IF('Customer Base'!$I$15="AUTOMATE",IF(A117&lt;&gt;"",C117,""),""))</f>
        <v/>
      </c>
      <c r="AM117" s="103">
        <v>33.299999999999997</v>
      </c>
      <c r="AN117" s="103" t="s">
        <v>2773</v>
      </c>
      <c r="AO117" s="103" t="str">
        <f>IF('Customer Base'!$I$15="MANUAL",IFERROR(AM117*B117,""),IF('Customer Base'!$I$15="AUTOMATE",IFERROR(AM117*A117,""),""))</f>
        <v/>
      </c>
      <c r="AP117" s="103">
        <v>1000</v>
      </c>
      <c r="AQ117" s="103" t="s">
        <v>2201</v>
      </c>
      <c r="AR117" s="103" t="s">
        <v>2774</v>
      </c>
      <c r="AS117" s="103">
        <v>3</v>
      </c>
      <c r="AT117" s="103" t="str">
        <f t="shared" si="19"/>
        <v/>
      </c>
      <c r="AV117" s="103" t="str">
        <f t="shared" si="20"/>
        <v/>
      </c>
    </row>
    <row r="118" spans="1:48">
      <c r="C118" s="248" t="s">
        <v>2722</v>
      </c>
      <c r="D118" s="321">
        <v>4458.24</v>
      </c>
      <c r="E118" s="321">
        <v>4199.04</v>
      </c>
      <c r="F118" s="249">
        <f t="shared" si="10"/>
        <v>3657.2928630024608</v>
      </c>
      <c r="G118" s="249">
        <f>IFERROR(ROUNDUP(F118*'Customer Base'!$J$5,2),0)</f>
        <v>61076.800000000003</v>
      </c>
      <c r="H118" s="249">
        <f t="shared" si="11"/>
        <v>3444.6595570139457</v>
      </c>
      <c r="I118" s="249">
        <f>IFERROR(ROUNDUP(H118*'Customer Base'!$J$5,2),0)</f>
        <v>57525.82</v>
      </c>
      <c r="J118" s="103" t="str">
        <f t="shared" si="22"/>
        <v/>
      </c>
      <c r="L118" s="103" t="str">
        <f t="shared" si="21"/>
        <v/>
      </c>
      <c r="N118" s="103">
        <v>115</v>
      </c>
      <c r="O118" s="103" t="str">
        <f>IF('Customer Base'!$I$15="MANUAL",IF(B118&lt;&gt;"",C118,""),IF('Customer Base'!$I$15="AUTOMATE",IF(A118&lt;&gt;"",C118,""),""))</f>
        <v/>
      </c>
      <c r="AM118" s="103">
        <v>33.299999999999997</v>
      </c>
      <c r="AN118" s="103" t="s">
        <v>2773</v>
      </c>
      <c r="AO118" s="103">
        <f>IF('Customer Base'!$I$15="MANUAL",IFERROR(AM118*B118,""),IF('Customer Base'!$I$15="AUTOMATE",IFERROR(AM118*A118,""),""))</f>
        <v>0</v>
      </c>
      <c r="AP118" s="103">
        <v>1000</v>
      </c>
      <c r="AQ118" s="103" t="s">
        <v>2201</v>
      </c>
      <c r="AR118" s="103" t="s">
        <v>2774</v>
      </c>
      <c r="AS118" s="103">
        <v>3</v>
      </c>
      <c r="AT118" s="103" t="str">
        <f t="shared" si="19"/>
        <v/>
      </c>
      <c r="AV118" s="103" t="str">
        <f t="shared" si="20"/>
        <v/>
      </c>
    </row>
    <row r="119" spans="1:48">
      <c r="A119" s="103" t="str">
        <f>IF(AND('Customer Base'!D$9=3,'Customer Base'!D$13="Fronius",'Customer Base'!D$14&gt;33.3,'Customer Base'!D$14&lt;=50),'Customer Base'!D$15,IF(AND('Customer Base'!D$7="Mini-Grid",'Customer Base'!D$9=3,'Customer Base'!F$13="Fronius",'Customer Base'!F$14&gt;33.3,'Customer Base'!F$14&lt;=50),'Customer Base'!F$15,""))</f>
        <v/>
      </c>
      <c r="B119" s="270" t="s">
        <v>1</v>
      </c>
      <c r="C119" s="248" t="s">
        <v>1015</v>
      </c>
      <c r="D119" s="321">
        <v>5951.2</v>
      </c>
      <c r="E119" s="321">
        <v>5605.2</v>
      </c>
      <c r="F119" s="249">
        <f t="shared" si="10"/>
        <v>4882.0344544708769</v>
      </c>
      <c r="G119" s="249">
        <f>IFERROR(ROUNDUP(F119*'Customer Base'!$J$5,2),0)</f>
        <v>81529.98</v>
      </c>
      <c r="H119" s="249">
        <f t="shared" si="11"/>
        <v>4598.1952420016405</v>
      </c>
      <c r="I119" s="249">
        <f>IFERROR(ROUNDUP(H119*'Customer Base'!$J$5,2),0)</f>
        <v>76789.87</v>
      </c>
      <c r="J119" s="103" t="str">
        <f t="shared" si="22"/>
        <v/>
      </c>
      <c r="L119" s="103" t="str">
        <f t="shared" si="21"/>
        <v/>
      </c>
      <c r="N119" s="103">
        <v>116</v>
      </c>
      <c r="O119" s="103" t="str">
        <f>IF('Customer Base'!$I$15="MANUAL",IF(B119&lt;&gt;"",C119,""),IF('Customer Base'!$I$15="AUTOMATE",IF(A119&lt;&gt;"",C119,""),""))</f>
        <v/>
      </c>
      <c r="AM119" s="103">
        <v>50</v>
      </c>
      <c r="AN119" s="103" t="s">
        <v>2286</v>
      </c>
      <c r="AO119" s="103" t="str">
        <f>IF('Customer Base'!$I$15="MANUAL",IFERROR(AM119*B119,""),IF('Customer Base'!$I$15="AUTOMATE",IFERROR(AM119*A119,""),""))</f>
        <v/>
      </c>
      <c r="AP119" s="103">
        <v>1000</v>
      </c>
      <c r="AQ119" s="103" t="s">
        <v>2201</v>
      </c>
      <c r="AR119" s="103" t="s">
        <v>2212</v>
      </c>
      <c r="AS119" s="103">
        <v>3</v>
      </c>
      <c r="AT119" s="103" t="str">
        <f t="shared" si="19"/>
        <v/>
      </c>
      <c r="AV119" s="103" t="str">
        <f t="shared" si="20"/>
        <v/>
      </c>
    </row>
    <row r="120" spans="1:48">
      <c r="A120" s="103" t="str">
        <f>IF(AND('Customer Base'!D$9=3,'Customer Base'!D$13="Fronius",'Customer Base'!D$14&gt;50,'Customer Base'!D$14&lt;=100),'Customer Base'!D$15,IF(AND('Customer Base'!D$7="Mini-Grid",'Customer Base'!D$9=3,'Customer Base'!F$13="Fronius",'Customer Base'!F$14&gt;50,'Customer Base'!F$14&lt;=100),'Customer Base'!F$15,""))</f>
        <v/>
      </c>
      <c r="B120" s="270" t="s">
        <v>1</v>
      </c>
      <c r="C120" s="248" t="s">
        <v>1016</v>
      </c>
      <c r="D120" s="321">
        <v>8345.44</v>
      </c>
      <c r="E120" s="321">
        <v>7860.24</v>
      </c>
      <c r="F120" s="249">
        <f t="shared" si="10"/>
        <v>6846.1361771944212</v>
      </c>
      <c r="G120" s="249">
        <f>IFERROR(ROUNDUP(F120*'Customer Base'!$J$5,2),0)</f>
        <v>114330.48</v>
      </c>
      <c r="H120" s="249">
        <f t="shared" si="11"/>
        <v>6448.1050041017224</v>
      </c>
      <c r="I120" s="249">
        <f>IFERROR(ROUNDUP(H120*'Customer Base'!$J$5,2),0)</f>
        <v>107683.36</v>
      </c>
      <c r="J120" s="103" t="str">
        <f t="shared" si="22"/>
        <v/>
      </c>
      <c r="L120" s="103" t="str">
        <f t="shared" si="21"/>
        <v/>
      </c>
      <c r="N120" s="103">
        <v>117</v>
      </c>
      <c r="O120" s="103" t="str">
        <f>IF('Customer Base'!$I$15="MANUAL",IF(B120&lt;&gt;"",C120,""),IF('Customer Base'!$I$15="AUTOMATE",IF(A120&lt;&gt;"",C120,""),""))</f>
        <v/>
      </c>
      <c r="AM120" s="103">
        <v>100</v>
      </c>
      <c r="AN120" s="103" t="s">
        <v>2287</v>
      </c>
      <c r="AO120" s="103" t="str">
        <f>IF('Customer Base'!$I$15="MANUAL",IFERROR(AM120*B120,""),IF('Customer Base'!$I$15="AUTOMATE",IFERROR(AM120*A120,""),""))</f>
        <v/>
      </c>
      <c r="AP120" s="103">
        <v>1000</v>
      </c>
      <c r="AQ120" s="103" t="s">
        <v>2201</v>
      </c>
      <c r="AR120" s="103" t="s">
        <v>2212</v>
      </c>
      <c r="AS120" s="103">
        <v>3</v>
      </c>
      <c r="AT120" s="103" t="str">
        <f t="shared" si="19"/>
        <v/>
      </c>
      <c r="AV120" s="103" t="str">
        <f t="shared" si="20"/>
        <v/>
      </c>
    </row>
    <row r="121" spans="1:48">
      <c r="D121" s="319"/>
      <c r="E121" s="319"/>
      <c r="F121" s="224">
        <f t="shared" si="10"/>
        <v>0</v>
      </c>
      <c r="G121" s="224">
        <f>IFERROR(ROUNDUP(F121*'Customer Base'!$J$5,2),0)</f>
        <v>0</v>
      </c>
      <c r="H121" s="224">
        <f t="shared" si="11"/>
        <v>0</v>
      </c>
      <c r="I121" s="224">
        <f>IFERROR(ROUNDUP(H121*'Customer Base'!$J$5,2),0)</f>
        <v>0</v>
      </c>
      <c r="J121" s="103" t="str">
        <f t="shared" si="22"/>
        <v/>
      </c>
      <c r="L121" s="103" t="str">
        <f t="shared" si="21"/>
        <v/>
      </c>
      <c r="N121" s="103">
        <v>118</v>
      </c>
      <c r="O121" s="103" t="str">
        <f>IF('Customer Base'!$I$15="MANUAL",IF(B121&lt;&gt;"",C121,""),IF('Customer Base'!$I$15="AUTOMATE",IF(A121&lt;&gt;"",C121,""),""))</f>
        <v/>
      </c>
      <c r="AO121" s="103">
        <f>IF('Customer Base'!$I$15="MANUAL",IFERROR(AM121*B121,""),IF('Customer Base'!$I$15="AUTOMATE",IFERROR(AM121*A121,""),""))</f>
        <v>0</v>
      </c>
      <c r="AT121" s="103" t="str">
        <f t="shared" si="19"/>
        <v/>
      </c>
      <c r="AV121" s="103" t="str">
        <f t="shared" si="20"/>
        <v/>
      </c>
    </row>
    <row r="122" spans="1:48">
      <c r="C122" s="250" t="s">
        <v>1486</v>
      </c>
      <c r="D122" s="321">
        <v>2038.2</v>
      </c>
      <c r="E122" s="321">
        <v>1919.7</v>
      </c>
      <c r="F122" s="249">
        <f t="shared" ref="F122:F133" si="23">$D122/1.219</f>
        <v>1672.0262510254306</v>
      </c>
      <c r="G122" s="249">
        <f>IFERROR(ROUNDUP(F122*'Customer Base'!$J$5,2),0)</f>
        <v>27922.84</v>
      </c>
      <c r="H122" s="249">
        <f t="shared" ref="H122:H133" si="24">$E122/1.219</f>
        <v>1574.8154224774405</v>
      </c>
      <c r="I122" s="249">
        <f>IFERROR(ROUNDUP(H122*'Customer Base'!$J$5,2),0)</f>
        <v>26299.42</v>
      </c>
      <c r="J122" s="103" t="str">
        <f t="shared" si="22"/>
        <v/>
      </c>
      <c r="L122" s="103" t="str">
        <f t="shared" si="21"/>
        <v/>
      </c>
      <c r="N122" s="103">
        <v>119</v>
      </c>
      <c r="O122" s="103" t="str">
        <f>IF('Customer Base'!$I$15="MANUAL",IF(B122&lt;&gt;"",C122,""),IF('Customer Base'!$I$15="AUTOMATE",IF(A122&lt;&gt;"",C122,""),""))</f>
        <v/>
      </c>
      <c r="AM122" s="103">
        <v>3</v>
      </c>
      <c r="AN122" s="103" t="s">
        <v>2288</v>
      </c>
      <c r="AO122" s="103">
        <f>IF('Customer Base'!$I$15="MANUAL",IFERROR(AM122*B122,""),IF('Customer Base'!$I$15="AUTOMATE",IFERROR(AM122*A122,""),""))</f>
        <v>0</v>
      </c>
      <c r="AP122" s="103">
        <v>1000</v>
      </c>
      <c r="AQ122" s="103">
        <v>48</v>
      </c>
      <c r="AR122" s="103" t="s">
        <v>2275</v>
      </c>
      <c r="AS122" s="103">
        <v>3</v>
      </c>
      <c r="AT122" s="103" t="str">
        <f t="shared" ref="AT122:AT133" si="25">IF(AND(AR122=$AY$1,$AZ$1=AN122),BA$1,"")</f>
        <v/>
      </c>
      <c r="AV122" s="103" t="str">
        <f t="shared" ref="AV122:AV133" si="26">IF(AU122&lt;&gt;"",AU122,AT122)</f>
        <v/>
      </c>
    </row>
    <row r="123" spans="1:48">
      <c r="C123" s="250" t="s">
        <v>1487</v>
      </c>
      <c r="D123" s="321">
        <v>2476.27</v>
      </c>
      <c r="E123" s="321">
        <v>2332.2979999999998</v>
      </c>
      <c r="F123" s="249">
        <f t="shared" si="23"/>
        <v>2031.3945857260048</v>
      </c>
      <c r="G123" s="249">
        <f>IFERROR(ROUNDUP(F123*'Customer Base'!$J$5,2),0)</f>
        <v>33924.29</v>
      </c>
      <c r="H123" s="249">
        <f t="shared" si="24"/>
        <v>1913.2879409351924</v>
      </c>
      <c r="I123" s="249">
        <f>IFERROR(ROUNDUP(H123*'Customer Base'!$J$5,2),0)</f>
        <v>31951.91</v>
      </c>
      <c r="J123" s="103" t="str">
        <f t="shared" si="22"/>
        <v/>
      </c>
      <c r="L123" s="103" t="str">
        <f t="shared" si="21"/>
        <v/>
      </c>
      <c r="N123" s="103">
        <v>120</v>
      </c>
      <c r="O123" s="103" t="str">
        <f>IF('Customer Base'!$I$15="MANUAL",IF(B123&lt;&gt;"",C123,""),IF('Customer Base'!$I$15="AUTOMATE",IF(A123&lt;&gt;"",C123,""),""))</f>
        <v/>
      </c>
      <c r="AM123" s="103">
        <v>5</v>
      </c>
      <c r="AN123" s="103" t="s">
        <v>2289</v>
      </c>
      <c r="AO123" s="103">
        <f>IF('Customer Base'!$I$15="MANUAL",IFERROR(AM123*B123,""),IF('Customer Base'!$I$15="AUTOMATE",IFERROR(AM123*A123,""),""))</f>
        <v>0</v>
      </c>
      <c r="AP123" s="103">
        <v>1000</v>
      </c>
      <c r="AQ123" s="103">
        <v>48</v>
      </c>
      <c r="AR123" s="103" t="s">
        <v>2275</v>
      </c>
      <c r="AS123" s="103">
        <v>3</v>
      </c>
      <c r="AT123" s="103" t="str">
        <f t="shared" si="25"/>
        <v/>
      </c>
      <c r="AV123" s="103" t="str">
        <f t="shared" si="26"/>
        <v/>
      </c>
    </row>
    <row r="124" spans="1:48">
      <c r="C124" s="250" t="s">
        <v>1488</v>
      </c>
      <c r="D124" s="321">
        <v>2748.56</v>
      </c>
      <c r="E124" s="321">
        <v>2588.7600000000002</v>
      </c>
      <c r="F124" s="249">
        <f t="shared" si="23"/>
        <v>2254.7662018047577</v>
      </c>
      <c r="G124" s="249">
        <f>IFERROR(ROUNDUP(F124*'Customer Base'!$J$5,2),0)</f>
        <v>37654.6</v>
      </c>
      <c r="H124" s="249">
        <f t="shared" si="24"/>
        <v>2123.6751435602955</v>
      </c>
      <c r="I124" s="249">
        <f>IFERROR(ROUNDUP(H124*'Customer Base'!$J$5,2),0)</f>
        <v>35465.380000000005</v>
      </c>
      <c r="J124" s="103" t="str">
        <f t="shared" si="22"/>
        <v/>
      </c>
      <c r="L124" s="103" t="str">
        <f t="shared" si="21"/>
        <v/>
      </c>
      <c r="N124" s="103">
        <v>121</v>
      </c>
      <c r="O124" s="103" t="str">
        <f>IF('Customer Base'!$I$15="MANUAL",IF(B124&lt;&gt;"",C124,""),IF('Customer Base'!$I$15="AUTOMATE",IF(A124&lt;&gt;"",C124,""),""))</f>
        <v/>
      </c>
      <c r="AM124" s="103">
        <v>6</v>
      </c>
      <c r="AN124" s="103" t="s">
        <v>2290</v>
      </c>
      <c r="AO124" s="103">
        <f>IF('Customer Base'!$I$15="MANUAL",IFERROR(AM124*B124,""),IF('Customer Base'!$I$15="AUTOMATE",IFERROR(AM124*A124,""),""))</f>
        <v>0</v>
      </c>
      <c r="AP124" s="103">
        <v>1000</v>
      </c>
      <c r="AQ124" s="103">
        <v>48</v>
      </c>
      <c r="AR124" s="103" t="s">
        <v>2275</v>
      </c>
      <c r="AS124" s="103">
        <v>3</v>
      </c>
      <c r="AT124" s="103" t="str">
        <f t="shared" si="25"/>
        <v/>
      </c>
      <c r="AV124" s="103" t="str">
        <f t="shared" si="26"/>
        <v/>
      </c>
    </row>
    <row r="125" spans="1:48">
      <c r="C125" s="250" t="s">
        <v>1489</v>
      </c>
      <c r="D125" s="321">
        <v>2337.48</v>
      </c>
      <c r="E125" s="321">
        <v>2201.58</v>
      </c>
      <c r="F125" s="249">
        <f t="shared" si="23"/>
        <v>1917.5389663658736</v>
      </c>
      <c r="G125" s="249">
        <f>IFERROR(ROUNDUP(F125*'Customer Base'!$J$5,2),0)</f>
        <v>32022.91</v>
      </c>
      <c r="H125" s="249">
        <f t="shared" si="24"/>
        <v>1806.0541427399505</v>
      </c>
      <c r="I125" s="249">
        <f>IFERROR(ROUNDUP(H125*'Customer Base'!$J$5,2),0)</f>
        <v>30161.109999999997</v>
      </c>
      <c r="J125" s="103" t="str">
        <f t="shared" si="22"/>
        <v/>
      </c>
      <c r="L125" s="103" t="str">
        <f t="shared" si="21"/>
        <v/>
      </c>
      <c r="N125" s="103">
        <v>122</v>
      </c>
      <c r="O125" s="103" t="str">
        <f>IF('Customer Base'!$I$15="MANUAL",IF(B125&lt;&gt;"",C125,""),IF('Customer Base'!$I$15="AUTOMATE",IF(A125&lt;&gt;"",C125,""),""))</f>
        <v/>
      </c>
      <c r="AM125" s="103">
        <v>3</v>
      </c>
      <c r="AN125" s="103" t="s">
        <v>2288</v>
      </c>
      <c r="AO125" s="103">
        <f>IF('Customer Base'!$I$15="MANUAL",IFERROR(AM125*B125,""),IF('Customer Base'!$I$15="AUTOMATE",IFERROR(AM125*A125,""),""))</f>
        <v>0</v>
      </c>
      <c r="AP125" s="103">
        <v>1000</v>
      </c>
      <c r="AQ125" s="103">
        <v>48</v>
      </c>
      <c r="AR125" s="103" t="s">
        <v>2276</v>
      </c>
      <c r="AS125" s="103">
        <v>3</v>
      </c>
      <c r="AT125" s="103" t="str">
        <f t="shared" si="25"/>
        <v/>
      </c>
      <c r="AV125" s="103" t="str">
        <f t="shared" si="26"/>
        <v/>
      </c>
    </row>
    <row r="126" spans="1:48">
      <c r="C126" s="250" t="s">
        <v>1490</v>
      </c>
      <c r="D126" s="321">
        <v>2494</v>
      </c>
      <c r="E126" s="321">
        <v>2349</v>
      </c>
      <c r="F126" s="249">
        <f t="shared" si="23"/>
        <v>2045.9392945036914</v>
      </c>
      <c r="G126" s="249">
        <f>IFERROR(ROUNDUP(F126*'Customer Base'!$J$5,2),0)</f>
        <v>34167.19</v>
      </c>
      <c r="H126" s="249">
        <f t="shared" si="24"/>
        <v>1926.9893355209188</v>
      </c>
      <c r="I126" s="249">
        <f>IFERROR(ROUNDUP(H126*'Customer Base'!$J$5,2),0)</f>
        <v>32180.73</v>
      </c>
      <c r="J126" s="103" t="str">
        <f t="shared" si="22"/>
        <v/>
      </c>
      <c r="L126" s="103" t="str">
        <f t="shared" si="21"/>
        <v/>
      </c>
      <c r="N126" s="103">
        <v>123</v>
      </c>
      <c r="O126" s="103" t="str">
        <f>IF('Customer Base'!$I$15="MANUAL",IF(B126&lt;&gt;"",C126,""),IF('Customer Base'!$I$15="AUTOMATE",IF(A126&lt;&gt;"",C126,""),""))</f>
        <v/>
      </c>
      <c r="AM126" s="103">
        <v>4</v>
      </c>
      <c r="AN126" s="103" t="s">
        <v>2291</v>
      </c>
      <c r="AO126" s="103">
        <f>IF('Customer Base'!$I$15="MANUAL",IFERROR(AM126*B126,""),IF('Customer Base'!$I$15="AUTOMATE",IFERROR(AM126*A126,""),""))</f>
        <v>0</v>
      </c>
      <c r="AP126" s="103">
        <v>1000</v>
      </c>
      <c r="AQ126" s="103">
        <v>48</v>
      </c>
      <c r="AR126" s="103" t="s">
        <v>2276</v>
      </c>
      <c r="AS126" s="103">
        <v>3</v>
      </c>
      <c r="AT126" s="103" t="str">
        <f t="shared" si="25"/>
        <v/>
      </c>
      <c r="AV126" s="103" t="str">
        <f t="shared" si="26"/>
        <v/>
      </c>
    </row>
    <row r="127" spans="1:48">
      <c r="C127" s="250" t="s">
        <v>1491</v>
      </c>
      <c r="D127" s="321">
        <v>2624.72</v>
      </c>
      <c r="E127" s="321">
        <v>2472.12</v>
      </c>
      <c r="F127" s="249">
        <f t="shared" si="23"/>
        <v>2153.1747333880226</v>
      </c>
      <c r="G127" s="249">
        <f>IFERROR(ROUNDUP(F127*'Customer Base'!$J$5,2),0)</f>
        <v>35958.020000000004</v>
      </c>
      <c r="H127" s="249">
        <f t="shared" si="24"/>
        <v>2027.9901558654633</v>
      </c>
      <c r="I127" s="249">
        <f>IFERROR(ROUNDUP(H127*'Customer Base'!$J$5,2),0)</f>
        <v>33867.440000000002</v>
      </c>
      <c r="J127" s="103" t="str">
        <f t="shared" si="22"/>
        <v/>
      </c>
      <c r="L127" s="103" t="str">
        <f t="shared" si="21"/>
        <v/>
      </c>
      <c r="N127" s="103">
        <v>124</v>
      </c>
      <c r="O127" s="103" t="str">
        <f>IF('Customer Base'!$I$15="MANUAL",IF(B127&lt;&gt;"",C127,""),IF('Customer Base'!$I$15="AUTOMATE",IF(A127&lt;&gt;"",C127,""),""))</f>
        <v/>
      </c>
      <c r="AM127" s="103">
        <v>5</v>
      </c>
      <c r="AN127" s="103" t="s">
        <v>2289</v>
      </c>
      <c r="AO127" s="103">
        <f>IF('Customer Base'!$I$15="MANUAL",IFERROR(AM127*B127,""),IF('Customer Base'!$I$15="AUTOMATE",IFERROR(AM127*A127,""),""))</f>
        <v>0</v>
      </c>
      <c r="AP127" s="103">
        <v>1000</v>
      </c>
      <c r="AQ127" s="103">
        <v>48</v>
      </c>
      <c r="AR127" s="103" t="s">
        <v>2276</v>
      </c>
      <c r="AS127" s="103">
        <v>3</v>
      </c>
      <c r="AT127" s="103" t="str">
        <f t="shared" si="25"/>
        <v/>
      </c>
      <c r="AV127" s="103" t="str">
        <f t="shared" si="26"/>
        <v/>
      </c>
    </row>
    <row r="128" spans="1:48">
      <c r="C128" s="250" t="s">
        <v>1492</v>
      </c>
      <c r="D128" s="321">
        <v>3116.64</v>
      </c>
      <c r="E128" s="321">
        <v>2935.44</v>
      </c>
      <c r="F128" s="249">
        <f t="shared" si="23"/>
        <v>2556.7186218211646</v>
      </c>
      <c r="G128" s="249">
        <f>IFERROR(ROUNDUP(F128*'Customer Base'!$J$5,2),0)</f>
        <v>42697.21</v>
      </c>
      <c r="H128" s="249">
        <f t="shared" si="24"/>
        <v>2408.0721903199342</v>
      </c>
      <c r="I128" s="249">
        <f>IFERROR(ROUNDUP(H128*'Customer Base'!$J$5,2),0)</f>
        <v>40214.810000000005</v>
      </c>
      <c r="J128" s="103" t="str">
        <f t="shared" si="22"/>
        <v/>
      </c>
      <c r="L128" s="103" t="str">
        <f t="shared" si="21"/>
        <v/>
      </c>
      <c r="N128" s="103">
        <v>125</v>
      </c>
      <c r="O128" s="103" t="str">
        <f>IF('Customer Base'!$I$15="MANUAL",IF(B128&lt;&gt;"",C128,""),IF('Customer Base'!$I$15="AUTOMATE",IF(A128&lt;&gt;"",C128,""),""))</f>
        <v/>
      </c>
      <c r="AM128" s="103">
        <v>6</v>
      </c>
      <c r="AN128" s="103" t="s">
        <v>2290</v>
      </c>
      <c r="AO128" s="103">
        <f>IF('Customer Base'!$I$15="MANUAL",IFERROR(AM128*B128,""),IF('Customer Base'!$I$15="AUTOMATE",IFERROR(AM128*A128,""),""))</f>
        <v>0</v>
      </c>
      <c r="AP128" s="103">
        <v>1000</v>
      </c>
      <c r="AQ128" s="103">
        <v>48</v>
      </c>
      <c r="AR128" s="103" t="s">
        <v>2276</v>
      </c>
      <c r="AS128" s="103">
        <v>3</v>
      </c>
      <c r="AT128" s="103" t="str">
        <f t="shared" si="25"/>
        <v/>
      </c>
      <c r="AV128" s="103" t="str">
        <f t="shared" si="26"/>
        <v/>
      </c>
    </row>
    <row r="129" spans="1:48">
      <c r="C129" s="250" t="s">
        <v>1493</v>
      </c>
      <c r="D129" s="321">
        <v>3598.24</v>
      </c>
      <c r="E129" s="321">
        <v>3389.04</v>
      </c>
      <c r="F129" s="249">
        <f t="shared" si="23"/>
        <v>2951.7965545529119</v>
      </c>
      <c r="G129" s="249">
        <f>IFERROR(ROUNDUP(F129*'Customer Base'!$J$5,2),0)</f>
        <v>49295.01</v>
      </c>
      <c r="H129" s="249">
        <f t="shared" si="24"/>
        <v>2780.1804757998357</v>
      </c>
      <c r="I129" s="249">
        <f>IFERROR(ROUNDUP(H129*'Customer Base'!$J$5,2),0)</f>
        <v>46429.020000000004</v>
      </c>
      <c r="J129" s="103" t="str">
        <f t="shared" si="22"/>
        <v/>
      </c>
      <c r="L129" s="103" t="str">
        <f t="shared" si="21"/>
        <v/>
      </c>
      <c r="N129" s="103">
        <v>126</v>
      </c>
      <c r="O129" s="103" t="str">
        <f>IF('Customer Base'!$I$15="MANUAL",IF(B129&lt;&gt;"",C129,""),IF('Customer Base'!$I$15="AUTOMATE",IF(A129&lt;&gt;"",C129,""),""))</f>
        <v/>
      </c>
      <c r="AM129" s="103">
        <v>8</v>
      </c>
      <c r="AN129" s="103" t="s">
        <v>2292</v>
      </c>
      <c r="AO129" s="103">
        <f>IF('Customer Base'!$I$15="MANUAL",IFERROR(AM129*B129,""),IF('Customer Base'!$I$15="AUTOMATE",IFERROR(AM129*A129,""),""))</f>
        <v>0</v>
      </c>
      <c r="AP129" s="103">
        <v>1000</v>
      </c>
      <c r="AQ129" s="103">
        <v>48</v>
      </c>
      <c r="AR129" s="103" t="s">
        <v>2276</v>
      </c>
      <c r="AS129" s="103">
        <v>3</v>
      </c>
      <c r="AT129" s="103" t="str">
        <f t="shared" si="25"/>
        <v/>
      </c>
      <c r="AV129" s="103" t="str">
        <f t="shared" si="26"/>
        <v/>
      </c>
    </row>
    <row r="130" spans="1:48">
      <c r="C130" s="250" t="s">
        <v>1494</v>
      </c>
      <c r="D130" s="321">
        <v>3758.2</v>
      </c>
      <c r="E130" s="321">
        <v>3539.38</v>
      </c>
      <c r="F130" s="249">
        <f t="shared" si="23"/>
        <v>3083.018867924528</v>
      </c>
      <c r="G130" s="249">
        <f>IFERROR(ROUNDUP(F130*'Customer Base'!$J$5,2),0)</f>
        <v>51486.420000000006</v>
      </c>
      <c r="H130" s="249">
        <f t="shared" si="24"/>
        <v>2903.5110746513533</v>
      </c>
      <c r="I130" s="249">
        <f>IFERROR(ROUNDUP(H130*'Customer Base'!$J$5,2),0)</f>
        <v>48488.639999999999</v>
      </c>
      <c r="L130" s="103" t="str">
        <f t="shared" si="21"/>
        <v/>
      </c>
      <c r="N130" s="103">
        <v>127</v>
      </c>
      <c r="O130" s="103" t="str">
        <f>IF('Customer Base'!$I$15="MANUAL",IF(B130&lt;&gt;"",C130,""),IF('Customer Base'!$I$15="AUTOMATE",IF(A130&lt;&gt;"",C130,""),""))</f>
        <v/>
      </c>
      <c r="AM130" s="103">
        <v>10</v>
      </c>
      <c r="AN130" s="103" t="s">
        <v>2293</v>
      </c>
      <c r="AO130" s="103">
        <f>IF('Customer Base'!$I$15="MANUAL",IFERROR(AM130*B130,""),IF('Customer Base'!$I$15="AUTOMATE",IFERROR(AM130*A130,""),""))</f>
        <v>0</v>
      </c>
      <c r="AP130" s="103">
        <v>1000</v>
      </c>
      <c r="AQ130" s="103">
        <v>48</v>
      </c>
      <c r="AR130" s="103" t="s">
        <v>2276</v>
      </c>
      <c r="AS130" s="103">
        <v>3</v>
      </c>
    </row>
    <row r="131" spans="1:48">
      <c r="C131" s="250"/>
      <c r="D131" s="321"/>
      <c r="E131" s="321"/>
      <c r="F131" s="249"/>
      <c r="G131" s="249"/>
      <c r="H131" s="249"/>
      <c r="I131" s="249"/>
      <c r="L131" s="103" t="str">
        <f t="shared" si="21"/>
        <v/>
      </c>
      <c r="N131" s="103">
        <v>128</v>
      </c>
      <c r="O131" s="103" t="str">
        <f>IF('Customer Base'!$I$15="MANUAL",IF(B131&lt;&gt;"",C131,""),IF('Customer Base'!$I$15="AUTOMATE",IF(A131&lt;&gt;"",C131,""),""))</f>
        <v/>
      </c>
      <c r="AO131" s="103">
        <f>IF('Customer Base'!$I$15="MANUAL",IFERROR(AM131*B131,""),IF('Customer Base'!$I$15="AUTOMATE",IFERROR(AM131*A131,""),""))</f>
        <v>0</v>
      </c>
    </row>
    <row r="132" spans="1:48">
      <c r="C132" s="250" t="s">
        <v>1473</v>
      </c>
      <c r="D132" s="321">
        <v>350</v>
      </c>
      <c r="E132" s="321">
        <v>350</v>
      </c>
      <c r="F132" s="249">
        <f t="shared" si="23"/>
        <v>287.12059064807215</v>
      </c>
      <c r="G132" s="249">
        <f>IFERROR(ROUNDUP(F132*'Customer Base'!$J$5,2),0)</f>
        <v>4794.92</v>
      </c>
      <c r="H132" s="249">
        <f t="shared" si="24"/>
        <v>287.12059064807215</v>
      </c>
      <c r="I132" s="249">
        <f>IFERROR(ROUNDUP(H132*'Customer Base'!$J$5,2),0)</f>
        <v>4794.92</v>
      </c>
      <c r="J132" s="103" t="str">
        <f>IF(D132&lt;&gt;"",IF(D132&lt;E132,"lkdfjk",""),"")</f>
        <v/>
      </c>
      <c r="L132" s="103" t="str">
        <f t="shared" si="21"/>
        <v/>
      </c>
      <c r="N132" s="103">
        <v>129</v>
      </c>
      <c r="O132" s="103" t="str">
        <f>IF('Customer Base'!$I$15="MANUAL",IF(B132&lt;&gt;"",C132,""),IF('Customer Base'!$I$15="AUTOMATE",IF(A132&lt;&gt;"",C132,""),""))</f>
        <v/>
      </c>
      <c r="AO132" s="103">
        <f>IF('Customer Base'!$I$15="MANUAL",IFERROR(AM132*B132,""),IF('Customer Base'!$I$15="AUTOMATE",IFERROR(AM132*A132,""),""))</f>
        <v>0</v>
      </c>
      <c r="AT132" s="103" t="str">
        <f t="shared" si="25"/>
        <v/>
      </c>
      <c r="AV132" s="103" t="str">
        <f t="shared" si="26"/>
        <v/>
      </c>
    </row>
    <row r="133" spans="1:48">
      <c r="D133" s="319"/>
      <c r="E133" s="319"/>
      <c r="F133" s="224">
        <f t="shared" si="23"/>
        <v>0</v>
      </c>
      <c r="G133" s="224">
        <f>IFERROR(ROUNDUP(F133*'Customer Base'!$J$5,2),0)</f>
        <v>0</v>
      </c>
      <c r="H133" s="224">
        <f t="shared" si="24"/>
        <v>0</v>
      </c>
      <c r="I133" s="224">
        <f>IFERROR(ROUNDUP(H133*'Customer Base'!$J$5,2),0)</f>
        <v>0</v>
      </c>
      <c r="J133" s="103" t="str">
        <f>IF(D133&lt;&gt;"",IF(D133&lt;E133,"lkdfjk",""),"")</f>
        <v/>
      </c>
      <c r="L133" s="103" t="str">
        <f t="shared" si="21"/>
        <v/>
      </c>
      <c r="N133" s="103">
        <v>130</v>
      </c>
      <c r="O133" s="103" t="str">
        <f>IF('Customer Base'!$I$15="MANUAL",IF(B133&lt;&gt;"",C133,""),IF('Customer Base'!$I$15="AUTOMATE",IF(A133&lt;&gt;"",C133,""),""))</f>
        <v/>
      </c>
      <c r="AO133" s="103">
        <f>IF('Customer Base'!$I$15="MANUAL",IFERROR(AM133*B133,""),IF('Customer Base'!$I$15="AUTOMATE",IFERROR(AM133*A133,""),""))</f>
        <v>0</v>
      </c>
      <c r="AT133" s="103" t="str">
        <f t="shared" si="25"/>
        <v/>
      </c>
      <c r="AV133" s="103" t="str">
        <f t="shared" si="26"/>
        <v/>
      </c>
    </row>
    <row r="134" spans="1:48">
      <c r="A134" s="103" t="str">
        <f>IFERROR(IF(OR(ROUNDUP(SUM(A103:A118)/6,0)=0,'Customer Base'!D7="Mini-Grid"),"",ROUNDUP(SUM(A103:A118)/6,0)),"")</f>
        <v/>
      </c>
      <c r="B134" s="270" t="s">
        <v>1</v>
      </c>
      <c r="C134" s="248" t="s">
        <v>983</v>
      </c>
      <c r="D134" s="321">
        <v>329.1</v>
      </c>
      <c r="E134" s="321">
        <v>309.971</v>
      </c>
      <c r="F134" s="249">
        <f t="shared" si="10"/>
        <v>269.97538966365875</v>
      </c>
      <c r="G134" s="249">
        <f>IFERROR(ROUNDUP(F134*'Customer Base'!$J$5,2),0)</f>
        <v>4508.59</v>
      </c>
      <c r="H134" s="249">
        <f t="shared" si="11"/>
        <v>254.28301886792451</v>
      </c>
      <c r="I134" s="249">
        <f>IFERROR(ROUNDUP(H134*'Customer Base'!$J$5,2),0)</f>
        <v>4246.5300000000007</v>
      </c>
      <c r="J134" s="103" t="str">
        <f>IF(D134&lt;&gt;"",IF(D134&lt;E134,"lkdfjk",""),"")</f>
        <v/>
      </c>
      <c r="L134" s="103" t="str">
        <f t="shared" ref="L134:L165" si="27">IF(H134&gt;F134,"lkkajdfkj","")</f>
        <v/>
      </c>
      <c r="N134" s="103">
        <v>131</v>
      </c>
      <c r="O134" s="103" t="str">
        <f>IF('Customer Base'!$I$15="MANUAL",IF(B134&lt;&gt;"",C134,""),IF('Customer Base'!$I$15="AUTOMATE",IF(A134&lt;&gt;"",C134,""),""))</f>
        <v/>
      </c>
      <c r="AO134" s="103" t="str">
        <f>IF('Customer Base'!$I$15="MANUAL",IFERROR(AM134*B134,""),IF('Customer Base'!$I$15="AUTOMATE",IFERROR(AM134*A134,""),""))</f>
        <v/>
      </c>
      <c r="AT134" s="103" t="str">
        <f t="shared" si="19"/>
        <v/>
      </c>
      <c r="AV134" s="103" t="str">
        <f t="shared" si="20"/>
        <v/>
      </c>
    </row>
    <row r="135" spans="1:48">
      <c r="C135" s="248"/>
      <c r="D135" s="321"/>
      <c r="E135" s="321"/>
      <c r="F135" s="249"/>
      <c r="G135" s="249"/>
      <c r="H135" s="249"/>
      <c r="I135" s="249"/>
      <c r="J135" s="103" t="str">
        <f>IF(D135&lt;&gt;"",IF(D135&lt;E135,"lkdfjk",""),"")</f>
        <v/>
      </c>
      <c r="L135" s="103" t="str">
        <f t="shared" si="27"/>
        <v/>
      </c>
      <c r="N135" s="103">
        <v>132</v>
      </c>
      <c r="O135" s="103" t="str">
        <f>IF('Customer Base'!$I$15="MANUAL",IF(B135&lt;&gt;"",C135,""),IF('Customer Base'!$I$15="AUTOMATE",IF(A135&lt;&gt;"",C135,""),""))</f>
        <v/>
      </c>
      <c r="AO135" s="103">
        <f>IF('Customer Base'!$I$15="MANUAL",IFERROR(AM135*B135,""),IF('Customer Base'!$I$15="AUTOMATE",IFERROR(AM135*A135,""),""))</f>
        <v>0</v>
      </c>
      <c r="AT135" s="103" t="str">
        <f t="shared" si="19"/>
        <v/>
      </c>
      <c r="AV135" s="103" t="str">
        <f t="shared" si="20"/>
        <v/>
      </c>
    </row>
    <row r="136" spans="1:48">
      <c r="A136" s="103" t="str">
        <f>IFERROR(IF(AND('Customer Base'!D7="Grid-Tied",'Customer Base'!D13="Fronius",'Customer Base'!D9=3,'Customer Base'!D34="No"),1,""),"")</f>
        <v/>
      </c>
      <c r="B136" s="270" t="s">
        <v>1</v>
      </c>
      <c r="C136" s="248" t="s">
        <v>2727</v>
      </c>
      <c r="D136" s="321">
        <v>306.56</v>
      </c>
      <c r="E136" s="321">
        <v>288.733</v>
      </c>
      <c r="F136" s="249">
        <f t="shared" si="10"/>
        <v>251.48482362592287</v>
      </c>
      <c r="G136" s="249">
        <f>IFERROR(ROUNDUP(F136*'Customer Base'!$J$5,2),0)</f>
        <v>4199.8</v>
      </c>
      <c r="H136" s="249">
        <f t="shared" si="11"/>
        <v>236.86054142739948</v>
      </c>
      <c r="I136" s="249">
        <f>IFERROR(ROUNDUP(H136*'Customer Base'!$J$5,2),0)</f>
        <v>3955.5800000000004</v>
      </c>
      <c r="J136" s="103" t="str">
        <f>IF(D136&lt;&gt;"",IF(D136&lt;E136,"lkdfjk",""),"")</f>
        <v/>
      </c>
      <c r="L136" s="103" t="str">
        <f t="shared" si="27"/>
        <v/>
      </c>
      <c r="N136" s="103">
        <v>133</v>
      </c>
      <c r="O136" s="103" t="str">
        <f>IF('Customer Base'!$I$15="MANUAL",IF(B136&lt;&gt;"",C136,""),IF('Customer Base'!$I$15="AUTOMATE",IF(A136&lt;&gt;"",C136,""),""))</f>
        <v/>
      </c>
      <c r="AO136" s="103" t="str">
        <f>IF('Customer Base'!$I$15="MANUAL",IFERROR(AM136*B136,""),IF('Customer Base'!$I$15="AUTOMATE",IFERROR(AM136*A136,""),""))</f>
        <v/>
      </c>
      <c r="AT136" s="103" t="str">
        <f t="shared" si="19"/>
        <v/>
      </c>
      <c r="AV136" s="103" t="str">
        <f t="shared" si="20"/>
        <v/>
      </c>
    </row>
    <row r="137" spans="1:48">
      <c r="C137" s="248" t="s">
        <v>2728</v>
      </c>
      <c r="D137" s="321">
        <v>306.56</v>
      </c>
      <c r="E137" s="321">
        <v>288.73</v>
      </c>
      <c r="F137" s="249">
        <f t="shared" si="10"/>
        <v>251.48482362592287</v>
      </c>
      <c r="G137" s="249">
        <f>IFERROR(ROUNDUP(F137*'Customer Base'!$J$5,2),0)</f>
        <v>4199.8</v>
      </c>
      <c r="H137" s="249">
        <f t="shared" si="11"/>
        <v>236.85808039376539</v>
      </c>
      <c r="I137" s="249">
        <f>IFERROR(ROUNDUP(H137*'Customer Base'!$J$5,2),0)</f>
        <v>3955.53</v>
      </c>
      <c r="L137" s="103" t="str">
        <f t="shared" si="27"/>
        <v/>
      </c>
      <c r="N137" s="103">
        <v>134</v>
      </c>
      <c r="O137" s="103" t="str">
        <f>IF('Customer Base'!$I$15="MANUAL",IF(B137&lt;&gt;"",C137,""),IF('Customer Base'!$I$15="AUTOMATE",IF(A137&lt;&gt;"",C137,""),""))</f>
        <v/>
      </c>
      <c r="AO137" s="103">
        <f>IF('Customer Base'!$I$15="MANUAL",IFERROR(AM137*B137,""),IF('Customer Base'!$I$15="AUTOMATE",IFERROR(AM137*A137,""),""))</f>
        <v>0</v>
      </c>
    </row>
    <row r="138" spans="1:48">
      <c r="C138" s="248" t="s">
        <v>2725</v>
      </c>
      <c r="D138" s="321">
        <v>306.56</v>
      </c>
      <c r="E138" s="321">
        <v>288.73</v>
      </c>
      <c r="F138" s="249">
        <f t="shared" si="10"/>
        <v>251.48482362592287</v>
      </c>
      <c r="G138" s="249">
        <f>IFERROR(ROUNDUP(F138*'Customer Base'!$J$5,2),0)</f>
        <v>4199.8</v>
      </c>
      <c r="H138" s="249">
        <f t="shared" si="11"/>
        <v>236.85808039376539</v>
      </c>
      <c r="I138" s="249">
        <f>IFERROR(ROUNDUP(H138*'Customer Base'!$J$5,2),0)</f>
        <v>3955.53</v>
      </c>
      <c r="L138" s="103" t="str">
        <f t="shared" si="27"/>
        <v/>
      </c>
      <c r="N138" s="103">
        <v>135</v>
      </c>
      <c r="O138" s="103" t="str">
        <f>IF('Customer Base'!$I$15="MANUAL",IF(B138&lt;&gt;"",C138,""),IF('Customer Base'!$I$15="AUTOMATE",IF(A138&lt;&gt;"",C138,""),""))</f>
        <v/>
      </c>
      <c r="AO138" s="103">
        <f>IF('Customer Base'!$I$15="MANUAL",IFERROR(AM138*B138,""),IF('Customer Base'!$I$15="AUTOMATE",IFERROR(AM138*A138,""),""))</f>
        <v>0</v>
      </c>
    </row>
    <row r="139" spans="1:48">
      <c r="C139" s="248" t="s">
        <v>1127</v>
      </c>
      <c r="D139" s="321">
        <v>306.56</v>
      </c>
      <c r="E139" s="321">
        <v>288.733</v>
      </c>
      <c r="F139" s="249">
        <f t="shared" si="10"/>
        <v>251.48482362592287</v>
      </c>
      <c r="G139" s="249">
        <f>IFERROR(ROUNDUP(F139*'Customer Base'!$J$5,2),0)</f>
        <v>4199.8</v>
      </c>
      <c r="H139" s="249">
        <f t="shared" si="11"/>
        <v>236.86054142739948</v>
      </c>
      <c r="I139" s="249">
        <f>IFERROR(ROUNDUP(H139*'Customer Base'!$J$5,2),0)</f>
        <v>3955.5800000000004</v>
      </c>
      <c r="J139" s="103" t="str">
        <f>IF(D139&lt;&gt;"",IF(D139&lt;E139,"lkdfjk",""),"")</f>
        <v/>
      </c>
      <c r="L139" s="103" t="str">
        <f t="shared" si="27"/>
        <v/>
      </c>
      <c r="N139" s="103">
        <v>136</v>
      </c>
      <c r="O139" s="103" t="str">
        <f>IF('Customer Base'!$I$15="MANUAL",IF(B139&lt;&gt;"",C139,""),IF('Customer Base'!$I$15="AUTOMATE",IF(A139&lt;&gt;"",C139,""),""))</f>
        <v/>
      </c>
      <c r="AO139" s="103">
        <f>IF('Customer Base'!$I$15="MANUAL",IFERROR(AM139*B139,""),IF('Customer Base'!$I$15="AUTOMATE",IFERROR(AM139*A139,""),""))</f>
        <v>0</v>
      </c>
      <c r="AT139" s="103" t="str">
        <f t="shared" si="19"/>
        <v/>
      </c>
      <c r="AV139" s="103" t="str">
        <f t="shared" si="20"/>
        <v/>
      </c>
    </row>
    <row r="140" spans="1:48">
      <c r="C140" s="248" t="s">
        <v>2726</v>
      </c>
      <c r="D140" s="321">
        <v>125.11</v>
      </c>
      <c r="E140" s="321">
        <v>117.839</v>
      </c>
      <c r="F140" s="249">
        <f t="shared" si="10"/>
        <v>102.63330598851518</v>
      </c>
      <c r="G140" s="249">
        <f>IFERROR(ROUNDUP(F140*'Customer Base'!$J$5,2),0)</f>
        <v>1713.98</v>
      </c>
      <c r="H140" s="249">
        <f t="shared" si="11"/>
        <v>96.668580803937644</v>
      </c>
      <c r="I140" s="249">
        <f>IFERROR(ROUNDUP(H140*'Customer Base'!$J$5,2),0)</f>
        <v>1614.37</v>
      </c>
      <c r="L140" s="103" t="str">
        <f t="shared" si="27"/>
        <v/>
      </c>
      <c r="N140" s="103">
        <v>137</v>
      </c>
      <c r="O140" s="103" t="str">
        <f>IF('Customer Base'!$I$15="MANUAL",IF(B140&lt;&gt;"",C140,""),IF('Customer Base'!$I$15="AUTOMATE",IF(A140&lt;&gt;"",C140,""),""))</f>
        <v/>
      </c>
      <c r="AO140" s="103">
        <f>IF('Customer Base'!$I$15="MANUAL",IFERROR(AM140*B140,""),IF('Customer Base'!$I$15="AUTOMATE",IFERROR(AM140*A140,""),""))</f>
        <v>0</v>
      </c>
    </row>
    <row r="141" spans="1:48">
      <c r="A141" s="103" t="str">
        <f>IFERROR(IF(AND('Customer Base'!D7="Grid-Tied",'Customer Base'!D13="Fronius",'Customer Base'!D9=1,'Customer Base'!D34="No"),1,""),"")</f>
        <v/>
      </c>
      <c r="B141" s="270" t="s">
        <v>1</v>
      </c>
      <c r="C141" s="248" t="s">
        <v>1128</v>
      </c>
      <c r="D141" s="321">
        <v>125.11</v>
      </c>
      <c r="E141" s="321">
        <v>117.839</v>
      </c>
      <c r="F141" s="249">
        <f t="shared" si="10"/>
        <v>102.63330598851518</v>
      </c>
      <c r="G141" s="249">
        <f>IFERROR(ROUNDUP(F141*'Customer Base'!$J$5,2),0)</f>
        <v>1713.98</v>
      </c>
      <c r="H141" s="249">
        <f t="shared" si="11"/>
        <v>96.668580803937644</v>
      </c>
      <c r="I141" s="249">
        <f>IFERROR(ROUNDUP(H141*'Customer Base'!$J$5,2),0)</f>
        <v>1614.37</v>
      </c>
      <c r="J141" s="103" t="str">
        <f t="shared" ref="J141:J172" si="28">IF(D141&lt;&gt;"",IF(D141&lt;E141,"lkdfjk",""),"")</f>
        <v/>
      </c>
      <c r="L141" s="103" t="str">
        <f t="shared" si="27"/>
        <v/>
      </c>
      <c r="N141" s="103">
        <v>138</v>
      </c>
      <c r="O141" s="103" t="str">
        <f>IF('Customer Base'!$I$15="MANUAL",IF(B141&lt;&gt;"",C141,""),IF('Customer Base'!$I$15="AUTOMATE",IF(A141&lt;&gt;"",C141,""),""))</f>
        <v/>
      </c>
      <c r="AO141" s="103" t="str">
        <f>IF('Customer Base'!$I$15="MANUAL",IFERROR(AM141*B141,""),IF('Customer Base'!$I$15="AUTOMATE",IFERROR(AM141*A141,""),""))</f>
        <v/>
      </c>
      <c r="AT141" s="103" t="str">
        <f t="shared" si="19"/>
        <v/>
      </c>
      <c r="AV141" s="103" t="str">
        <f t="shared" si="20"/>
        <v/>
      </c>
    </row>
    <row r="142" spans="1:48">
      <c r="C142" s="226"/>
      <c r="D142" s="319"/>
      <c r="E142" s="319"/>
      <c r="F142" s="224">
        <f t="shared" si="10"/>
        <v>0</v>
      </c>
      <c r="G142" s="224">
        <f>IFERROR(ROUNDUP(F142*'Customer Base'!$J$5,2),0)</f>
        <v>0</v>
      </c>
      <c r="H142" s="224">
        <f t="shared" si="11"/>
        <v>0</v>
      </c>
      <c r="I142" s="224"/>
      <c r="J142" s="103" t="str">
        <f t="shared" si="28"/>
        <v/>
      </c>
      <c r="L142" s="103" t="str">
        <f t="shared" si="27"/>
        <v/>
      </c>
      <c r="N142" s="103">
        <v>139</v>
      </c>
      <c r="O142" s="103" t="str">
        <f>IF('Customer Base'!$I$15="MANUAL",IF(B142&lt;&gt;"",C142,""),IF('Customer Base'!$I$15="AUTOMATE",IF(A142&lt;&gt;"",C142,""),""))</f>
        <v/>
      </c>
      <c r="AO142" s="103">
        <f>IF('Customer Base'!$I$15="MANUAL",IFERROR(AM142*B142,""),IF('Customer Base'!$I$15="AUTOMATE",IFERROR(AM142*A142,""),""))</f>
        <v>0</v>
      </c>
      <c r="AT142" s="103" t="str">
        <f t="shared" si="19"/>
        <v/>
      </c>
      <c r="AV142" s="103" t="str">
        <f t="shared" si="20"/>
        <v/>
      </c>
    </row>
    <row r="143" spans="1:48">
      <c r="A143" s="103" t="str">
        <f>IFERROR(IF(AND('Customer Base'!D7="Grid-Tied",OR('Customer Base'!D13="Huawei",'Customer Base'!D13="Fronius",'Customer Base'!D9=3),'Customer Base'!D34="No",'CABLE SIZING TOOL'!J27*2&gt;0,'CABLE SIZING TOOL'!J27*2&lt;=100),3*SUM(A136:A141,A97:A99),""),"")</f>
        <v/>
      </c>
      <c r="B143" s="270" t="s">
        <v>1</v>
      </c>
      <c r="C143" s="250" t="s">
        <v>1659</v>
      </c>
      <c r="D143" s="321">
        <v>122.54</v>
      </c>
      <c r="E143" s="321">
        <v>115.05200000000001</v>
      </c>
      <c r="F143" s="249">
        <f t="shared" si="10"/>
        <v>100.52502050861362</v>
      </c>
      <c r="G143" s="249">
        <f>IFERROR(ROUNDUP(F143*'Customer Base'!$J$5,2),0)</f>
        <v>1678.77</v>
      </c>
      <c r="H143" s="249">
        <f t="shared" si="11"/>
        <v>94.382280557834292</v>
      </c>
      <c r="I143" s="249">
        <f>IFERROR(ROUNDUP(H143*'Customer Base'!$J$5,2),0)</f>
        <v>1576.19</v>
      </c>
      <c r="J143" s="103" t="str">
        <f t="shared" si="28"/>
        <v/>
      </c>
      <c r="L143" s="103" t="str">
        <f t="shared" si="27"/>
        <v/>
      </c>
      <c r="N143" s="103">
        <v>140</v>
      </c>
      <c r="O143" s="103" t="str">
        <f>IF('Customer Base'!$I$15="MANUAL",IF(B143&lt;&gt;"",C143,""),IF('Customer Base'!$I$15="AUTOMATE",IF(A143&lt;&gt;"",C143,""),""))</f>
        <v/>
      </c>
      <c r="AO143" s="103" t="str">
        <f>IF('Customer Base'!$I$15="MANUAL",IFERROR(AM143*B143,""),IF('Customer Base'!$I$15="AUTOMATE",IFERROR(AM143*A143,""),""))</f>
        <v/>
      </c>
      <c r="AT143" s="103" t="str">
        <f t="shared" si="19"/>
        <v/>
      </c>
      <c r="AV143" s="103" t="str">
        <f t="shared" si="20"/>
        <v/>
      </c>
    </row>
    <row r="144" spans="1:48">
      <c r="A144" s="103" t="str">
        <f>IFERROR(IF(AND('Customer Base'!D7="Grid-Tied",OR('Customer Base'!D13="Huawei",'Customer Base'!D13="Fronius",'Customer Base'!D9=3),'Customer Base'!D34="No",'CABLE SIZING TOOL'!J27*2&gt;100,'CABLE SIZING TOOL'!J27*2&lt;=125),3*SUM(A136:A141,A97:A99),""),"")</f>
        <v/>
      </c>
      <c r="B144" s="270" t="s">
        <v>1</v>
      </c>
      <c r="C144" s="250" t="s">
        <v>1660</v>
      </c>
      <c r="D144" s="321">
        <v>65</v>
      </c>
      <c r="E144" s="321">
        <v>65</v>
      </c>
      <c r="F144" s="249">
        <f t="shared" si="10"/>
        <v>53.322395406070548</v>
      </c>
      <c r="G144" s="249">
        <f>IFERROR(ROUNDUP(F144*'Customer Base'!$J$5,2),0)</f>
        <v>890.49</v>
      </c>
      <c r="H144" s="249">
        <f t="shared" si="11"/>
        <v>53.322395406070548</v>
      </c>
      <c r="I144" s="249">
        <f>IFERROR(ROUNDUP(H144*'Customer Base'!$J$5,2),0)</f>
        <v>890.49</v>
      </c>
      <c r="J144" s="103" t="str">
        <f t="shared" si="28"/>
        <v/>
      </c>
      <c r="L144" s="103" t="str">
        <f t="shared" si="27"/>
        <v/>
      </c>
      <c r="N144" s="103">
        <v>141</v>
      </c>
      <c r="O144" s="103" t="str">
        <f>IF('Customer Base'!$I$15="MANUAL",IF(B144&lt;&gt;"",C144,""),IF('Customer Base'!$I$15="AUTOMATE",IF(A144&lt;&gt;"",C144,""),""))</f>
        <v/>
      </c>
      <c r="AO144" s="103" t="str">
        <f>IF('Customer Base'!$I$15="MANUAL",IFERROR(AM144*B144,""),IF('Customer Base'!$I$15="AUTOMATE",IFERROR(AM144*A144,""),""))</f>
        <v/>
      </c>
      <c r="AT144" s="103" t="str">
        <f t="shared" si="19"/>
        <v/>
      </c>
      <c r="AV144" s="103" t="str">
        <f t="shared" si="20"/>
        <v/>
      </c>
    </row>
    <row r="145" spans="1:48">
      <c r="A145" s="103" t="str">
        <f>IFERROR(IF(AND('Customer Base'!D7="Grid-Tied",OR('Customer Base'!D13="Huawei",'Customer Base'!D13="Fronius",'Customer Base'!D9=3),'Customer Base'!D34="No",'CABLE SIZING TOOL'!J27*2&gt;125,'CABLE SIZING TOOL'!J27*2&lt;=150),3*SUM(A136:A141,A97:A99),""),"")</f>
        <v/>
      </c>
      <c r="B145" s="270" t="s">
        <v>1</v>
      </c>
      <c r="C145" s="250" t="s">
        <v>1661</v>
      </c>
      <c r="D145" s="321">
        <v>122.54</v>
      </c>
      <c r="E145" s="321">
        <v>115.05200000000001</v>
      </c>
      <c r="F145" s="249">
        <f t="shared" si="10"/>
        <v>100.52502050861362</v>
      </c>
      <c r="G145" s="249">
        <f>IFERROR(ROUNDUP(F145*'Customer Base'!$J$5,2),0)</f>
        <v>1678.77</v>
      </c>
      <c r="H145" s="249">
        <f t="shared" si="11"/>
        <v>94.382280557834292</v>
      </c>
      <c r="I145" s="249">
        <f>IFERROR(ROUNDUP(H145*'Customer Base'!$J$5,2),0)</f>
        <v>1576.19</v>
      </c>
      <c r="J145" s="103" t="str">
        <f t="shared" si="28"/>
        <v/>
      </c>
      <c r="L145" s="103" t="str">
        <f t="shared" si="27"/>
        <v/>
      </c>
      <c r="N145" s="103">
        <v>142</v>
      </c>
      <c r="O145" s="103" t="str">
        <f>IF('Customer Base'!$I$15="MANUAL",IF(B145&lt;&gt;"",C145,""),IF('Customer Base'!$I$15="AUTOMATE",IF(A145&lt;&gt;"",C145,""),""))</f>
        <v/>
      </c>
      <c r="AO145" s="103" t="str">
        <f>IF('Customer Base'!$I$15="MANUAL",IFERROR(AM145*B145,""),IF('Customer Base'!$I$15="AUTOMATE",IFERROR(AM145*A145,""),""))</f>
        <v/>
      </c>
      <c r="AT145" s="103" t="str">
        <f t="shared" si="19"/>
        <v/>
      </c>
      <c r="AV145" s="103" t="str">
        <f t="shared" si="20"/>
        <v/>
      </c>
    </row>
    <row r="146" spans="1:48">
      <c r="A146" s="103" t="str">
        <f>IFERROR(IF(AND('Customer Base'!D7="Grid-Tied",OR('Customer Base'!D13="Huawei",'Customer Base'!D13="Fronius",'Customer Base'!D9=3),'Customer Base'!D34="No",'CABLE SIZING TOOL'!J27*2&gt;150,'CABLE SIZING TOOL'!J27*2&lt;=160),3*SUM(A136:A141,A97:A99),""),"")</f>
        <v/>
      </c>
      <c r="B146" s="270" t="s">
        <v>1</v>
      </c>
      <c r="C146" s="250" t="s">
        <v>1662</v>
      </c>
      <c r="D146" s="321">
        <v>65</v>
      </c>
      <c r="E146" s="321">
        <v>65</v>
      </c>
      <c r="F146" s="249">
        <f t="shared" si="10"/>
        <v>53.322395406070548</v>
      </c>
      <c r="G146" s="249">
        <f>IFERROR(ROUNDUP(F146*'Customer Base'!$J$5,2),0)</f>
        <v>890.49</v>
      </c>
      <c r="H146" s="249">
        <f t="shared" si="11"/>
        <v>53.322395406070548</v>
      </c>
      <c r="I146" s="249">
        <f>IFERROR(ROUNDUP(H146*'Customer Base'!$J$5,2),0)</f>
        <v>890.49</v>
      </c>
      <c r="J146" s="103" t="str">
        <f t="shared" si="28"/>
        <v/>
      </c>
      <c r="L146" s="103" t="str">
        <f t="shared" si="27"/>
        <v/>
      </c>
      <c r="N146" s="103">
        <v>143</v>
      </c>
      <c r="O146" s="103" t="str">
        <f>IF('Customer Base'!$I$15="MANUAL",IF(B146&lt;&gt;"",C146,""),IF('Customer Base'!$I$15="AUTOMATE",IF(A146&lt;&gt;"",C146,""),""))</f>
        <v/>
      </c>
      <c r="AO146" s="103" t="str">
        <f>IF('Customer Base'!$I$15="MANUAL",IFERROR(AM146*B146,""),IF('Customer Base'!$I$15="AUTOMATE",IFERROR(AM146*A146,""),""))</f>
        <v/>
      </c>
      <c r="AT146" s="103" t="str">
        <f t="shared" si="19"/>
        <v/>
      </c>
      <c r="AV146" s="103" t="str">
        <f t="shared" si="20"/>
        <v/>
      </c>
    </row>
    <row r="147" spans="1:48">
      <c r="A147" s="103" t="str">
        <f>IFERROR(IF(AND('Customer Base'!D7="Grid-Tied",OR('Customer Base'!D13="Huawei",'Customer Base'!D13="Fronius",'Customer Base'!D9=3),'Customer Base'!D34="No",'CABLE SIZING TOOL'!J27*2&gt;160,'CABLE SIZING TOOL'!J27*2&lt;=200),3*SUM(A136:A141,A97:A99),""),"")</f>
        <v/>
      </c>
      <c r="B147" s="270" t="s">
        <v>1</v>
      </c>
      <c r="C147" s="250" t="s">
        <v>1663</v>
      </c>
      <c r="D147" s="321">
        <v>122.54</v>
      </c>
      <c r="E147" s="321">
        <v>115.05200000000001</v>
      </c>
      <c r="F147" s="249">
        <f t="shared" si="10"/>
        <v>100.52502050861362</v>
      </c>
      <c r="G147" s="249">
        <f>IFERROR(ROUNDUP(F147*'Customer Base'!$J$5,2),0)</f>
        <v>1678.77</v>
      </c>
      <c r="H147" s="249">
        <f t="shared" si="11"/>
        <v>94.382280557834292</v>
      </c>
      <c r="I147" s="249">
        <f>IFERROR(ROUNDUP(H147*'Customer Base'!$J$5,2),0)</f>
        <v>1576.19</v>
      </c>
      <c r="J147" s="103" t="str">
        <f t="shared" si="28"/>
        <v/>
      </c>
      <c r="L147" s="103" t="str">
        <f t="shared" si="27"/>
        <v/>
      </c>
      <c r="N147" s="103">
        <v>144</v>
      </c>
      <c r="O147" s="103" t="str">
        <f>IF('Customer Base'!$I$15="MANUAL",IF(B147&lt;&gt;"",C147,""),IF('Customer Base'!$I$15="AUTOMATE",IF(A147&lt;&gt;"",C147,""),""))</f>
        <v/>
      </c>
      <c r="AO147" s="103" t="str">
        <f>IF('Customer Base'!$I$15="MANUAL",IFERROR(AM147*B147,""),IF('Customer Base'!$I$15="AUTOMATE",IFERROR(AM147*A147,""),""))</f>
        <v/>
      </c>
      <c r="AT147" s="103" t="str">
        <f t="shared" si="19"/>
        <v/>
      </c>
      <c r="AV147" s="103" t="str">
        <f t="shared" si="20"/>
        <v/>
      </c>
    </row>
    <row r="148" spans="1:48">
      <c r="A148" s="103" t="str">
        <f>IFERROR(IF(AND('Customer Base'!D7="Grid-Tied",OR('Customer Base'!D13="Huawei",'Customer Base'!D13="Fronius",'Customer Base'!D9=3),'Customer Base'!D34="No",'CABLE SIZING TOOL'!J27*2&gt;200,'CABLE SIZING TOOL'!J27*2&lt;=250),3*SUM(A136:A141,A97:A99),""),"")</f>
        <v/>
      </c>
      <c r="B148" s="270" t="s">
        <v>1</v>
      </c>
      <c r="C148" s="250" t="s">
        <v>1664</v>
      </c>
      <c r="D148" s="321">
        <v>122.54</v>
      </c>
      <c r="E148" s="321">
        <v>115.05200000000001</v>
      </c>
      <c r="F148" s="249">
        <f t="shared" si="10"/>
        <v>100.52502050861362</v>
      </c>
      <c r="G148" s="249">
        <f>IFERROR(ROUNDUP(F148*'Customer Base'!$J$5,2),0)</f>
        <v>1678.77</v>
      </c>
      <c r="H148" s="249">
        <f t="shared" si="11"/>
        <v>94.382280557834292</v>
      </c>
      <c r="I148" s="249">
        <f>IFERROR(ROUNDUP(H148*'Customer Base'!$J$5,2),0)</f>
        <v>1576.19</v>
      </c>
      <c r="J148" s="103" t="str">
        <f t="shared" si="28"/>
        <v/>
      </c>
      <c r="L148" s="103" t="str">
        <f t="shared" si="27"/>
        <v/>
      </c>
      <c r="N148" s="103">
        <v>145</v>
      </c>
      <c r="O148" s="103" t="str">
        <f>IF('Customer Base'!$I$15="MANUAL",IF(B148&lt;&gt;"",C148,""),IF('Customer Base'!$I$15="AUTOMATE",IF(A148&lt;&gt;"",C148,""),""))</f>
        <v/>
      </c>
      <c r="AO148" s="103" t="str">
        <f>IF('Customer Base'!$I$15="MANUAL",IFERROR(AM148*B148,""),IF('Customer Base'!$I$15="AUTOMATE",IFERROR(AM148*A148,""),""))</f>
        <v/>
      </c>
      <c r="AT148" s="103" t="str">
        <f t="shared" si="19"/>
        <v/>
      </c>
      <c r="AV148" s="103" t="str">
        <f t="shared" si="20"/>
        <v/>
      </c>
    </row>
    <row r="149" spans="1:48">
      <c r="A149" s="103" t="str">
        <f>IFERROR(IF(AND('Customer Base'!D7="Grid-Tied",OR('Customer Base'!D13="Huawei",'Customer Base'!D13="Fronius",'Customer Base'!D9=3),'Customer Base'!D34="No",'CABLE SIZING TOOL'!J27*2&gt;250,'CABLE SIZING TOOL'!J27*2&lt;=300),3*SUM(A136:A141,A97:A99),""),"")</f>
        <v/>
      </c>
      <c r="B149" s="270" t="s">
        <v>1</v>
      </c>
      <c r="C149" s="250" t="s">
        <v>2723</v>
      </c>
      <c r="D149" s="321">
        <v>122.54</v>
      </c>
      <c r="E149" s="321">
        <v>115.05</v>
      </c>
      <c r="F149" s="249">
        <f t="shared" si="10"/>
        <v>100.52502050861362</v>
      </c>
      <c r="G149" s="249">
        <f>IFERROR(ROUNDUP(F149*'Customer Base'!$J$5,2),0)</f>
        <v>1678.77</v>
      </c>
      <c r="H149" s="249">
        <f t="shared" si="11"/>
        <v>94.380639868744865</v>
      </c>
      <c r="I149" s="249">
        <f>IFERROR(ROUNDUP(H149*'Customer Base'!$J$5,2),0)</f>
        <v>1576.16</v>
      </c>
      <c r="J149" s="103" t="str">
        <f t="shared" si="28"/>
        <v/>
      </c>
      <c r="L149" s="103" t="str">
        <f t="shared" si="27"/>
        <v/>
      </c>
      <c r="N149" s="103">
        <v>146</v>
      </c>
      <c r="O149" s="103" t="str">
        <f>IF('Customer Base'!$I$15="MANUAL",IF(B149&lt;&gt;"",C149,""),IF('Customer Base'!$I$15="AUTOMATE",IF(A149&lt;&gt;"",C149,""),""))</f>
        <v/>
      </c>
      <c r="AO149" s="103" t="str">
        <f>IF('Customer Base'!$I$15="MANUAL",IFERROR(AM149*B149,""),IF('Customer Base'!$I$15="AUTOMATE",IFERROR(AM149*A149,""),""))</f>
        <v/>
      </c>
    </row>
    <row r="150" spans="1:48">
      <c r="A150" s="103" t="str">
        <f>IFERROR(IF(AND('Customer Base'!D7="Grid-Tied",OR('Customer Base'!D13="Huawei",'Customer Base'!D13="Fronius",'Customer Base'!D9=3),'Customer Base'!D34="No",'CABLE SIZING TOOL'!J27*2&gt;300,'CABLE SIZING TOOL'!J27*2&lt;=400),3*SUM(A136:A141,A97:A99),""),"")</f>
        <v/>
      </c>
      <c r="B150" s="270" t="s">
        <v>1</v>
      </c>
      <c r="C150" s="250" t="s">
        <v>2724</v>
      </c>
      <c r="D150" s="321">
        <v>122.54</v>
      </c>
      <c r="E150" s="321">
        <v>115.05200000000001</v>
      </c>
      <c r="F150" s="249">
        <f t="shared" si="10"/>
        <v>100.52502050861362</v>
      </c>
      <c r="G150" s="249">
        <f>IFERROR(ROUNDUP(F150*'Customer Base'!$J$5,2),0)</f>
        <v>1678.77</v>
      </c>
      <c r="H150" s="249">
        <f t="shared" si="11"/>
        <v>94.382280557834292</v>
      </c>
      <c r="I150" s="249">
        <f>IFERROR(ROUNDUP(H150*'Customer Base'!$J$5,2),0)</f>
        <v>1576.19</v>
      </c>
      <c r="J150" s="103" t="str">
        <f t="shared" si="28"/>
        <v/>
      </c>
      <c r="L150" s="103" t="str">
        <f t="shared" si="27"/>
        <v/>
      </c>
      <c r="N150" s="103">
        <v>147</v>
      </c>
      <c r="O150" s="103" t="str">
        <f>IF('Customer Base'!$I$15="MANUAL",IF(B150&lt;&gt;"",C150,""),IF('Customer Base'!$I$15="AUTOMATE",IF(A150&lt;&gt;"",C150,""),""))</f>
        <v/>
      </c>
      <c r="AO150" s="103" t="str">
        <f>IF('Customer Base'!$I$15="MANUAL",IFERROR(AM150*B150,""),IF('Customer Base'!$I$15="AUTOMATE",IFERROR(AM150*A150,""),""))</f>
        <v/>
      </c>
    </row>
    <row r="151" spans="1:48">
      <c r="A151" s="103" t="str">
        <f>IFERROR(IF(AND('Customer Base'!D7="Grid-Tied",OR('Customer Base'!D13="Huawei",'Customer Base'!D13="Fronius",'Customer Base'!D9=3),'Customer Base'!D34="No",'CABLE SIZING TOOL'!J27*2&gt;400,'CABLE SIZING TOOL'!J27*2&lt;=1000),3*SUM(A136:A141,A97:A99),""),"")</f>
        <v/>
      </c>
      <c r="B151" s="270" t="s">
        <v>1</v>
      </c>
      <c r="C151" s="250" t="s">
        <v>1828</v>
      </c>
      <c r="D151" s="321">
        <v>220</v>
      </c>
      <c r="E151" s="321">
        <v>220</v>
      </c>
      <c r="F151" s="249">
        <f t="shared" si="10"/>
        <v>180.47579983593107</v>
      </c>
      <c r="G151" s="249">
        <f>IFERROR(ROUNDUP(F151*'Customer Base'!$J$5,2),0)</f>
        <v>3013.9500000000003</v>
      </c>
      <c r="H151" s="249">
        <f t="shared" si="11"/>
        <v>180.47579983593107</v>
      </c>
      <c r="I151" s="249">
        <f>IFERROR(ROUNDUP(H151*'Customer Base'!$J$5,2),0)</f>
        <v>3013.9500000000003</v>
      </c>
      <c r="J151" s="103" t="str">
        <f t="shared" si="28"/>
        <v/>
      </c>
      <c r="L151" s="103" t="str">
        <f t="shared" si="27"/>
        <v/>
      </c>
      <c r="N151" s="103">
        <v>148</v>
      </c>
      <c r="O151" s="103" t="str">
        <f>IF('Customer Base'!$I$15="MANUAL",IF(B151&lt;&gt;"",C151,""),IF('Customer Base'!$I$15="AUTOMATE",IF(A151&lt;&gt;"",C151,""),""))</f>
        <v/>
      </c>
      <c r="AO151" s="103" t="str">
        <f>IF('Customer Base'!$I$15="MANUAL",IFERROR(AM151*B151,""),IF('Customer Base'!$I$15="AUTOMATE",IFERROR(AM151*A151,""),""))</f>
        <v/>
      </c>
      <c r="AT151" s="103" t="str">
        <f t="shared" si="19"/>
        <v/>
      </c>
      <c r="AV151" s="103" t="str">
        <f t="shared" si="20"/>
        <v/>
      </c>
    </row>
    <row r="152" spans="1:48">
      <c r="A152" s="103" t="str">
        <f>IFERROR(IF(AND('Customer Base'!D7="Grid-Tied",OR('Customer Base'!D13="Huawei",'Customer Base'!D13="Fronius",'Customer Base'!D9=3),'Customer Base'!D34="No",'CABLE SIZING TOOL'!J27*2&gt;1000,'CABLE SIZING TOOL'!J27*2&lt;=2000),3*SUM(A136:A141,A97:A99),""),"")</f>
        <v/>
      </c>
      <c r="B152" s="270" t="s">
        <v>1</v>
      </c>
      <c r="C152" s="250" t="s">
        <v>2626</v>
      </c>
      <c r="D152" s="321">
        <v>270</v>
      </c>
      <c r="E152" s="321">
        <v>270</v>
      </c>
      <c r="F152" s="249">
        <f t="shared" si="10"/>
        <v>221.49302707136997</v>
      </c>
      <c r="G152" s="249">
        <f>IFERROR(ROUNDUP(F152*'Customer Base'!$J$5,2),0)</f>
        <v>3698.94</v>
      </c>
      <c r="H152" s="249">
        <f t="shared" si="11"/>
        <v>221.49302707136997</v>
      </c>
      <c r="I152" s="249">
        <f>IFERROR(ROUNDUP(H152*'Customer Base'!$J$5,2),0)</f>
        <v>3698.94</v>
      </c>
      <c r="J152" s="103" t="str">
        <f t="shared" si="28"/>
        <v/>
      </c>
      <c r="L152" s="103" t="str">
        <f t="shared" si="27"/>
        <v/>
      </c>
      <c r="N152" s="103">
        <v>149</v>
      </c>
      <c r="O152" s="103" t="str">
        <f>IF('Customer Base'!$I$15="MANUAL",IF(B152&lt;&gt;"",C152,""),IF('Customer Base'!$I$15="AUTOMATE",IF(A152&lt;&gt;"",C152,""),""))</f>
        <v/>
      </c>
      <c r="AO152" s="103" t="str">
        <f>IF('Customer Base'!$I$15="MANUAL",IFERROR(AM152*B152,""),IF('Customer Base'!$I$15="AUTOMATE",IFERROR(AM152*A152,""),""))</f>
        <v/>
      </c>
    </row>
    <row r="153" spans="1:48">
      <c r="A153" s="103" t="str">
        <f>IFERROR(IF(AND('Customer Base'!D7="Grid-Tied",OR('Customer Base'!D13="Huawei",'Customer Base'!D13="Fronius",'Customer Base'!D9=3),'Customer Base'!D34="No",'CABLE SIZING TOOL'!J27&gt;2000),3*SUM(A136:A141,A97:A99),""),"")</f>
        <v/>
      </c>
      <c r="B153" s="270" t="s">
        <v>1</v>
      </c>
      <c r="C153" s="250" t="s">
        <v>1665</v>
      </c>
      <c r="D153" s="321">
        <v>285</v>
      </c>
      <c r="E153" s="321">
        <v>285</v>
      </c>
      <c r="F153" s="249">
        <f t="shared" si="10"/>
        <v>233.79819524200161</v>
      </c>
      <c r="G153" s="249">
        <f>IFERROR(ROUNDUP(F153*'Customer Base'!$J$5,2),0)</f>
        <v>3904.4300000000003</v>
      </c>
      <c r="H153" s="249">
        <f t="shared" si="11"/>
        <v>233.79819524200161</v>
      </c>
      <c r="I153" s="249">
        <f>IFERROR(ROUNDUP(H153*'Customer Base'!$J$5,2),0)</f>
        <v>3904.4300000000003</v>
      </c>
      <c r="J153" s="103" t="str">
        <f t="shared" si="28"/>
        <v/>
      </c>
      <c r="L153" s="103" t="str">
        <f t="shared" si="27"/>
        <v/>
      </c>
      <c r="N153" s="103">
        <v>150</v>
      </c>
      <c r="O153" s="103" t="str">
        <f>IF('Customer Base'!$I$15="MANUAL",IF(B153&lt;&gt;"",C153,""),IF('Customer Base'!$I$15="AUTOMATE",IF(A153&lt;&gt;"",C153,""),""))</f>
        <v/>
      </c>
      <c r="AO153" s="103" t="str">
        <f>IF('Customer Base'!$I$15="MANUAL",IFERROR(AM153*B153,""),IF('Customer Base'!$I$15="AUTOMATE",IFERROR(AM153*A153,""),""))</f>
        <v/>
      </c>
      <c r="AT153" s="103" t="str">
        <f t="shared" si="19"/>
        <v/>
      </c>
      <c r="AV153" s="103" t="str">
        <f t="shared" si="20"/>
        <v/>
      </c>
    </row>
    <row r="154" spans="1:48">
      <c r="C154" s="226"/>
      <c r="D154" s="319"/>
      <c r="E154" s="319"/>
      <c r="F154" s="224">
        <f t="shared" si="10"/>
        <v>0</v>
      </c>
      <c r="G154" s="224">
        <f>IFERROR(ROUNDUP(F154*'Customer Base'!$J$5,2),0)</f>
        <v>0</v>
      </c>
      <c r="H154" s="224">
        <f t="shared" si="11"/>
        <v>0</v>
      </c>
      <c r="I154" s="224"/>
      <c r="J154" s="103" t="str">
        <f t="shared" si="28"/>
        <v/>
      </c>
      <c r="L154" s="103" t="str">
        <f t="shared" si="27"/>
        <v/>
      </c>
      <c r="N154" s="103">
        <v>151</v>
      </c>
      <c r="O154" s="103" t="str">
        <f>IF('Customer Base'!$I$15="MANUAL",IF(B154&lt;&gt;"",C154,""),IF('Customer Base'!$I$15="AUTOMATE",IF(A154&lt;&gt;"",C154,""),""))</f>
        <v/>
      </c>
      <c r="AO154" s="103">
        <f>IF('Customer Base'!$I$15="MANUAL",IFERROR(AM154*B154,""),IF('Customer Base'!$I$15="AUTOMATE",IFERROR(AM154*A154,""),""))</f>
        <v>0</v>
      </c>
      <c r="AT154" s="103" t="str">
        <f t="shared" si="19"/>
        <v/>
      </c>
      <c r="AV154" s="103" t="str">
        <f t="shared" si="20"/>
        <v/>
      </c>
    </row>
    <row r="155" spans="1:48">
      <c r="C155" s="248" t="s">
        <v>1017</v>
      </c>
      <c r="D155" s="321">
        <v>59.39</v>
      </c>
      <c r="E155" s="321">
        <v>55.939</v>
      </c>
      <c r="F155" s="249">
        <f t="shared" si="10"/>
        <v>48.720262510254301</v>
      </c>
      <c r="G155" s="249">
        <f>IFERROR(ROUNDUP(F155*'Customer Base'!$J$5,2),0)</f>
        <v>813.63</v>
      </c>
      <c r="H155" s="249">
        <f t="shared" si="11"/>
        <v>45.889253486464312</v>
      </c>
      <c r="I155" s="249">
        <f>IFERROR(ROUNDUP(H155*'Customer Base'!$J$5,2),0)</f>
        <v>766.36</v>
      </c>
      <c r="J155" s="103" t="str">
        <f t="shared" si="28"/>
        <v/>
      </c>
      <c r="L155" s="103" t="str">
        <f t="shared" si="27"/>
        <v/>
      </c>
      <c r="N155" s="103">
        <v>152</v>
      </c>
      <c r="O155" s="103" t="str">
        <f>IF('Customer Base'!$I$15="MANUAL",IF(B155&lt;&gt;"",C155,""),IF('Customer Base'!$I$15="AUTOMATE",IF(A155&lt;&gt;"",C155,""),""))</f>
        <v/>
      </c>
      <c r="AO155" s="103">
        <f>IF('Customer Base'!$I$15="MANUAL",IFERROR(AM155*B155,""),IF('Customer Base'!$I$15="AUTOMATE",IFERROR(AM155*A155,""),""))</f>
        <v>0</v>
      </c>
      <c r="AT155" s="103" t="str">
        <f t="shared" si="19"/>
        <v/>
      </c>
      <c r="AV155" s="103" t="str">
        <f t="shared" si="20"/>
        <v/>
      </c>
    </row>
    <row r="156" spans="1:48">
      <c r="C156" s="248" t="s">
        <v>1018</v>
      </c>
      <c r="D156" s="321">
        <v>451</v>
      </c>
      <c r="E156" s="321">
        <v>424.78</v>
      </c>
      <c r="F156" s="249">
        <f t="shared" si="10"/>
        <v>369.97538966365869</v>
      </c>
      <c r="G156" s="249">
        <f>IFERROR(ROUNDUP(F156*'Customer Base'!$J$5,2),0)</f>
        <v>6178.59</v>
      </c>
      <c r="H156" s="249">
        <f t="shared" si="11"/>
        <v>348.46595570139453</v>
      </c>
      <c r="I156" s="249">
        <f>IFERROR(ROUNDUP(H156*'Customer Base'!$J$5,2),0)</f>
        <v>5819.39</v>
      </c>
      <c r="J156" s="103" t="str">
        <f t="shared" si="28"/>
        <v/>
      </c>
      <c r="L156" s="103" t="str">
        <f t="shared" si="27"/>
        <v/>
      </c>
      <c r="N156" s="103">
        <v>153</v>
      </c>
      <c r="O156" s="103" t="str">
        <f>IF('Customer Base'!$I$15="MANUAL",IF(B156&lt;&gt;"",C156,""),IF('Customer Base'!$I$15="AUTOMATE",IF(A156&lt;&gt;"",C156,""),""))</f>
        <v/>
      </c>
      <c r="AO156" s="103">
        <f>IF('Customer Base'!$I$15="MANUAL",IFERROR(AM156*B156,""),IF('Customer Base'!$I$15="AUTOMATE",IFERROR(AM156*A156,""),""))</f>
        <v>0</v>
      </c>
      <c r="AT156" s="103" t="str">
        <f t="shared" si="19"/>
        <v/>
      </c>
      <c r="AV156" s="103" t="str">
        <f t="shared" si="20"/>
        <v/>
      </c>
    </row>
    <row r="157" spans="1:48">
      <c r="C157" s="248" t="s">
        <v>1019</v>
      </c>
      <c r="D157" s="321">
        <v>186.04</v>
      </c>
      <c r="E157" s="321">
        <v>175.21899999999999</v>
      </c>
      <c r="F157" s="249">
        <f t="shared" si="10"/>
        <v>152.61689909762097</v>
      </c>
      <c r="G157" s="249">
        <f>IFERROR(ROUNDUP(F157*'Customer Base'!$J$5,2),0)</f>
        <v>2548.71</v>
      </c>
      <c r="H157" s="249">
        <f t="shared" si="11"/>
        <v>143.7399507793273</v>
      </c>
      <c r="I157" s="249">
        <f>IFERROR(ROUNDUP(H157*'Customer Base'!$J$5,2),0)</f>
        <v>2400.46</v>
      </c>
      <c r="J157" s="103" t="str">
        <f t="shared" si="28"/>
        <v/>
      </c>
      <c r="L157" s="103" t="str">
        <f t="shared" si="27"/>
        <v/>
      </c>
      <c r="N157" s="103">
        <v>154</v>
      </c>
      <c r="O157" s="103" t="str">
        <f>IF('Customer Base'!$I$15="MANUAL",IF(B157&lt;&gt;"",C157,""),IF('Customer Base'!$I$15="AUTOMATE",IF(A157&lt;&gt;"",C157,""),""))</f>
        <v/>
      </c>
      <c r="AO157" s="103">
        <f>IF('Customer Base'!$I$15="MANUAL",IFERROR(AM157*B157,""),IF('Customer Base'!$I$15="AUTOMATE",IFERROR(AM157*A157,""),""))</f>
        <v>0</v>
      </c>
      <c r="AT157" s="103" t="str">
        <f t="shared" si="19"/>
        <v/>
      </c>
      <c r="AV157" s="103" t="str">
        <f t="shared" si="20"/>
        <v/>
      </c>
    </row>
    <row r="158" spans="1:48">
      <c r="C158" s="248" t="s">
        <v>1020</v>
      </c>
      <c r="D158" s="321">
        <v>187.91</v>
      </c>
      <c r="E158" s="321">
        <v>176.98500000000001</v>
      </c>
      <c r="F158" s="249">
        <f t="shared" si="10"/>
        <v>154.15094339622641</v>
      </c>
      <c r="G158" s="249">
        <f>IFERROR(ROUNDUP(F158*'Customer Base'!$J$5,2),0)</f>
        <v>2574.3300000000004</v>
      </c>
      <c r="H158" s="249">
        <f t="shared" si="11"/>
        <v>145.18867924528303</v>
      </c>
      <c r="I158" s="249">
        <f>IFERROR(ROUNDUP(H158*'Customer Base'!$J$5,2),0)</f>
        <v>2424.6600000000003</v>
      </c>
      <c r="J158" s="103" t="str">
        <f t="shared" si="28"/>
        <v/>
      </c>
      <c r="L158" s="103" t="str">
        <f t="shared" si="27"/>
        <v/>
      </c>
      <c r="N158" s="103">
        <v>155</v>
      </c>
      <c r="O158" s="103" t="str">
        <f>IF('Customer Base'!$I$15="MANUAL",IF(B158&lt;&gt;"",C158,""),IF('Customer Base'!$I$15="AUTOMATE",IF(A158&lt;&gt;"",C158,""),""))</f>
        <v/>
      </c>
      <c r="AO158" s="103">
        <f>IF('Customer Base'!$I$15="MANUAL",IFERROR(AM158*B158,""),IF('Customer Base'!$I$15="AUTOMATE",IFERROR(AM158*A158,""),""))</f>
        <v>0</v>
      </c>
      <c r="AT158" s="103" t="str">
        <f t="shared" si="19"/>
        <v/>
      </c>
      <c r="AV158" s="103" t="str">
        <f t="shared" si="20"/>
        <v/>
      </c>
    </row>
    <row r="159" spans="1:48">
      <c r="C159" s="248" t="s">
        <v>1021</v>
      </c>
      <c r="D159" s="321">
        <v>190.54</v>
      </c>
      <c r="E159" s="321">
        <v>179.464</v>
      </c>
      <c r="F159" s="249">
        <f t="shared" si="10"/>
        <v>156.30844954881047</v>
      </c>
      <c r="G159" s="249">
        <f>IFERROR(ROUNDUP(F159*'Customer Base'!$J$5,2),0)</f>
        <v>2610.36</v>
      </c>
      <c r="H159" s="249">
        <f t="shared" si="11"/>
        <v>147.22231337161608</v>
      </c>
      <c r="I159" s="249">
        <f>IFERROR(ROUNDUP(H159*'Customer Base'!$J$5,2),0)</f>
        <v>2458.6200000000003</v>
      </c>
      <c r="J159" s="103" t="str">
        <f t="shared" si="28"/>
        <v/>
      </c>
      <c r="L159" s="103" t="str">
        <f t="shared" si="27"/>
        <v/>
      </c>
      <c r="N159" s="103">
        <v>156</v>
      </c>
      <c r="O159" s="103" t="str">
        <f>IF('Customer Base'!$I$15="MANUAL",IF(B159&lt;&gt;"",C159,""),IF('Customer Base'!$I$15="AUTOMATE",IF(A159&lt;&gt;"",C159,""),""))</f>
        <v/>
      </c>
      <c r="AO159" s="103">
        <f>IF('Customer Base'!$I$15="MANUAL",IFERROR(AM159*B159,""),IF('Customer Base'!$I$15="AUTOMATE",IFERROR(AM159*A159,""),""))</f>
        <v>0</v>
      </c>
      <c r="AT159" s="103" t="str">
        <f t="shared" si="19"/>
        <v/>
      </c>
      <c r="AV159" s="103" t="str">
        <f t="shared" si="20"/>
        <v/>
      </c>
    </row>
    <row r="160" spans="1:48">
      <c r="C160" s="248" t="s">
        <v>1022</v>
      </c>
      <c r="D160" s="321">
        <v>64.28</v>
      </c>
      <c r="E160" s="321">
        <v>60.539000000000001</v>
      </c>
      <c r="F160" s="249">
        <f t="shared" si="10"/>
        <v>52.731747333880229</v>
      </c>
      <c r="G160" s="249">
        <f>IFERROR(ROUNDUP(F160*'Customer Base'!$J$5,2),0)</f>
        <v>880.63</v>
      </c>
      <c r="H160" s="249">
        <f t="shared" si="11"/>
        <v>49.662838392124691</v>
      </c>
      <c r="I160" s="249">
        <f>IFERROR(ROUNDUP(H160*'Customer Base'!$J$5,2),0)</f>
        <v>829.37</v>
      </c>
      <c r="J160" s="103" t="str">
        <f t="shared" si="28"/>
        <v/>
      </c>
      <c r="L160" s="103" t="str">
        <f t="shared" si="27"/>
        <v/>
      </c>
      <c r="N160" s="103">
        <v>157</v>
      </c>
      <c r="O160" s="103" t="str">
        <f>IF('Customer Base'!$I$15="MANUAL",IF(B160&lt;&gt;"",C160,""),IF('Customer Base'!$I$15="AUTOMATE",IF(A160&lt;&gt;"",C160,""),""))</f>
        <v/>
      </c>
      <c r="AO160" s="103">
        <f>IF('Customer Base'!$I$15="MANUAL",IFERROR(AM160*B160,""),IF('Customer Base'!$I$15="AUTOMATE",IFERROR(AM160*A160,""),""))</f>
        <v>0</v>
      </c>
      <c r="AT160" s="103" t="str">
        <f t="shared" si="19"/>
        <v/>
      </c>
      <c r="AV160" s="103" t="str">
        <f t="shared" si="20"/>
        <v/>
      </c>
    </row>
    <row r="161" spans="1:48">
      <c r="D161" s="319"/>
      <c r="E161" s="319"/>
      <c r="F161" s="224">
        <f t="shared" si="10"/>
        <v>0</v>
      </c>
      <c r="G161" s="224">
        <f>IFERROR(ROUNDUP(F161*'Customer Base'!$J$5,2),0)</f>
        <v>0</v>
      </c>
      <c r="H161" s="224">
        <f t="shared" si="11"/>
        <v>0</v>
      </c>
      <c r="I161" s="224">
        <f>IFERROR(ROUNDUP(H161*'Customer Base'!$J$5,2),0)</f>
        <v>0</v>
      </c>
      <c r="J161" s="103" t="str">
        <f t="shared" si="28"/>
        <v/>
      </c>
      <c r="L161" s="103" t="str">
        <f t="shared" si="27"/>
        <v/>
      </c>
      <c r="N161" s="103">
        <v>158</v>
      </c>
      <c r="O161" s="103" t="str">
        <f>IF('Customer Base'!$I$15="MANUAL",IF(B161&lt;&gt;"",C161,""),IF('Customer Base'!$I$15="AUTOMATE",IF(A161&lt;&gt;"",C161,""),""))</f>
        <v/>
      </c>
      <c r="AO161" s="103">
        <f>IF('Customer Base'!$I$15="MANUAL",IFERROR(AM161*B161,""),IF('Customer Base'!$I$15="AUTOMATE",IFERROR(AM161*A161,""),""))</f>
        <v>0</v>
      </c>
      <c r="AT161" s="103" t="str">
        <f t="shared" si="19"/>
        <v/>
      </c>
      <c r="AV161" s="103" t="str">
        <f t="shared" si="20"/>
        <v/>
      </c>
    </row>
    <row r="162" spans="1:48">
      <c r="C162" s="246" t="s">
        <v>1887</v>
      </c>
      <c r="D162" s="320"/>
      <c r="E162" s="320"/>
      <c r="F162" s="234">
        <f t="shared" si="10"/>
        <v>0</v>
      </c>
      <c r="G162" s="234">
        <f>IFERROR(ROUNDUP(F162*'Customer Base'!$J$5,2),0)</f>
        <v>0</v>
      </c>
      <c r="H162" s="234">
        <f t="shared" si="11"/>
        <v>0</v>
      </c>
      <c r="I162" s="234">
        <f>IFERROR(ROUNDUP(H162*'Customer Base'!$J$5,2),0)</f>
        <v>0</v>
      </c>
      <c r="J162" s="103" t="str">
        <f t="shared" si="28"/>
        <v/>
      </c>
      <c r="L162" s="103" t="str">
        <f t="shared" si="27"/>
        <v/>
      </c>
      <c r="N162" s="103">
        <v>159</v>
      </c>
      <c r="O162" s="103" t="str">
        <f>IF('Customer Base'!$I$15="MANUAL",IF(B162&lt;&gt;"",C162,""),IF('Customer Base'!$I$15="AUTOMATE",IF(A162&lt;&gt;"",C162,""),""))</f>
        <v/>
      </c>
      <c r="AO162" s="103">
        <f>IF('Customer Base'!$I$15="MANUAL",IFERROR(AM162*B162,""),IF('Customer Base'!$I$15="AUTOMATE",IFERROR(AM162*A162,""),""))</f>
        <v>0</v>
      </c>
      <c r="AT162" s="103" t="str">
        <f t="shared" si="19"/>
        <v/>
      </c>
      <c r="AV162" s="103" t="str">
        <f t="shared" si="20"/>
        <v/>
      </c>
    </row>
    <row r="163" spans="1:48">
      <c r="A163" s="103" t="str">
        <f>IF(AND('Customer Base'!D7="Grid-Tied",'Customer Base'!D34="Yes",OR('Customer Base'!E34=0,'Customer Base'!E34=""),AND('Customer Base'!J9&gt;0,'Customer Base'!J9&lt;500)),1,"")</f>
        <v/>
      </c>
      <c r="B163" s="270" t="s">
        <v>1</v>
      </c>
      <c r="C163" s="348" t="s">
        <v>1638</v>
      </c>
      <c r="D163" s="330">
        <v>1430</v>
      </c>
      <c r="E163" s="330">
        <v>1430</v>
      </c>
      <c r="F163" s="263">
        <f t="shared" si="10"/>
        <v>1173.0926989335519</v>
      </c>
      <c r="G163" s="263">
        <f>IFERROR(ROUNDUP(F163*'Customer Base'!$J$5,2),0)</f>
        <v>19590.649999999998</v>
      </c>
      <c r="H163" s="263">
        <f t="shared" si="11"/>
        <v>1173.0926989335519</v>
      </c>
      <c r="I163" s="263">
        <f>IFERROR(ROUNDUP(H163*'Customer Base'!$J$5,2),0)</f>
        <v>19590.649999999998</v>
      </c>
      <c r="J163" s="103" t="str">
        <f t="shared" si="28"/>
        <v/>
      </c>
      <c r="L163" s="103" t="str">
        <f t="shared" si="27"/>
        <v/>
      </c>
      <c r="N163" s="103">
        <v>160</v>
      </c>
      <c r="O163" s="103" t="str">
        <f>IF('Customer Base'!$I$15="MANUAL",IF(B163&lt;&gt;"",C163,""),IF('Customer Base'!$I$15="AUTOMATE",IF(A163&lt;&gt;"",C163,""),""))</f>
        <v/>
      </c>
      <c r="AO163" s="103" t="str">
        <f>IF('Customer Base'!$I$15="MANUAL",IFERROR(AM163*B163,""),IF('Customer Base'!$I$15="AUTOMATE",IFERROR(AM163*A163,""),""))</f>
        <v/>
      </c>
      <c r="AT163" s="103" t="str">
        <f t="shared" si="19"/>
        <v/>
      </c>
      <c r="AV163" s="103" t="str">
        <f t="shared" si="20"/>
        <v/>
      </c>
    </row>
    <row r="164" spans="1:48">
      <c r="A164" s="103" t="str">
        <f>IF(AND('Customer Base'!D7="Grid-Tied",'Customer Base'!D34="Yes",OR('Customer Base'!E34=0,'Customer Base'!E34=""),AND('Customer Base'!J9&gt;500,'Customer Base'!J9&lt;=1000)),1,"")</f>
        <v/>
      </c>
      <c r="B164" s="270" t="s">
        <v>1</v>
      </c>
      <c r="C164" s="348" t="s">
        <v>1639</v>
      </c>
      <c r="D164" s="330">
        <v>1980</v>
      </c>
      <c r="E164" s="330">
        <v>1980</v>
      </c>
      <c r="F164" s="263">
        <f t="shared" si="10"/>
        <v>1624.2821985233797</v>
      </c>
      <c r="G164" s="263">
        <f>IFERROR(ROUNDUP(F164*'Customer Base'!$J$5,2),0)</f>
        <v>27125.519999999997</v>
      </c>
      <c r="H164" s="263">
        <f t="shared" si="11"/>
        <v>1624.2821985233797</v>
      </c>
      <c r="I164" s="263">
        <f>IFERROR(ROUNDUP(H164*'Customer Base'!$J$5,2),0)</f>
        <v>27125.519999999997</v>
      </c>
      <c r="J164" s="103" t="str">
        <f t="shared" si="28"/>
        <v/>
      </c>
      <c r="L164" s="103" t="str">
        <f t="shared" si="27"/>
        <v/>
      </c>
      <c r="N164" s="103">
        <v>161</v>
      </c>
      <c r="O164" s="103" t="str">
        <f>IF('Customer Base'!$I$15="MANUAL",IF(B164&lt;&gt;"",C164,""),IF('Customer Base'!$I$15="AUTOMATE",IF(A164&lt;&gt;"",C164,""),""))</f>
        <v/>
      </c>
      <c r="AO164" s="103" t="str">
        <f>IF('Customer Base'!$I$15="MANUAL",IFERROR(AM164*B164,""),IF('Customer Base'!$I$15="AUTOMATE",IFERROR(AM164*A164,""),""))</f>
        <v/>
      </c>
      <c r="AT164" s="103" t="str">
        <f t="shared" si="19"/>
        <v/>
      </c>
      <c r="AV164" s="103" t="str">
        <f t="shared" si="20"/>
        <v/>
      </c>
    </row>
    <row r="165" spans="1:48">
      <c r="A165" s="103" t="str">
        <f>IF(AND('Customer Base'!D7="Grid-Tied",'Customer Base'!D34="Yes",OR('Customer Base'!E34=0,'Customer Base'!E34=""),AND('Customer Base'!J9&gt;1000,'Customer Base'!J9&lt;=3000)),1,"")</f>
        <v/>
      </c>
      <c r="B165" s="270" t="s">
        <v>1</v>
      </c>
      <c r="C165" s="348" t="s">
        <v>1640</v>
      </c>
      <c r="D165" s="330">
        <v>3960</v>
      </c>
      <c r="E165" s="330">
        <v>3960</v>
      </c>
      <c r="F165" s="263">
        <f t="shared" si="10"/>
        <v>3248.5643970467595</v>
      </c>
      <c r="G165" s="263">
        <f>IFERROR(ROUNDUP(F165*'Customer Base'!$J$5,2),0)</f>
        <v>54251.03</v>
      </c>
      <c r="H165" s="263">
        <f t="shared" si="11"/>
        <v>3248.5643970467595</v>
      </c>
      <c r="I165" s="263">
        <f>IFERROR(ROUNDUP(H165*'Customer Base'!$J$5,2),0)</f>
        <v>54251.03</v>
      </c>
      <c r="J165" s="103" t="str">
        <f t="shared" si="28"/>
        <v/>
      </c>
      <c r="L165" s="103" t="str">
        <f t="shared" si="27"/>
        <v/>
      </c>
      <c r="N165" s="103">
        <v>162</v>
      </c>
      <c r="O165" s="103" t="str">
        <f>IF('Customer Base'!$I$15="MANUAL",IF(B165&lt;&gt;"",C165,""),IF('Customer Base'!$I$15="AUTOMATE",IF(A165&lt;&gt;"",C165,""),""))</f>
        <v/>
      </c>
      <c r="AO165" s="103" t="str">
        <f>IF('Customer Base'!$I$15="MANUAL",IFERROR(AM165*B165,""),IF('Customer Base'!$I$15="AUTOMATE",IFERROR(AM165*A165,""),""))</f>
        <v/>
      </c>
      <c r="AT165" s="103" t="str">
        <f t="shared" ref="AT165:AT202" si="29">IF(AND(AR165=$AY$1,$AZ$1=AN165),BA$1,"")</f>
        <v/>
      </c>
      <c r="AV165" s="103" t="str">
        <f t="shared" si="20"/>
        <v/>
      </c>
    </row>
    <row r="166" spans="1:48">
      <c r="A166" s="103" t="str">
        <f>IF(AND('Customer Base'!D7="Grid-Tied",'Customer Base'!D34="Yes",'Customer Base'!E34=1,AND('Customer Base'!J9&gt;0,'Customer Base'!J9&lt;300)),1,"")</f>
        <v/>
      </c>
      <c r="B166" s="270" t="s">
        <v>1</v>
      </c>
      <c r="C166" s="348" t="s">
        <v>1637</v>
      </c>
      <c r="D166" s="330">
        <v>4180</v>
      </c>
      <c r="E166" s="330">
        <v>4180</v>
      </c>
      <c r="F166" s="263">
        <f t="shared" si="10"/>
        <v>3429.0401968826905</v>
      </c>
      <c r="G166" s="263">
        <f>IFERROR(ROUNDUP(F166*'Customer Base'!$J$5,2),0)</f>
        <v>57264.98</v>
      </c>
      <c r="H166" s="263">
        <f t="shared" si="11"/>
        <v>3429.0401968826905</v>
      </c>
      <c r="I166" s="263">
        <f>IFERROR(ROUNDUP(H166*'Customer Base'!$J$5,2),0)</f>
        <v>57264.98</v>
      </c>
      <c r="J166" s="103" t="str">
        <f t="shared" si="28"/>
        <v/>
      </c>
      <c r="L166" s="103" t="str">
        <f t="shared" ref="L166:L197" si="30">IF(H166&gt;F166,"lkkajdfkj","")</f>
        <v/>
      </c>
      <c r="N166" s="103">
        <v>163</v>
      </c>
      <c r="O166" s="103" t="str">
        <f>IF('Customer Base'!$I$15="MANUAL",IF(B166&lt;&gt;"",C166,""),IF('Customer Base'!$I$15="AUTOMATE",IF(A166&lt;&gt;"",C166,""),""))</f>
        <v/>
      </c>
      <c r="AO166" s="103" t="str">
        <f>IF('Customer Base'!$I$15="MANUAL",IFERROR(AM166*B166,""),IF('Customer Base'!$I$15="AUTOMATE",IFERROR(AM166*A166,""),""))</f>
        <v/>
      </c>
      <c r="AT166" s="103" t="str">
        <f t="shared" si="29"/>
        <v/>
      </c>
      <c r="AV166" s="103" t="str">
        <f t="shared" ref="AV166:AV202" si="31">IF(AU166&lt;&gt;"",AU166,AT166)</f>
        <v/>
      </c>
    </row>
    <row r="167" spans="1:48">
      <c r="A167" s="103" t="str">
        <f>IF(AND('Customer Base'!D7="Grid-Tied",'Customer Base'!D34="Yes",AND('Customer Base'!E34&gt;1,'Customer Base'!E34&lt;=4),AND('Customer Base'!J9&gt;0,'Customer Base'!J9&lt;300)),1,"")</f>
        <v/>
      </c>
      <c r="B167" s="270" t="s">
        <v>1</v>
      </c>
      <c r="C167" s="348" t="s">
        <v>1641</v>
      </c>
      <c r="D167" s="330">
        <v>5500</v>
      </c>
      <c r="E167" s="330">
        <v>5500</v>
      </c>
      <c r="F167" s="263">
        <f t="shared" si="10"/>
        <v>4511.8949958982766</v>
      </c>
      <c r="G167" s="263">
        <f>IFERROR(ROUNDUP(F167*'Customer Base'!$J$5,2),0)</f>
        <v>75348.649999999994</v>
      </c>
      <c r="H167" s="263">
        <f t="shared" si="11"/>
        <v>4511.8949958982766</v>
      </c>
      <c r="I167" s="263">
        <f>IFERROR(ROUNDUP(H167*'Customer Base'!$J$5,2),0)</f>
        <v>75348.649999999994</v>
      </c>
      <c r="J167" s="103" t="str">
        <f t="shared" si="28"/>
        <v/>
      </c>
      <c r="L167" s="103" t="str">
        <f t="shared" si="30"/>
        <v/>
      </c>
      <c r="N167" s="103">
        <v>164</v>
      </c>
      <c r="O167" s="103" t="str">
        <f>IF('Customer Base'!$I$15="MANUAL",IF(B167&lt;&gt;"",C167,""),IF('Customer Base'!$I$15="AUTOMATE",IF(A167&lt;&gt;"",C167,""),""))</f>
        <v/>
      </c>
      <c r="AO167" s="103" t="str">
        <f>IF('Customer Base'!$I$15="MANUAL",IFERROR(AM167*B167,""),IF('Customer Base'!$I$15="AUTOMATE",IFERROR(AM167*A167,""),""))</f>
        <v/>
      </c>
      <c r="AT167" s="103" t="str">
        <f t="shared" si="29"/>
        <v/>
      </c>
      <c r="AV167" s="103" t="str">
        <f t="shared" si="31"/>
        <v/>
      </c>
    </row>
    <row r="168" spans="1:48">
      <c r="A168" s="103" t="str">
        <f>IF(AND('Customer Base'!D7="Grid-Tied",'Customer Base'!D34="Yes",'Customer Base'!E34&gt;1,AND('Customer Base'!J9&gt;0,'Customer Base'!J9&lt;500)),1,"")</f>
        <v/>
      </c>
      <c r="B168" s="270" t="s">
        <v>1</v>
      </c>
      <c r="C168" s="348" t="s">
        <v>1642</v>
      </c>
      <c r="D168" s="330">
        <v>12100</v>
      </c>
      <c r="E168" s="330">
        <v>12100</v>
      </c>
      <c r="F168" s="263">
        <f t="shared" si="10"/>
        <v>9926.1689909762099</v>
      </c>
      <c r="G168" s="263">
        <f>IFERROR(ROUNDUP(F168*'Customer Base'!$J$5,2),0)</f>
        <v>165767.03</v>
      </c>
      <c r="H168" s="263">
        <f t="shared" si="11"/>
        <v>9926.1689909762099</v>
      </c>
      <c r="I168" s="263">
        <f>IFERROR(ROUNDUP(H168*'Customer Base'!$J$5,2),0)</f>
        <v>165767.03</v>
      </c>
      <c r="J168" s="103" t="str">
        <f t="shared" si="28"/>
        <v/>
      </c>
      <c r="L168" s="103" t="str">
        <f t="shared" si="30"/>
        <v/>
      </c>
      <c r="N168" s="103">
        <v>165</v>
      </c>
      <c r="O168" s="103" t="str">
        <f>IF('Customer Base'!$I$15="MANUAL",IF(B168&lt;&gt;"",C168,""),IF('Customer Base'!$I$15="AUTOMATE",IF(A168&lt;&gt;"",C168,""),""))</f>
        <v/>
      </c>
      <c r="AO168" s="103" t="str">
        <f>IF('Customer Base'!$I$15="MANUAL",IFERROR(AM168*B168,""),IF('Customer Base'!$I$15="AUTOMATE",IFERROR(AM168*A168,""),""))</f>
        <v/>
      </c>
      <c r="AT168" s="103" t="str">
        <f t="shared" si="29"/>
        <v/>
      </c>
      <c r="AV168" s="103" t="str">
        <f t="shared" si="31"/>
        <v/>
      </c>
    </row>
    <row r="169" spans="1:48">
      <c r="A169" s="103" t="str">
        <f>IF(AND('Customer Base'!D7="Grid-Tied",'Customer Base'!D34="Yes",'Customer Base'!E34&gt;0,AND('Customer Base'!J9&gt;500,'Customer Base'!J9&lt;1000)),1,"")</f>
        <v/>
      </c>
      <c r="B169" s="270" t="s">
        <v>1</v>
      </c>
      <c r="C169" s="348" t="s">
        <v>1644</v>
      </c>
      <c r="D169" s="330">
        <v>20900</v>
      </c>
      <c r="E169" s="330">
        <v>20900</v>
      </c>
      <c r="F169" s="263">
        <f t="shared" si="10"/>
        <v>17145.200984413452</v>
      </c>
      <c r="G169" s="263">
        <f>IFERROR(ROUNDUP(F169*'Customer Base'!$J$5,2),0)</f>
        <v>286324.86</v>
      </c>
      <c r="H169" s="263">
        <f t="shared" si="11"/>
        <v>17145.200984413452</v>
      </c>
      <c r="I169" s="263">
        <f>IFERROR(ROUNDUP(H169*'Customer Base'!$J$5,2),0)</f>
        <v>286324.86</v>
      </c>
      <c r="J169" s="103" t="str">
        <f t="shared" si="28"/>
        <v/>
      </c>
      <c r="L169" s="103" t="str">
        <f t="shared" si="30"/>
        <v/>
      </c>
      <c r="N169" s="103">
        <v>166</v>
      </c>
      <c r="O169" s="103" t="str">
        <f>IF('Customer Base'!$I$15="MANUAL",IF(B169&lt;&gt;"",C169,""),IF('Customer Base'!$I$15="AUTOMATE",IF(A169&lt;&gt;"",C169,""),""))</f>
        <v/>
      </c>
      <c r="AO169" s="103" t="str">
        <f>IF('Customer Base'!$I$15="MANUAL",IFERROR(AM169*B169,""),IF('Customer Base'!$I$15="AUTOMATE",IFERROR(AM169*A169,""),""))</f>
        <v/>
      </c>
      <c r="AT169" s="103" t="str">
        <f t="shared" si="29"/>
        <v/>
      </c>
      <c r="AV169" s="103" t="str">
        <f t="shared" si="31"/>
        <v/>
      </c>
    </row>
    <row r="170" spans="1:48">
      <c r="A170" s="103" t="str">
        <f>IF(AND('Customer Base'!D7="Grid-Tied",'Customer Base'!D34="Yes",'Customer Base'!E34&gt;0,AND('Customer Base'!J9&gt;1000,'Customer Base'!J9&lt;3000)),1,"")</f>
        <v/>
      </c>
      <c r="B170" s="270" t="s">
        <v>1</v>
      </c>
      <c r="C170" s="348" t="s">
        <v>1643</v>
      </c>
      <c r="D170" s="330">
        <v>33000</v>
      </c>
      <c r="E170" s="330">
        <v>33000</v>
      </c>
      <c r="F170" s="263">
        <f t="shared" si="10"/>
        <v>27071.369975389662</v>
      </c>
      <c r="G170" s="263">
        <f>IFERROR(ROUNDUP(F170*'Customer Base'!$J$5,2),0)</f>
        <v>452091.88</v>
      </c>
      <c r="H170" s="263">
        <f t="shared" si="11"/>
        <v>27071.369975389662</v>
      </c>
      <c r="I170" s="263">
        <f>IFERROR(ROUNDUP(H170*'Customer Base'!$J$5,2),0)</f>
        <v>452091.88</v>
      </c>
      <c r="J170" s="103" t="str">
        <f t="shared" si="28"/>
        <v/>
      </c>
      <c r="L170" s="103" t="str">
        <f t="shared" si="30"/>
        <v/>
      </c>
      <c r="N170" s="103">
        <v>167</v>
      </c>
      <c r="O170" s="103" t="str">
        <f>IF('Customer Base'!$I$15="MANUAL",IF(B170&lt;&gt;"",C170,""),IF('Customer Base'!$I$15="AUTOMATE",IF(A170&lt;&gt;"",C170,""),""))</f>
        <v/>
      </c>
      <c r="AO170" s="103" t="str">
        <f>IF('Customer Base'!$I$15="MANUAL",IFERROR(AM170*B170,""),IF('Customer Base'!$I$15="AUTOMATE",IFERROR(AM170*A170,""),""))</f>
        <v/>
      </c>
      <c r="AT170" s="103" t="str">
        <f t="shared" si="29"/>
        <v/>
      </c>
      <c r="AV170" s="103" t="str">
        <f t="shared" si="31"/>
        <v/>
      </c>
    </row>
    <row r="171" spans="1:48">
      <c r="C171" s="348" t="s">
        <v>1645</v>
      </c>
      <c r="D171" s="330">
        <v>7700</v>
      </c>
      <c r="E171" s="330">
        <v>7700</v>
      </c>
      <c r="F171" s="263">
        <f t="shared" si="10"/>
        <v>6316.652994257588</v>
      </c>
      <c r="G171" s="263">
        <f>IFERROR(ROUNDUP(F171*'Customer Base'!$J$5,2),0)</f>
        <v>105488.11</v>
      </c>
      <c r="H171" s="263">
        <f t="shared" si="11"/>
        <v>6316.652994257588</v>
      </c>
      <c r="I171" s="263">
        <f>IFERROR(ROUNDUP(H171*'Customer Base'!$J$5,2),0)</f>
        <v>105488.11</v>
      </c>
      <c r="J171" s="103" t="str">
        <f t="shared" si="28"/>
        <v/>
      </c>
      <c r="L171" s="103" t="str">
        <f t="shared" si="30"/>
        <v/>
      </c>
      <c r="N171" s="103">
        <v>168</v>
      </c>
      <c r="O171" s="103" t="str">
        <f>IF('Customer Base'!$I$15="MANUAL",IF(B171&lt;&gt;"",C171,""),IF('Customer Base'!$I$15="AUTOMATE",IF(A171&lt;&gt;"",C171,""),""))</f>
        <v/>
      </c>
      <c r="AO171" s="103">
        <f>IF('Customer Base'!$I$15="MANUAL",IFERROR(AM171*B171,""),IF('Customer Base'!$I$15="AUTOMATE",IFERROR(AM171*A171,""),""))</f>
        <v>0</v>
      </c>
      <c r="AT171" s="103" t="str">
        <f t="shared" si="29"/>
        <v/>
      </c>
      <c r="AV171" s="103" t="str">
        <f t="shared" si="31"/>
        <v/>
      </c>
    </row>
    <row r="172" spans="1:48">
      <c r="C172" s="348" t="s">
        <v>1646</v>
      </c>
      <c r="D172" s="330">
        <v>11000</v>
      </c>
      <c r="E172" s="330">
        <v>11000</v>
      </c>
      <c r="F172" s="263">
        <f t="shared" si="10"/>
        <v>9023.7899917965533</v>
      </c>
      <c r="G172" s="263">
        <f>IFERROR(ROUNDUP(F172*'Customer Base'!$J$5,2),0)</f>
        <v>150697.30000000002</v>
      </c>
      <c r="H172" s="263">
        <f t="shared" si="11"/>
        <v>9023.7899917965533</v>
      </c>
      <c r="I172" s="263">
        <f>IFERROR(ROUNDUP(H172*'Customer Base'!$J$5,2),0)</f>
        <v>150697.30000000002</v>
      </c>
      <c r="J172" s="103" t="str">
        <f t="shared" si="28"/>
        <v/>
      </c>
      <c r="L172" s="103" t="str">
        <f t="shared" si="30"/>
        <v/>
      </c>
      <c r="N172" s="103">
        <v>169</v>
      </c>
      <c r="O172" s="103" t="str">
        <f>IF('Customer Base'!$I$15="MANUAL",IF(B172&lt;&gt;"",C172,""),IF('Customer Base'!$I$15="AUTOMATE",IF(A172&lt;&gt;"",C172,""),""))</f>
        <v/>
      </c>
      <c r="AO172" s="103">
        <f>IF('Customer Base'!$I$15="MANUAL",IFERROR(AM172*B172,""),IF('Customer Base'!$I$15="AUTOMATE",IFERROR(AM172*A172,""),""))</f>
        <v>0</v>
      </c>
      <c r="AT172" s="103" t="str">
        <f t="shared" si="29"/>
        <v/>
      </c>
      <c r="AV172" s="103" t="str">
        <f t="shared" si="31"/>
        <v/>
      </c>
    </row>
    <row r="173" spans="1:48">
      <c r="C173" s="348" t="s">
        <v>1647</v>
      </c>
      <c r="D173" s="330">
        <v>17600</v>
      </c>
      <c r="E173" s="330">
        <v>17600</v>
      </c>
      <c r="F173" s="263">
        <f t="shared" si="10"/>
        <v>14438.063986874486</v>
      </c>
      <c r="G173" s="263">
        <f>IFERROR(ROUNDUP(F173*'Customer Base'!$J$5,2),0)</f>
        <v>241115.67</v>
      </c>
      <c r="H173" s="263">
        <f t="shared" si="11"/>
        <v>14438.063986874486</v>
      </c>
      <c r="I173" s="263">
        <f>IFERROR(ROUNDUP(H173*'Customer Base'!$J$5,2),0)</f>
        <v>241115.67</v>
      </c>
      <c r="J173" s="103" t="str">
        <f t="shared" ref="J173:J206" si="32">IF(D173&lt;&gt;"",IF(D173&lt;E173,"lkdfjk",""),"")</f>
        <v/>
      </c>
      <c r="L173" s="103" t="str">
        <f t="shared" si="30"/>
        <v/>
      </c>
      <c r="N173" s="103">
        <v>170</v>
      </c>
      <c r="O173" s="103" t="str">
        <f>IF('Customer Base'!$I$15="MANUAL",IF(B173&lt;&gt;"",C173,""),IF('Customer Base'!$I$15="AUTOMATE",IF(A173&lt;&gt;"",C173,""),""))</f>
        <v/>
      </c>
      <c r="AO173" s="103">
        <f>IF('Customer Base'!$I$15="MANUAL",IFERROR(AM173*B173,""),IF('Customer Base'!$I$15="AUTOMATE",IFERROR(AM173*A173,""),""))</f>
        <v>0</v>
      </c>
      <c r="AT173" s="103" t="str">
        <f t="shared" si="29"/>
        <v/>
      </c>
      <c r="AV173" s="103" t="str">
        <f t="shared" si="31"/>
        <v/>
      </c>
    </row>
    <row r="174" spans="1:48">
      <c r="C174" s="348" t="s">
        <v>1648</v>
      </c>
      <c r="D174" s="330">
        <v>33000</v>
      </c>
      <c r="E174" s="330">
        <v>33000</v>
      </c>
      <c r="F174" s="263">
        <f t="shared" si="10"/>
        <v>27071.369975389662</v>
      </c>
      <c r="G174" s="263">
        <f>IFERROR(ROUNDUP(F174*'Customer Base'!$J$5,2),0)</f>
        <v>452091.88</v>
      </c>
      <c r="H174" s="263">
        <f t="shared" si="11"/>
        <v>27071.369975389662</v>
      </c>
      <c r="I174" s="263">
        <f>IFERROR(ROUNDUP(H174*'Customer Base'!$J$5,2),0)</f>
        <v>452091.88</v>
      </c>
      <c r="J174" s="103" t="str">
        <f t="shared" si="32"/>
        <v/>
      </c>
      <c r="L174" s="103" t="str">
        <f t="shared" si="30"/>
        <v/>
      </c>
      <c r="N174" s="103">
        <v>171</v>
      </c>
      <c r="O174" s="103" t="str">
        <f>IF('Customer Base'!$I$15="MANUAL",IF(B174&lt;&gt;"",C174,""),IF('Customer Base'!$I$15="AUTOMATE",IF(A174&lt;&gt;"",C174,""),""))</f>
        <v/>
      </c>
      <c r="AO174" s="103">
        <f>IF('Customer Base'!$I$15="MANUAL",IFERROR(AM174*B174,""),IF('Customer Base'!$I$15="AUTOMATE",IFERROR(AM174*A174,""),""))</f>
        <v>0</v>
      </c>
      <c r="AT174" s="103" t="str">
        <f t="shared" si="29"/>
        <v/>
      </c>
      <c r="AV174" s="103" t="str">
        <f t="shared" si="31"/>
        <v/>
      </c>
    </row>
    <row r="175" spans="1:48">
      <c r="C175" s="226"/>
      <c r="D175" s="319"/>
      <c r="E175" s="319"/>
      <c r="F175" s="224">
        <f t="shared" si="10"/>
        <v>0</v>
      </c>
      <c r="G175" s="224">
        <f>IFERROR(ROUNDUP(F175*'Customer Base'!$J$5,2),0)</f>
        <v>0</v>
      </c>
      <c r="H175" s="224">
        <f t="shared" si="11"/>
        <v>0</v>
      </c>
      <c r="I175" s="224">
        <f>IFERROR(ROUNDUP(H175*'Customer Base'!$J$5,2),0)</f>
        <v>0</v>
      </c>
      <c r="J175" s="103" t="str">
        <f t="shared" si="32"/>
        <v/>
      </c>
      <c r="L175" s="103" t="str">
        <f t="shared" si="30"/>
        <v/>
      </c>
      <c r="N175" s="103">
        <v>172</v>
      </c>
      <c r="O175" s="103" t="str">
        <f>IF('Customer Base'!$I$15="MANUAL",IF(B175&lt;&gt;"",C175,""),IF('Customer Base'!$I$15="AUTOMATE",IF(A175&lt;&gt;"",C175,""),""))</f>
        <v/>
      </c>
      <c r="AO175" s="103">
        <f>IF('Customer Base'!$I$15="MANUAL",IFERROR(AM175*B175,""),IF('Customer Base'!$I$15="AUTOMATE",IFERROR(AM175*A175,""),""))</f>
        <v>0</v>
      </c>
      <c r="AT175" s="103" t="str">
        <f t="shared" si="29"/>
        <v/>
      </c>
      <c r="AV175" s="103" t="str">
        <f t="shared" si="31"/>
        <v/>
      </c>
    </row>
    <row r="176" spans="1:48">
      <c r="A176" s="103" t="str">
        <f>IF(SUM(A163:A174)&gt;=1,1,"")</f>
        <v/>
      </c>
      <c r="B176" s="270" t="s">
        <v>1</v>
      </c>
      <c r="C176" s="348" t="s">
        <v>1255</v>
      </c>
      <c r="D176" s="330">
        <v>130</v>
      </c>
      <c r="E176" s="330">
        <v>130</v>
      </c>
      <c r="F176" s="263">
        <f t="shared" si="10"/>
        <v>106.6447908121411</v>
      </c>
      <c r="G176" s="263">
        <f>IFERROR(ROUNDUP(F176*'Customer Base'!$J$5,2),0)</f>
        <v>1780.97</v>
      </c>
      <c r="H176" s="263">
        <f t="shared" si="11"/>
        <v>106.6447908121411</v>
      </c>
      <c r="I176" s="263">
        <f>IFERROR(ROUNDUP(H176*'Customer Base'!$J$5,2),0)</f>
        <v>1780.97</v>
      </c>
      <c r="J176" s="103" t="str">
        <f t="shared" si="32"/>
        <v/>
      </c>
      <c r="L176" s="103" t="str">
        <f t="shared" si="30"/>
        <v/>
      </c>
      <c r="N176" s="103">
        <v>173</v>
      </c>
      <c r="O176" s="103" t="str">
        <f>IF('Customer Base'!$I$15="MANUAL",IF(B176&lt;&gt;"",C176,""),IF('Customer Base'!$I$15="AUTOMATE",IF(A176&lt;&gt;"",C176,""),""))</f>
        <v/>
      </c>
      <c r="AO176" s="103" t="str">
        <f>IF('Customer Base'!$I$15="MANUAL",IFERROR(AM176*B176,""),IF('Customer Base'!$I$15="AUTOMATE",IFERROR(AM176*A176,""),""))</f>
        <v/>
      </c>
      <c r="AT176" s="103" t="str">
        <f t="shared" si="29"/>
        <v/>
      </c>
      <c r="AV176" s="103" t="str">
        <f t="shared" si="31"/>
        <v/>
      </c>
    </row>
    <row r="177" spans="1:48">
      <c r="A177" s="103" t="str">
        <f>IF(SUM(A163:A174)&gt;=1,1,"")</f>
        <v/>
      </c>
      <c r="B177" s="270" t="s">
        <v>1</v>
      </c>
      <c r="C177" s="348" t="s">
        <v>1168</v>
      </c>
      <c r="D177" s="330">
        <v>390</v>
      </c>
      <c r="E177" s="330">
        <v>390</v>
      </c>
      <c r="F177" s="263">
        <f t="shared" si="10"/>
        <v>319.9343724364233</v>
      </c>
      <c r="G177" s="263">
        <f>IFERROR(ROUNDUP(F177*'Customer Base'!$J$5,2),0)</f>
        <v>5342.91</v>
      </c>
      <c r="H177" s="263">
        <f t="shared" si="11"/>
        <v>319.9343724364233</v>
      </c>
      <c r="I177" s="263">
        <f>IFERROR(ROUNDUP(H177*'Customer Base'!$J$5,2),0)</f>
        <v>5342.91</v>
      </c>
      <c r="J177" s="103" t="str">
        <f t="shared" si="32"/>
        <v/>
      </c>
      <c r="L177" s="103" t="str">
        <f t="shared" si="30"/>
        <v/>
      </c>
      <c r="N177" s="103">
        <v>174</v>
      </c>
      <c r="O177" s="103" t="str">
        <f>IF('Customer Base'!$I$15="MANUAL",IF(B177&lt;&gt;"",C177,""),IF('Customer Base'!$I$15="AUTOMATE",IF(A177&lt;&gt;"",C177,""),""))</f>
        <v/>
      </c>
      <c r="AO177" s="103" t="str">
        <f>IF('Customer Base'!$I$15="MANUAL",IFERROR(AM177*B177,""),IF('Customer Base'!$I$15="AUTOMATE",IFERROR(AM177*A177,""),""))</f>
        <v/>
      </c>
      <c r="AT177" s="103" t="str">
        <f t="shared" si="29"/>
        <v/>
      </c>
      <c r="AV177" s="103" t="str">
        <f t="shared" si="31"/>
        <v/>
      </c>
    </row>
    <row r="178" spans="1:48">
      <c r="A178" s="103" t="str">
        <f>IF(SUM(A163:A174)&gt;=1,'Customer Base'!E34+1,"")</f>
        <v/>
      </c>
      <c r="B178" s="270" t="s">
        <v>1</v>
      </c>
      <c r="C178" s="348" t="s">
        <v>1169</v>
      </c>
      <c r="D178" s="330">
        <v>429</v>
      </c>
      <c r="E178" s="330">
        <v>429</v>
      </c>
      <c r="F178" s="263">
        <f t="shared" si="10"/>
        <v>351.92780968006559</v>
      </c>
      <c r="G178" s="263">
        <f>IFERROR(ROUNDUP(F178*'Customer Base'!$J$5,2),0)</f>
        <v>5877.2</v>
      </c>
      <c r="H178" s="263">
        <f t="shared" si="11"/>
        <v>351.92780968006559</v>
      </c>
      <c r="I178" s="263">
        <f>IFERROR(ROUNDUP(H178*'Customer Base'!$J$5,2),0)</f>
        <v>5877.2</v>
      </c>
      <c r="J178" s="103" t="str">
        <f t="shared" si="32"/>
        <v/>
      </c>
      <c r="L178" s="103" t="str">
        <f t="shared" si="30"/>
        <v/>
      </c>
      <c r="N178" s="103">
        <v>175</v>
      </c>
      <c r="O178" s="103" t="str">
        <f>IF('Customer Base'!$I$15="MANUAL",IF(B178&lt;&gt;"",C178,""),IF('Customer Base'!$I$15="AUTOMATE",IF(A178&lt;&gt;"",C178,""),""))</f>
        <v/>
      </c>
      <c r="AO178" s="103" t="str">
        <f>IF('Customer Base'!$I$15="MANUAL",IFERROR(AM178*B178,""),IF('Customer Base'!$I$15="AUTOMATE",IFERROR(AM178*A178,""),""))</f>
        <v/>
      </c>
      <c r="AT178" s="103" t="str">
        <f t="shared" si="29"/>
        <v/>
      </c>
      <c r="AV178" s="103" t="str">
        <f t="shared" si="31"/>
        <v/>
      </c>
    </row>
    <row r="179" spans="1:48">
      <c r="A179" s="103" t="str">
        <f>IF(SUM(A163:A174)&gt;=1,A178*3,"")</f>
        <v/>
      </c>
      <c r="B179" s="270" t="s">
        <v>1</v>
      </c>
      <c r="C179" s="348" t="s">
        <v>1170</v>
      </c>
      <c r="D179" s="330">
        <v>312</v>
      </c>
      <c r="E179" s="330">
        <v>312</v>
      </c>
      <c r="F179" s="263">
        <f t="shared" si="10"/>
        <v>255.94749794913861</v>
      </c>
      <c r="G179" s="263">
        <f>IFERROR(ROUNDUP(F179*'Customer Base'!$J$5,2),0)</f>
        <v>4274.33</v>
      </c>
      <c r="H179" s="263">
        <f t="shared" si="11"/>
        <v>255.94749794913861</v>
      </c>
      <c r="I179" s="263">
        <f>IFERROR(ROUNDUP(H179*'Customer Base'!$J$5,2),0)</f>
        <v>4274.33</v>
      </c>
      <c r="J179" s="103" t="str">
        <f t="shared" si="32"/>
        <v/>
      </c>
      <c r="L179" s="103" t="str">
        <f t="shared" si="30"/>
        <v/>
      </c>
      <c r="N179" s="103">
        <v>176</v>
      </c>
      <c r="O179" s="103" t="str">
        <f>IF('Customer Base'!$I$15="MANUAL",IF(B179&lt;&gt;"",C179,""),IF('Customer Base'!$I$15="AUTOMATE",IF(A179&lt;&gt;"",C179,""),""))</f>
        <v/>
      </c>
      <c r="AO179" s="103" t="str">
        <f>IF('Customer Base'!$I$15="MANUAL",IFERROR(AM179*B179,""),IF('Customer Base'!$I$15="AUTOMATE",IFERROR(AM179*A179,""),""))</f>
        <v/>
      </c>
      <c r="AT179" s="103" t="str">
        <f t="shared" si="29"/>
        <v/>
      </c>
      <c r="AV179" s="103" t="str">
        <f t="shared" si="31"/>
        <v/>
      </c>
    </row>
    <row r="180" spans="1:48">
      <c r="C180" s="226"/>
      <c r="D180" s="319"/>
      <c r="E180" s="319"/>
      <c r="F180" s="224">
        <f t="shared" si="10"/>
        <v>0</v>
      </c>
      <c r="G180" s="224">
        <f>IFERROR(ROUNDUP(F180*'Customer Base'!$J$5,2),0)</f>
        <v>0</v>
      </c>
      <c r="H180" s="224">
        <f t="shared" si="11"/>
        <v>0</v>
      </c>
      <c r="I180" s="224">
        <f>IFERROR(ROUNDUP(H180*'Customer Base'!$J$5,2),0)</f>
        <v>0</v>
      </c>
      <c r="J180" s="103" t="str">
        <f t="shared" si="32"/>
        <v/>
      </c>
      <c r="L180" s="103" t="str">
        <f t="shared" si="30"/>
        <v/>
      </c>
      <c r="N180" s="103">
        <v>177</v>
      </c>
      <c r="O180" s="103" t="str">
        <f>IF('Customer Base'!$I$15="MANUAL",IF(B180&lt;&gt;"",C180,""),IF('Customer Base'!$I$15="AUTOMATE",IF(A180&lt;&gt;"",C180,""),""))</f>
        <v/>
      </c>
      <c r="AO180" s="103">
        <f>IF('Customer Base'!$I$15="MANUAL",IFERROR(AM180*B180,""),IF('Customer Base'!$I$15="AUTOMATE",IFERROR(AM180*A180,""),""))</f>
        <v>0</v>
      </c>
      <c r="AT180" s="103" t="str">
        <f t="shared" si="29"/>
        <v/>
      </c>
      <c r="AV180" s="103" t="str">
        <f t="shared" si="31"/>
        <v/>
      </c>
    </row>
    <row r="181" spans="1:48" ht="17">
      <c r="C181" s="349" t="s">
        <v>1250</v>
      </c>
      <c r="D181" s="330">
        <v>380.96</v>
      </c>
      <c r="E181" s="330">
        <v>380.96</v>
      </c>
      <c r="F181" s="263">
        <f t="shared" si="10"/>
        <v>312.51845775225593</v>
      </c>
      <c r="G181" s="263">
        <f>IFERROR(ROUNDUP(F181*'Customer Base'!$J$5,2),0)</f>
        <v>5219.0600000000004</v>
      </c>
      <c r="H181" s="263">
        <f t="shared" si="11"/>
        <v>312.51845775225593</v>
      </c>
      <c r="I181" s="263">
        <f>IFERROR(ROUNDUP(H181*'Customer Base'!$J$5,2),0)</f>
        <v>5219.0600000000004</v>
      </c>
      <c r="J181" s="103" t="str">
        <f t="shared" si="32"/>
        <v/>
      </c>
      <c r="L181" s="103" t="str">
        <f t="shared" si="30"/>
        <v/>
      </c>
      <c r="N181" s="103">
        <v>178</v>
      </c>
      <c r="O181" s="103" t="str">
        <f>IF('Customer Base'!$I$15="MANUAL",IF(B181&lt;&gt;"",C181,""),IF('Customer Base'!$I$15="AUTOMATE",IF(A181&lt;&gt;"",C181,""),""))</f>
        <v/>
      </c>
      <c r="AO181" s="103">
        <f>IF('Customer Base'!$I$15="MANUAL",IFERROR(AM181*B181,""),IF('Customer Base'!$I$15="AUTOMATE",IFERROR(AM181*A181,""),""))</f>
        <v>0</v>
      </c>
      <c r="AT181" s="103" t="str">
        <f t="shared" si="29"/>
        <v/>
      </c>
      <c r="AV181" s="103" t="str">
        <f t="shared" si="31"/>
        <v/>
      </c>
    </row>
    <row r="182" spans="1:48">
      <c r="C182" s="348" t="s">
        <v>1251</v>
      </c>
      <c r="D182" s="330">
        <v>465.74</v>
      </c>
      <c r="E182" s="330">
        <v>465.74</v>
      </c>
      <c r="F182" s="263">
        <f t="shared" si="10"/>
        <v>382.06726825266611</v>
      </c>
      <c r="G182" s="263">
        <f>IFERROR(ROUNDUP(F182*'Customer Base'!$J$5,2),0)</f>
        <v>6380.5300000000007</v>
      </c>
      <c r="H182" s="263">
        <f t="shared" si="11"/>
        <v>382.06726825266611</v>
      </c>
      <c r="I182" s="263">
        <f>IFERROR(ROUNDUP(H182*'Customer Base'!$J$5,2),0)</f>
        <v>6380.5300000000007</v>
      </c>
      <c r="J182" s="103" t="str">
        <f t="shared" si="32"/>
        <v/>
      </c>
      <c r="L182" s="103" t="str">
        <f t="shared" si="30"/>
        <v/>
      </c>
      <c r="N182" s="103">
        <v>179</v>
      </c>
      <c r="O182" s="103" t="str">
        <f>IF('Customer Base'!$I$15="MANUAL",IF(B182&lt;&gt;"",C182,""),IF('Customer Base'!$I$15="AUTOMATE",IF(A182&lt;&gt;"",C182,""),""))</f>
        <v/>
      </c>
      <c r="AO182" s="103">
        <f>IF('Customer Base'!$I$15="MANUAL",IFERROR(AM182*B182,""),IF('Customer Base'!$I$15="AUTOMATE",IFERROR(AM182*A182,""),""))</f>
        <v>0</v>
      </c>
      <c r="AT182" s="103" t="str">
        <f t="shared" si="29"/>
        <v/>
      </c>
      <c r="AV182" s="103" t="str">
        <f t="shared" si="31"/>
        <v/>
      </c>
    </row>
    <row r="183" spans="1:48">
      <c r="C183" s="348" t="s">
        <v>1252</v>
      </c>
      <c r="D183" s="330">
        <v>613.86</v>
      </c>
      <c r="E183" s="330">
        <v>613.86</v>
      </c>
      <c r="F183" s="263">
        <f t="shared" si="10"/>
        <v>503.57670221493026</v>
      </c>
      <c r="G183" s="263">
        <f>IFERROR(ROUNDUP(F183*'Customer Base'!$J$5,2),0)</f>
        <v>8409.74</v>
      </c>
      <c r="H183" s="263">
        <f t="shared" si="11"/>
        <v>503.57670221493026</v>
      </c>
      <c r="I183" s="263">
        <f>IFERROR(ROUNDUP(H183*'Customer Base'!$J$5,2),0)</f>
        <v>8409.74</v>
      </c>
      <c r="J183" s="103" t="str">
        <f t="shared" si="32"/>
        <v/>
      </c>
      <c r="L183" s="103" t="str">
        <f t="shared" si="30"/>
        <v/>
      </c>
      <c r="N183" s="103">
        <v>180</v>
      </c>
      <c r="O183" s="103" t="str">
        <f>IF('Customer Base'!$I$15="MANUAL",IF(B183&lt;&gt;"",C183,""),IF('Customer Base'!$I$15="AUTOMATE",IF(A183&lt;&gt;"",C183,""),""))</f>
        <v/>
      </c>
      <c r="AO183" s="103">
        <f>IF('Customer Base'!$I$15="MANUAL",IFERROR(AM183*B183,""),IF('Customer Base'!$I$15="AUTOMATE",IFERROR(AM183*A183,""),""))</f>
        <v>0</v>
      </c>
      <c r="AT183" s="103" t="str">
        <f t="shared" si="29"/>
        <v/>
      </c>
      <c r="AV183" s="103" t="str">
        <f t="shared" si="31"/>
        <v/>
      </c>
    </row>
    <row r="184" spans="1:48">
      <c r="C184" s="348" t="s">
        <v>1253</v>
      </c>
      <c r="D184" s="330">
        <v>836.1</v>
      </c>
      <c r="E184" s="330">
        <v>836.1</v>
      </c>
      <c r="F184" s="263">
        <f t="shared" ref="F184:F202" si="33">$D184/1.219</f>
        <v>685.89007383100898</v>
      </c>
      <c r="G184" s="263">
        <f>IFERROR(ROUNDUP(F184*'Customer Base'!$J$5,2),0)</f>
        <v>11454.37</v>
      </c>
      <c r="H184" s="263">
        <f t="shared" si="11"/>
        <v>685.89007383100898</v>
      </c>
      <c r="I184" s="263">
        <f>IFERROR(ROUNDUP(H184*'Customer Base'!$J$5,2),0)</f>
        <v>11454.37</v>
      </c>
      <c r="J184" s="103" t="str">
        <f t="shared" si="32"/>
        <v/>
      </c>
      <c r="L184" s="103" t="str">
        <f t="shared" si="30"/>
        <v/>
      </c>
      <c r="N184" s="103">
        <v>181</v>
      </c>
      <c r="O184" s="103" t="str">
        <f>IF('Customer Base'!$I$15="MANUAL",IF(B184&lt;&gt;"",C184,""),IF('Customer Base'!$I$15="AUTOMATE",IF(A184&lt;&gt;"",C184,""),""))</f>
        <v/>
      </c>
      <c r="AO184" s="103">
        <f>IF('Customer Base'!$I$15="MANUAL",IFERROR(AM184*B184,""),IF('Customer Base'!$I$15="AUTOMATE",IFERROR(AM184*A184,""),""))</f>
        <v>0</v>
      </c>
      <c r="AT184" s="103" t="str">
        <f t="shared" si="29"/>
        <v/>
      </c>
      <c r="AV184" s="103" t="str">
        <f t="shared" si="31"/>
        <v/>
      </c>
    </row>
    <row r="185" spans="1:48">
      <c r="C185" s="348" t="s">
        <v>1254</v>
      </c>
      <c r="D185" s="330">
        <v>1270.02</v>
      </c>
      <c r="E185" s="330">
        <v>1270.02</v>
      </c>
      <c r="F185" s="263">
        <f t="shared" si="33"/>
        <v>1041.8539786710417</v>
      </c>
      <c r="G185" s="263">
        <f>IFERROR(ROUNDUP(F185*'Customer Base'!$J$5,2),0)</f>
        <v>17398.969999999998</v>
      </c>
      <c r="H185" s="263">
        <f t="shared" ref="H185:H202" si="34">$E185/1.219</f>
        <v>1041.8539786710417</v>
      </c>
      <c r="I185" s="263">
        <f>IFERROR(ROUNDUP(H185*'Customer Base'!$J$5,2),0)</f>
        <v>17398.969999999998</v>
      </c>
      <c r="J185" s="103" t="str">
        <f t="shared" si="32"/>
        <v/>
      </c>
      <c r="L185" s="103" t="str">
        <f t="shared" si="30"/>
        <v/>
      </c>
      <c r="N185" s="103">
        <v>182</v>
      </c>
      <c r="O185" s="103" t="str">
        <f>IF('Customer Base'!$I$15="MANUAL",IF(B185&lt;&gt;"",C185,""),IF('Customer Base'!$I$15="AUTOMATE",IF(A185&lt;&gt;"",C185,""),""))</f>
        <v/>
      </c>
      <c r="AO185" s="103">
        <f>IF('Customer Base'!$I$15="MANUAL",IFERROR(AM185*B185,""),IF('Customer Base'!$I$15="AUTOMATE",IFERROR(AM185*A185,""),""))</f>
        <v>0</v>
      </c>
      <c r="AT185" s="103" t="str">
        <f t="shared" si="29"/>
        <v/>
      </c>
      <c r="AV185" s="103" t="str">
        <f t="shared" si="31"/>
        <v/>
      </c>
    </row>
    <row r="186" spans="1:48">
      <c r="C186" s="348" t="s">
        <v>1831</v>
      </c>
      <c r="D186" s="330">
        <v>814</v>
      </c>
      <c r="E186" s="330">
        <v>814</v>
      </c>
      <c r="F186" s="263">
        <f t="shared" si="33"/>
        <v>667.76045939294499</v>
      </c>
      <c r="G186" s="263">
        <f>IFERROR(ROUNDUP(F186*'Customer Base'!$J$5,2),0)</f>
        <v>11151.6</v>
      </c>
      <c r="H186" s="263">
        <f t="shared" si="34"/>
        <v>667.76045939294499</v>
      </c>
      <c r="I186" s="263">
        <f>IFERROR(ROUNDUP(H186*'Customer Base'!$J$5,2),0)</f>
        <v>11151.6</v>
      </c>
      <c r="J186" s="103" t="str">
        <f t="shared" si="32"/>
        <v/>
      </c>
      <c r="L186" s="103" t="str">
        <f t="shared" si="30"/>
        <v/>
      </c>
      <c r="N186" s="103">
        <v>184</v>
      </c>
      <c r="O186" s="103" t="str">
        <f>IF('Customer Base'!$I$15="MANUAL",IF(B186&lt;&gt;"",C186,""),IF('Customer Base'!$I$15="AUTOMATE",IF(A186&lt;&gt;"",C186,""),""))</f>
        <v/>
      </c>
      <c r="AO186" s="103">
        <f>IF('Customer Base'!$I$15="MANUAL",IFERROR(AM186*B186,""),IF('Customer Base'!$I$15="AUTOMATE",IFERROR(AM186*A186,""),""))</f>
        <v>0</v>
      </c>
      <c r="AT186" s="103" t="str">
        <f t="shared" si="29"/>
        <v/>
      </c>
      <c r="AV186" s="103" t="str">
        <f t="shared" si="31"/>
        <v/>
      </c>
    </row>
    <row r="187" spans="1:48" ht="17">
      <c r="C187" s="349" t="s">
        <v>1833</v>
      </c>
      <c r="D187" s="330">
        <v>484</v>
      </c>
      <c r="E187" s="330">
        <v>484</v>
      </c>
      <c r="F187" s="263">
        <f t="shared" si="33"/>
        <v>397.04675963904839</v>
      </c>
      <c r="G187" s="263">
        <f>IFERROR(ROUNDUP(F187*'Customer Base'!$J$5,2),0)</f>
        <v>6630.6900000000005</v>
      </c>
      <c r="H187" s="263">
        <f t="shared" si="34"/>
        <v>397.04675963904839</v>
      </c>
      <c r="I187" s="263">
        <f>IFERROR(ROUNDUP(H187*'Customer Base'!$J$5,2),0)</f>
        <v>6630.6900000000005</v>
      </c>
      <c r="J187" s="103" t="str">
        <f t="shared" si="32"/>
        <v/>
      </c>
      <c r="L187" s="103" t="str">
        <f t="shared" si="30"/>
        <v/>
      </c>
      <c r="N187" s="103">
        <v>185</v>
      </c>
      <c r="O187" s="103" t="str">
        <f>IF('Customer Base'!$I$15="MANUAL",IF(B187&lt;&gt;"",C187,""),IF('Customer Base'!$I$15="AUTOMATE",IF(A187&lt;&gt;"",C187,""),""))</f>
        <v/>
      </c>
      <c r="AO187" s="103">
        <f>IF('Customer Base'!$I$15="MANUAL",IFERROR(AM187*B187,""),IF('Customer Base'!$I$15="AUTOMATE",IFERROR(AM187*A187,""),""))</f>
        <v>0</v>
      </c>
      <c r="AT187" s="103" t="str">
        <f t="shared" si="29"/>
        <v/>
      </c>
      <c r="AV187" s="103" t="str">
        <f t="shared" si="31"/>
        <v/>
      </c>
    </row>
    <row r="188" spans="1:48">
      <c r="C188" s="348" t="s">
        <v>1832</v>
      </c>
      <c r="D188" s="330">
        <v>847</v>
      </c>
      <c r="E188" s="330">
        <v>847</v>
      </c>
      <c r="F188" s="263">
        <f t="shared" si="33"/>
        <v>694.83182936833464</v>
      </c>
      <c r="G188" s="263">
        <f>IFERROR(ROUNDUP(F188*'Customer Base'!$J$5,2),0)</f>
        <v>11603.7</v>
      </c>
      <c r="H188" s="263">
        <f t="shared" si="34"/>
        <v>694.83182936833464</v>
      </c>
      <c r="I188" s="263">
        <f>IFERROR(ROUNDUP(H188*'Customer Base'!$J$5,2),0)</f>
        <v>11603.7</v>
      </c>
      <c r="J188" s="103" t="str">
        <f t="shared" si="32"/>
        <v/>
      </c>
      <c r="L188" s="103" t="str">
        <f t="shared" si="30"/>
        <v/>
      </c>
      <c r="N188" s="103">
        <v>186</v>
      </c>
      <c r="O188" s="103" t="str">
        <f>IF('Customer Base'!$I$15="MANUAL",IF(B188&lt;&gt;"",C188,""),IF('Customer Base'!$I$15="AUTOMATE",IF(A188&lt;&gt;"",C188,""),""))</f>
        <v/>
      </c>
      <c r="AO188" s="103">
        <f>IF('Customer Base'!$I$15="MANUAL",IFERROR(AM188*B188,""),IF('Customer Base'!$I$15="AUTOMATE",IFERROR(AM188*A188,""),""))</f>
        <v>0</v>
      </c>
      <c r="AT188" s="103" t="str">
        <f t="shared" si="29"/>
        <v/>
      </c>
      <c r="AV188" s="103" t="str">
        <f t="shared" si="31"/>
        <v/>
      </c>
    </row>
    <row r="189" spans="1:48">
      <c r="C189" s="348" t="s">
        <v>1834</v>
      </c>
      <c r="D189" s="330">
        <v>198</v>
      </c>
      <c r="E189" s="330">
        <v>198</v>
      </c>
      <c r="F189" s="263">
        <f t="shared" si="33"/>
        <v>162.42821985233797</v>
      </c>
      <c r="G189" s="263">
        <f>IFERROR(ROUNDUP(F189*'Customer Base'!$J$5,2),0)</f>
        <v>2712.5600000000004</v>
      </c>
      <c r="H189" s="263">
        <f t="shared" si="34"/>
        <v>162.42821985233797</v>
      </c>
      <c r="I189" s="263">
        <f>IFERROR(ROUNDUP(H189*'Customer Base'!$J$5,2),0)</f>
        <v>2712.5600000000004</v>
      </c>
      <c r="J189" s="103" t="str">
        <f t="shared" si="32"/>
        <v/>
      </c>
      <c r="L189" s="103" t="str">
        <f t="shared" si="30"/>
        <v/>
      </c>
      <c r="N189" s="103">
        <v>187</v>
      </c>
      <c r="O189" s="103" t="str">
        <f>IF('Customer Base'!$I$15="MANUAL",IF(B189&lt;&gt;"",C189,""),IF('Customer Base'!$I$15="AUTOMATE",IF(A189&lt;&gt;"",C189,""),""))</f>
        <v/>
      </c>
      <c r="AO189" s="103">
        <f>IF('Customer Base'!$I$15="MANUAL",IFERROR(AM189*B189,""),IF('Customer Base'!$I$15="AUTOMATE",IFERROR(AM189*A189,""),""))</f>
        <v>0</v>
      </c>
      <c r="AT189" s="103" t="str">
        <f t="shared" si="29"/>
        <v/>
      </c>
      <c r="AV189" s="103" t="str">
        <f t="shared" si="31"/>
        <v/>
      </c>
    </row>
    <row r="190" spans="1:48">
      <c r="C190" s="348" t="s">
        <v>1835</v>
      </c>
      <c r="D190" s="330">
        <v>770</v>
      </c>
      <c r="E190" s="330">
        <v>770</v>
      </c>
      <c r="F190" s="263">
        <f t="shared" si="33"/>
        <v>631.6652994257588</v>
      </c>
      <c r="G190" s="263">
        <f>IFERROR(ROUNDUP(F190*'Customer Base'!$J$5,2),0)</f>
        <v>10548.82</v>
      </c>
      <c r="H190" s="263">
        <f t="shared" si="34"/>
        <v>631.6652994257588</v>
      </c>
      <c r="I190" s="263">
        <f>IFERROR(ROUNDUP(H190*'Customer Base'!$J$5,2),0)</f>
        <v>10548.82</v>
      </c>
      <c r="J190" s="103" t="str">
        <f t="shared" si="32"/>
        <v/>
      </c>
      <c r="L190" s="103" t="str">
        <f t="shared" si="30"/>
        <v/>
      </c>
      <c r="N190" s="103">
        <v>188</v>
      </c>
      <c r="O190" s="103" t="str">
        <f>IF('Customer Base'!$I$15="MANUAL",IF(B190&lt;&gt;"",C190,""),IF('Customer Base'!$I$15="AUTOMATE",IF(A190&lt;&gt;"",C190,""),""))</f>
        <v/>
      </c>
      <c r="AO190" s="103">
        <f>IF('Customer Base'!$I$15="MANUAL",IFERROR(AM190*B190,""),IF('Customer Base'!$I$15="AUTOMATE",IFERROR(AM190*A190,""),""))</f>
        <v>0</v>
      </c>
      <c r="AT190" s="103" t="str">
        <f t="shared" si="29"/>
        <v/>
      </c>
      <c r="AV190" s="103" t="str">
        <f t="shared" si="31"/>
        <v/>
      </c>
    </row>
    <row r="191" spans="1:48">
      <c r="C191" s="348" t="s">
        <v>1836</v>
      </c>
      <c r="D191" s="330">
        <v>66</v>
      </c>
      <c r="E191" s="330">
        <v>66</v>
      </c>
      <c r="F191" s="263">
        <f t="shared" si="33"/>
        <v>54.142739950779323</v>
      </c>
      <c r="G191" s="263">
        <f>IFERROR(ROUNDUP(F191*'Customer Base'!$J$5,2),0)</f>
        <v>904.18999999999994</v>
      </c>
      <c r="H191" s="263">
        <f t="shared" si="34"/>
        <v>54.142739950779323</v>
      </c>
      <c r="I191" s="263">
        <f>IFERROR(ROUNDUP(H191*'Customer Base'!$J$5,2),0)</f>
        <v>904.18999999999994</v>
      </c>
      <c r="J191" s="103" t="str">
        <f t="shared" si="32"/>
        <v/>
      </c>
      <c r="L191" s="103" t="str">
        <f t="shared" si="30"/>
        <v/>
      </c>
      <c r="N191" s="103">
        <v>189</v>
      </c>
      <c r="O191" s="103" t="str">
        <f>IF('Customer Base'!$I$15="MANUAL",IF(B191&lt;&gt;"",C191,""),IF('Customer Base'!$I$15="AUTOMATE",IF(A191&lt;&gt;"",C191,""),""))</f>
        <v/>
      </c>
      <c r="AO191" s="103">
        <f>IF('Customer Base'!$I$15="MANUAL",IFERROR(AM191*B191,""),IF('Customer Base'!$I$15="AUTOMATE",IFERROR(AM191*A191,""),""))</f>
        <v>0</v>
      </c>
      <c r="AT191" s="103" t="str">
        <f t="shared" si="29"/>
        <v/>
      </c>
      <c r="AV191" s="103" t="str">
        <f t="shared" si="31"/>
        <v/>
      </c>
    </row>
    <row r="192" spans="1:48">
      <c r="C192" s="348" t="s">
        <v>1837</v>
      </c>
      <c r="D192" s="330">
        <v>66</v>
      </c>
      <c r="E192" s="330">
        <v>66</v>
      </c>
      <c r="F192" s="263">
        <f t="shared" si="33"/>
        <v>54.142739950779323</v>
      </c>
      <c r="G192" s="263">
        <f>IFERROR(ROUNDUP(F192*'Customer Base'!$J$5,2),0)</f>
        <v>904.18999999999994</v>
      </c>
      <c r="H192" s="263">
        <f t="shared" si="34"/>
        <v>54.142739950779323</v>
      </c>
      <c r="I192" s="263">
        <f>IFERROR(ROUNDUP(H192*'Customer Base'!$J$5,2),0)</f>
        <v>904.18999999999994</v>
      </c>
      <c r="J192" s="103" t="str">
        <f t="shared" si="32"/>
        <v/>
      </c>
      <c r="L192" s="103" t="str">
        <f t="shared" si="30"/>
        <v/>
      </c>
      <c r="N192" s="103">
        <v>190</v>
      </c>
      <c r="O192" s="103" t="str">
        <f>IF('Customer Base'!$I$15="MANUAL",IF(B192&lt;&gt;"",C192,""),IF('Customer Base'!$I$15="AUTOMATE",IF(A192&lt;&gt;"",C192,""),""))</f>
        <v/>
      </c>
      <c r="AO192" s="103">
        <f>IF('Customer Base'!$I$15="MANUAL",IFERROR(AM192*B192,""),IF('Customer Base'!$I$15="AUTOMATE",IFERROR(AM192*A192,""),""))</f>
        <v>0</v>
      </c>
      <c r="AT192" s="103" t="str">
        <f t="shared" si="29"/>
        <v/>
      </c>
      <c r="AV192" s="103" t="str">
        <f t="shared" si="31"/>
        <v/>
      </c>
    </row>
    <row r="193" spans="1:48">
      <c r="C193" s="348" t="s">
        <v>1838</v>
      </c>
      <c r="D193" s="330">
        <v>11000</v>
      </c>
      <c r="E193" s="330">
        <v>11000</v>
      </c>
      <c r="F193" s="263">
        <f t="shared" si="33"/>
        <v>9023.7899917965533</v>
      </c>
      <c r="G193" s="263">
        <f>IFERROR(ROUNDUP(F193*'Customer Base'!$J$5,2),0)</f>
        <v>150697.30000000002</v>
      </c>
      <c r="H193" s="263">
        <f t="shared" si="34"/>
        <v>9023.7899917965533</v>
      </c>
      <c r="I193" s="263">
        <f>IFERROR(ROUNDUP(H193*'Customer Base'!$J$5,2),0)</f>
        <v>150697.30000000002</v>
      </c>
      <c r="J193" s="103" t="str">
        <f t="shared" si="32"/>
        <v/>
      </c>
      <c r="L193" s="103" t="str">
        <f t="shared" si="30"/>
        <v/>
      </c>
      <c r="N193" s="103">
        <v>191</v>
      </c>
      <c r="O193" s="103" t="str">
        <f>IF('Customer Base'!$I$15="MANUAL",IF(B193&lt;&gt;"",C193,""),IF('Customer Base'!$I$15="AUTOMATE",IF(A193&lt;&gt;"",C193,""),""))</f>
        <v/>
      </c>
      <c r="AO193" s="103">
        <f>IF('Customer Base'!$I$15="MANUAL",IFERROR(AM193*B193,""),IF('Customer Base'!$I$15="AUTOMATE",IFERROR(AM193*A193,""),""))</f>
        <v>0</v>
      </c>
      <c r="AT193" s="103" t="str">
        <f t="shared" si="29"/>
        <v/>
      </c>
      <c r="AV193" s="103" t="str">
        <f t="shared" si="31"/>
        <v/>
      </c>
    </row>
    <row r="194" spans="1:48">
      <c r="C194" s="348" t="s">
        <v>1839</v>
      </c>
      <c r="D194" s="330">
        <v>110</v>
      </c>
      <c r="E194" s="330">
        <v>110</v>
      </c>
      <c r="F194" s="263">
        <f t="shared" si="33"/>
        <v>90.237899917965535</v>
      </c>
      <c r="G194" s="263">
        <f>IFERROR(ROUNDUP(F194*'Customer Base'!$J$5,2),0)</f>
        <v>1506.98</v>
      </c>
      <c r="H194" s="263">
        <f t="shared" si="34"/>
        <v>90.237899917965535</v>
      </c>
      <c r="I194" s="263">
        <f>IFERROR(ROUNDUP(H194*'Customer Base'!$J$5,2),0)</f>
        <v>1506.98</v>
      </c>
      <c r="J194" s="103" t="str">
        <f t="shared" si="32"/>
        <v/>
      </c>
      <c r="L194" s="103" t="str">
        <f t="shared" si="30"/>
        <v/>
      </c>
      <c r="N194" s="103">
        <v>192</v>
      </c>
      <c r="O194" s="103" t="str">
        <f>IF('Customer Base'!$I$15="MANUAL",IF(B194&lt;&gt;"",C194,""),IF('Customer Base'!$I$15="AUTOMATE",IF(A194&lt;&gt;"",C194,""),""))</f>
        <v/>
      </c>
      <c r="AO194" s="103">
        <f>IF('Customer Base'!$I$15="MANUAL",IFERROR(AM194*B194,""),IF('Customer Base'!$I$15="AUTOMATE",IFERROR(AM194*A194,""),""))</f>
        <v>0</v>
      </c>
      <c r="AT194" s="103" t="str">
        <f t="shared" si="29"/>
        <v/>
      </c>
      <c r="AV194" s="103" t="str">
        <f t="shared" si="31"/>
        <v/>
      </c>
    </row>
    <row r="195" spans="1:48">
      <c r="C195" s="348" t="s">
        <v>1840</v>
      </c>
      <c r="D195" s="330">
        <v>220</v>
      </c>
      <c r="E195" s="330">
        <v>220</v>
      </c>
      <c r="F195" s="263">
        <f t="shared" si="33"/>
        <v>180.47579983593107</v>
      </c>
      <c r="G195" s="263">
        <f>IFERROR(ROUNDUP(F195*'Customer Base'!$J$5,2),0)</f>
        <v>3013.9500000000003</v>
      </c>
      <c r="H195" s="263">
        <f t="shared" si="34"/>
        <v>180.47579983593107</v>
      </c>
      <c r="I195" s="263">
        <f>IFERROR(ROUNDUP(H195*'Customer Base'!$J$5,2),0)</f>
        <v>3013.9500000000003</v>
      </c>
      <c r="J195" s="103" t="str">
        <f t="shared" si="32"/>
        <v/>
      </c>
      <c r="L195" s="103" t="str">
        <f t="shared" si="30"/>
        <v/>
      </c>
      <c r="N195" s="103">
        <v>193</v>
      </c>
      <c r="O195" s="103" t="str">
        <f>IF('Customer Base'!$I$15="MANUAL",IF(B195&lt;&gt;"",C195,""),IF('Customer Base'!$I$15="AUTOMATE",IF(A195&lt;&gt;"",C195,""),""))</f>
        <v/>
      </c>
      <c r="AO195" s="103">
        <f>IF('Customer Base'!$I$15="MANUAL",IFERROR(AM195*B195,""),IF('Customer Base'!$I$15="AUTOMATE",IFERROR(AM195*A195,""),""))</f>
        <v>0</v>
      </c>
      <c r="AT195" s="103" t="str">
        <f t="shared" si="29"/>
        <v/>
      </c>
      <c r="AV195" s="103" t="str">
        <f t="shared" si="31"/>
        <v/>
      </c>
    </row>
    <row r="196" spans="1:48">
      <c r="C196" s="348" t="s">
        <v>1841</v>
      </c>
      <c r="D196" s="330">
        <v>1100</v>
      </c>
      <c r="E196" s="330">
        <v>1100</v>
      </c>
      <c r="F196" s="263">
        <f t="shared" si="33"/>
        <v>902.37899917965535</v>
      </c>
      <c r="G196" s="263">
        <f>IFERROR(ROUNDUP(F196*'Customer Base'!$J$5,2),0)</f>
        <v>15069.73</v>
      </c>
      <c r="H196" s="263">
        <f t="shared" si="34"/>
        <v>902.37899917965535</v>
      </c>
      <c r="I196" s="263">
        <f>IFERROR(ROUNDUP(H196*'Customer Base'!$J$5,2),0)</f>
        <v>15069.73</v>
      </c>
      <c r="J196" s="103" t="str">
        <f t="shared" si="32"/>
        <v/>
      </c>
      <c r="L196" s="103" t="str">
        <f t="shared" si="30"/>
        <v/>
      </c>
      <c r="N196" s="103">
        <v>195</v>
      </c>
      <c r="O196" s="103" t="str">
        <f>IF('Customer Base'!$I$15="MANUAL",IF(B196&lt;&gt;"",C196,""),IF('Customer Base'!$I$15="AUTOMATE",IF(A196&lt;&gt;"",C196,""),""))</f>
        <v/>
      </c>
      <c r="AO196" s="103">
        <f>IF('Customer Base'!$I$15="MANUAL",IFERROR(AM196*B196,""),IF('Customer Base'!$I$15="AUTOMATE",IFERROR(AM196*A196,""),""))</f>
        <v>0</v>
      </c>
      <c r="AT196" s="103" t="str">
        <f t="shared" si="29"/>
        <v/>
      </c>
      <c r="AV196" s="103" t="str">
        <f t="shared" si="31"/>
        <v/>
      </c>
    </row>
    <row r="197" spans="1:48">
      <c r="C197" s="348" t="s">
        <v>1842</v>
      </c>
      <c r="D197" s="330">
        <v>1100</v>
      </c>
      <c r="E197" s="330">
        <v>1100</v>
      </c>
      <c r="F197" s="263">
        <f t="shared" si="33"/>
        <v>902.37899917965535</v>
      </c>
      <c r="G197" s="263">
        <f>IFERROR(ROUNDUP(F197*'Customer Base'!$J$5,2),0)</f>
        <v>15069.73</v>
      </c>
      <c r="H197" s="263">
        <f t="shared" si="34"/>
        <v>902.37899917965535</v>
      </c>
      <c r="I197" s="263">
        <f>IFERROR(ROUNDUP(H197*'Customer Base'!$J$5,2),0)</f>
        <v>15069.73</v>
      </c>
      <c r="J197" s="103" t="str">
        <f t="shared" si="32"/>
        <v/>
      </c>
      <c r="L197" s="103" t="str">
        <f t="shared" si="30"/>
        <v/>
      </c>
      <c r="N197" s="103">
        <v>196</v>
      </c>
      <c r="O197" s="103" t="str">
        <f>IF('Customer Base'!$I$15="MANUAL",IF(B197&lt;&gt;"",C197,""),IF('Customer Base'!$I$15="AUTOMATE",IF(A197&lt;&gt;"",C197,""),""))</f>
        <v/>
      </c>
      <c r="AO197" s="103">
        <f>IF('Customer Base'!$I$15="MANUAL",IFERROR(AM197*B197,""),IF('Customer Base'!$I$15="AUTOMATE",IFERROR(AM197*A197,""),""))</f>
        <v>0</v>
      </c>
      <c r="AT197" s="103" t="str">
        <f t="shared" si="29"/>
        <v/>
      </c>
      <c r="AV197" s="103" t="str">
        <f t="shared" si="31"/>
        <v/>
      </c>
    </row>
    <row r="198" spans="1:48">
      <c r="C198" s="348" t="s">
        <v>1843</v>
      </c>
      <c r="D198" s="330">
        <v>1760</v>
      </c>
      <c r="E198" s="330">
        <v>1760</v>
      </c>
      <c r="F198" s="263">
        <f t="shared" si="33"/>
        <v>1443.8063986874486</v>
      </c>
      <c r="G198" s="263">
        <f>IFERROR(ROUNDUP(F198*'Customer Base'!$J$5,2),0)</f>
        <v>24111.57</v>
      </c>
      <c r="H198" s="263">
        <f t="shared" si="34"/>
        <v>1443.8063986874486</v>
      </c>
      <c r="I198" s="263">
        <f>IFERROR(ROUNDUP(H198*'Customer Base'!$J$5,2),0)</f>
        <v>24111.57</v>
      </c>
      <c r="J198" s="103" t="str">
        <f t="shared" si="32"/>
        <v/>
      </c>
      <c r="L198" s="103" t="str">
        <f t="shared" ref="L198:L206" si="35">IF(H198&gt;F198,"lkkajdfkj","")</f>
        <v/>
      </c>
      <c r="N198" s="103">
        <v>197</v>
      </c>
      <c r="O198" s="103" t="str">
        <f>IF('Customer Base'!$I$15="MANUAL",IF(B198&lt;&gt;"",C198,""),IF('Customer Base'!$I$15="AUTOMATE",IF(A198&lt;&gt;"",C198,""),""))</f>
        <v/>
      </c>
      <c r="AO198" s="103">
        <f>IF('Customer Base'!$I$15="MANUAL",IFERROR(AM198*B198,""),IF('Customer Base'!$I$15="AUTOMATE",IFERROR(AM198*A198,""),""))</f>
        <v>0</v>
      </c>
      <c r="AT198" s="103" t="str">
        <f t="shared" si="29"/>
        <v/>
      </c>
      <c r="AV198" s="103" t="str">
        <f t="shared" si="31"/>
        <v/>
      </c>
    </row>
    <row r="199" spans="1:48">
      <c r="C199" s="348" t="s">
        <v>1844</v>
      </c>
      <c r="D199" s="330">
        <v>880</v>
      </c>
      <c r="E199" s="330">
        <v>880</v>
      </c>
      <c r="F199" s="263">
        <f t="shared" si="33"/>
        <v>721.90319934372428</v>
      </c>
      <c r="G199" s="263">
        <f>IFERROR(ROUNDUP(F199*'Customer Base'!$J$5,2),0)</f>
        <v>12055.79</v>
      </c>
      <c r="H199" s="263">
        <f t="shared" si="34"/>
        <v>721.90319934372428</v>
      </c>
      <c r="I199" s="263">
        <f>IFERROR(ROUNDUP(H199*'Customer Base'!$J$5,2),0)</f>
        <v>12055.79</v>
      </c>
      <c r="J199" s="103" t="str">
        <f t="shared" si="32"/>
        <v/>
      </c>
      <c r="L199" s="103" t="str">
        <f t="shared" si="35"/>
        <v/>
      </c>
      <c r="N199" s="103">
        <v>198</v>
      </c>
      <c r="O199" s="103" t="str">
        <f>IF('Customer Base'!$I$15="MANUAL",IF(B199&lt;&gt;"",C199,""),IF('Customer Base'!$I$15="AUTOMATE",IF(A199&lt;&gt;"",C199,""),""))</f>
        <v/>
      </c>
      <c r="AO199" s="103">
        <f>IF('Customer Base'!$I$15="MANUAL",IFERROR(AM199*B199,""),IF('Customer Base'!$I$15="AUTOMATE",IFERROR(AM199*A199,""),""))</f>
        <v>0</v>
      </c>
      <c r="AT199" s="103" t="str">
        <f t="shared" si="29"/>
        <v/>
      </c>
      <c r="AV199" s="103" t="str">
        <f t="shared" si="31"/>
        <v/>
      </c>
    </row>
    <row r="200" spans="1:48">
      <c r="C200" s="226"/>
      <c r="D200" s="319"/>
      <c r="E200" s="319"/>
      <c r="F200" s="224">
        <f t="shared" si="33"/>
        <v>0</v>
      </c>
      <c r="G200" s="224">
        <f>IFERROR(ROUNDUP(F200*'Customer Base'!$J$5,2),0)</f>
        <v>0</v>
      </c>
      <c r="H200" s="224">
        <f t="shared" si="34"/>
        <v>0</v>
      </c>
      <c r="I200" s="224">
        <f>IFERROR(ROUNDUP(H200*'Customer Base'!$J$5,2),0)</f>
        <v>0</v>
      </c>
      <c r="J200" s="103" t="str">
        <f t="shared" si="32"/>
        <v/>
      </c>
      <c r="L200" s="103" t="str">
        <f t="shared" si="35"/>
        <v/>
      </c>
      <c r="N200" s="103">
        <v>199</v>
      </c>
      <c r="O200" s="103" t="str">
        <f>IF('Customer Base'!$I$15="MANUAL",IF(B200&lt;&gt;"",C200,""),IF('Customer Base'!$I$15="AUTOMATE",IF(A200&lt;&gt;"",C200,""),""))</f>
        <v/>
      </c>
      <c r="AO200" s="103">
        <f>IF('Customer Base'!$I$15="MANUAL",IFERROR(AM200*B200,""),IF('Customer Base'!$I$15="AUTOMATE",IFERROR(AM200*A200,""),""))</f>
        <v>0</v>
      </c>
      <c r="AT200" s="103" t="str">
        <f t="shared" si="29"/>
        <v/>
      </c>
      <c r="AV200" s="103" t="str">
        <f t="shared" si="31"/>
        <v/>
      </c>
    </row>
    <row r="201" spans="1:48">
      <c r="C201" s="348" t="s">
        <v>1280</v>
      </c>
      <c r="D201" s="330">
        <v>350</v>
      </c>
      <c r="E201" s="330">
        <v>350</v>
      </c>
      <c r="F201" s="263">
        <f t="shared" si="33"/>
        <v>287.12059064807215</v>
      </c>
      <c r="G201" s="263">
        <f>IFERROR(ROUNDUP(F201*'Customer Base'!$J$5,2),0)</f>
        <v>4794.92</v>
      </c>
      <c r="H201" s="263">
        <f t="shared" si="34"/>
        <v>287.12059064807215</v>
      </c>
      <c r="I201" s="263">
        <f>IFERROR(ROUNDUP(H201*'Customer Base'!$J$5,2),0)</f>
        <v>4794.92</v>
      </c>
      <c r="J201" s="103" t="str">
        <f t="shared" si="32"/>
        <v/>
      </c>
      <c r="L201" s="103" t="str">
        <f t="shared" si="35"/>
        <v/>
      </c>
      <c r="N201" s="103">
        <v>200</v>
      </c>
      <c r="O201" s="103" t="str">
        <f>IF('Customer Base'!$I$15="MANUAL",IF(B201&lt;&gt;"",C201,""),IF('Customer Base'!$I$15="AUTOMATE",IF(A201&lt;&gt;"",C201,""),""))</f>
        <v/>
      </c>
      <c r="AO201" s="103">
        <f>IF('Customer Base'!$I$15="MANUAL",IFERROR(AM201*B201,""),IF('Customer Base'!$I$15="AUTOMATE",IFERROR(AM201*A201,""),""))</f>
        <v>0</v>
      </c>
      <c r="AT201" s="103" t="str">
        <f t="shared" si="29"/>
        <v/>
      </c>
      <c r="AV201" s="103" t="str">
        <f t="shared" si="31"/>
        <v/>
      </c>
    </row>
    <row r="202" spans="1:48">
      <c r="C202" s="348" t="s">
        <v>1185</v>
      </c>
      <c r="D202" s="330">
        <v>400</v>
      </c>
      <c r="E202" s="330">
        <v>400</v>
      </c>
      <c r="F202" s="263">
        <f t="shared" si="33"/>
        <v>328.13781788351105</v>
      </c>
      <c r="G202" s="263">
        <f>IFERROR(ROUNDUP(F202*'Customer Base'!$J$5,2),0)</f>
        <v>5479.91</v>
      </c>
      <c r="H202" s="263">
        <f t="shared" si="34"/>
        <v>328.13781788351105</v>
      </c>
      <c r="I202" s="263">
        <f>IFERROR(ROUNDUP(H202*'Customer Base'!$J$5,2),0)</f>
        <v>5479.91</v>
      </c>
      <c r="J202" s="103" t="str">
        <f t="shared" si="32"/>
        <v/>
      </c>
      <c r="L202" s="103" t="str">
        <f t="shared" si="35"/>
        <v/>
      </c>
      <c r="N202" s="103">
        <v>201</v>
      </c>
      <c r="O202" s="103" t="str">
        <f>IF('Customer Base'!$I$15="MANUAL",IF(B202&lt;&gt;"",C202,""),IF('Customer Base'!$I$15="AUTOMATE",IF(A202&lt;&gt;"",C202,""),""))</f>
        <v/>
      </c>
      <c r="AO202" s="103">
        <f>IF('Customer Base'!$I$15="MANUAL",IFERROR(AM202*B202,""),IF('Customer Base'!$I$15="AUTOMATE",IFERROR(AM202*A202,""),""))</f>
        <v>0</v>
      </c>
      <c r="AT202" s="103" t="str">
        <f t="shared" si="29"/>
        <v/>
      </c>
      <c r="AV202" s="103" t="str">
        <f t="shared" si="31"/>
        <v/>
      </c>
    </row>
    <row r="203" spans="1:48">
      <c r="D203" s="319"/>
      <c r="E203" s="319"/>
      <c r="I203" s="224"/>
      <c r="J203" s="103" t="str">
        <f t="shared" si="32"/>
        <v/>
      </c>
      <c r="L203" s="103" t="str">
        <f t="shared" si="35"/>
        <v/>
      </c>
      <c r="N203" s="103">
        <v>202</v>
      </c>
      <c r="O203" s="103" t="str">
        <f>IF('Customer Base'!$I$15="MANUAL",IF(B203&lt;&gt;"",C203,""),IF('Customer Base'!$I$15="AUTOMATE",IF(A203&lt;&gt;"",C203,""),""))</f>
        <v/>
      </c>
      <c r="AO203" s="103">
        <f>IF('Customer Base'!$I$15="MANUAL",IFERROR(AM203*B203,""),IF('Customer Base'!$I$15="AUTOMATE",IFERROR(AM203*A203,""),""))</f>
        <v>0</v>
      </c>
      <c r="AV203" s="103">
        <f t="shared" ref="AV203:AV232" si="36">IF(AU203&lt;&gt;"",AU203,AT203)</f>
        <v>0</v>
      </c>
    </row>
    <row r="204" spans="1:48">
      <c r="C204" s="232" t="s">
        <v>1899</v>
      </c>
      <c r="D204" s="322"/>
      <c r="E204" s="322"/>
      <c r="F204" s="252">
        <f t="shared" ref="F204:F230" si="37">$D204/1.219</f>
        <v>0</v>
      </c>
      <c r="G204" s="234">
        <f>IFERROR(ROUNDUP(F204*'Customer Base'!$J$5,2),0)</f>
        <v>0</v>
      </c>
      <c r="H204" s="252">
        <f t="shared" ref="H204:H230" si="38">$E204/1.219</f>
        <v>0</v>
      </c>
      <c r="I204" s="234">
        <f>IFERROR(ROUNDUP(H204*'Customer Base'!$J$5,2),0)</f>
        <v>0</v>
      </c>
      <c r="J204" s="103" t="str">
        <f t="shared" si="32"/>
        <v/>
      </c>
      <c r="L204" s="103" t="str">
        <f t="shared" si="35"/>
        <v/>
      </c>
      <c r="N204" s="103">
        <v>203</v>
      </c>
      <c r="O204" s="103" t="str">
        <f>IF('Customer Base'!$I$15="MANUAL",IF(B204&lt;&gt;"",C204,""),IF('Customer Base'!$I$15="AUTOMATE",IF(A204&lt;&gt;"",C204,""),""))</f>
        <v/>
      </c>
      <c r="AO204" s="103">
        <f>IF('Customer Base'!$I$15="MANUAL",IFERROR(AM204*B204,""),IF('Customer Base'!$I$15="AUTOMATE",IFERROR(AM204*A204,""),""))</f>
        <v>0</v>
      </c>
      <c r="AV204" s="103">
        <f t="shared" si="36"/>
        <v>0</v>
      </c>
    </row>
    <row r="205" spans="1:48">
      <c r="C205" s="257" t="s">
        <v>1822</v>
      </c>
      <c r="D205" s="323">
        <v>1716.75</v>
      </c>
      <c r="E205" s="323">
        <v>1618.65</v>
      </c>
      <c r="F205" s="254">
        <f t="shared" si="37"/>
        <v>1408.326497128794</v>
      </c>
      <c r="G205" s="255">
        <f>IFERROR(ROUNDUP(F205*'Customer Base'!$J$5,2),0)</f>
        <v>23519.059999999998</v>
      </c>
      <c r="H205" s="254">
        <f t="shared" si="38"/>
        <v>1327.8506972928631</v>
      </c>
      <c r="I205" s="255">
        <f>IFERROR(ROUNDUP(H205*'Customer Base'!$J$5,2),0)</f>
        <v>22175.109999999997</v>
      </c>
      <c r="J205" s="103" t="str">
        <f t="shared" si="32"/>
        <v/>
      </c>
      <c r="L205" s="103" t="str">
        <f t="shared" si="35"/>
        <v/>
      </c>
      <c r="N205" s="103">
        <v>204</v>
      </c>
      <c r="O205" s="103" t="str">
        <f>IF('Customer Base'!$I$15="MANUAL",IF(B205&lt;&gt;"",C205,""),IF('Customer Base'!$I$15="AUTOMATE",IF(A205&lt;&gt;"",C205,""),""))</f>
        <v/>
      </c>
      <c r="AM205" s="103">
        <v>4</v>
      </c>
      <c r="AN205" s="103" t="s">
        <v>2295</v>
      </c>
      <c r="AO205" s="103">
        <f>IF('Customer Base'!$I$15="MANUAL",IFERROR(AM205*B205,""),IF('Customer Base'!$I$15="AUTOMATE",IFERROR(AM205*A205,""),""))</f>
        <v>0</v>
      </c>
      <c r="AR205" s="103" t="s">
        <v>2214</v>
      </c>
      <c r="AT205" s="103" t="str">
        <f t="shared" ref="AT205:AT232" si="39">IF(AND(AR205=$AY$3,$AZ$3=AN205),BA$3,"")</f>
        <v/>
      </c>
      <c r="AV205" s="103" t="str">
        <f t="shared" si="36"/>
        <v/>
      </c>
    </row>
    <row r="206" spans="1:48">
      <c r="C206" s="257" t="s">
        <v>1823</v>
      </c>
      <c r="D206" s="323">
        <v>1662.5</v>
      </c>
      <c r="E206" s="323">
        <v>1567.5</v>
      </c>
      <c r="F206" s="254">
        <f t="shared" si="37"/>
        <v>1363.8228055783429</v>
      </c>
      <c r="G206" s="255">
        <f>IFERROR(ROUNDUP(F206*'Customer Base'!$J$5,2),0)</f>
        <v>22775.85</v>
      </c>
      <c r="H206" s="254">
        <f t="shared" si="38"/>
        <v>1285.890073831009</v>
      </c>
      <c r="I206" s="255">
        <f>IFERROR(ROUNDUP(H206*'Customer Base'!$J$5,2),0)</f>
        <v>21474.37</v>
      </c>
      <c r="J206" s="103" t="str">
        <f t="shared" si="32"/>
        <v/>
      </c>
      <c r="L206" s="103" t="str">
        <f t="shared" si="35"/>
        <v/>
      </c>
      <c r="N206" s="103">
        <v>205</v>
      </c>
      <c r="O206" s="103" t="str">
        <f>IF('Customer Base'!$I$15="MANUAL",IF(B206&lt;&gt;"",C206,""),IF('Customer Base'!$I$15="AUTOMATE",IF(A206&lt;&gt;"",C206,""),""))</f>
        <v/>
      </c>
      <c r="AM206" s="103">
        <v>5</v>
      </c>
      <c r="AN206" s="103" t="s">
        <v>2294</v>
      </c>
      <c r="AO206" s="103">
        <f>IF('Customer Base'!$I$15="MANUAL",IFERROR(AM206*B206,""),IF('Customer Base'!$I$15="AUTOMATE",IFERROR(AM206*A206,""),""))</f>
        <v>0</v>
      </c>
      <c r="AR206" s="103" t="s">
        <v>2214</v>
      </c>
      <c r="AT206" s="103" t="str">
        <f t="shared" si="39"/>
        <v/>
      </c>
      <c r="AV206" s="103" t="str">
        <f t="shared" si="36"/>
        <v/>
      </c>
    </row>
    <row r="207" spans="1:48">
      <c r="A207" s="103">
        <f>IFERROR(IF(AND('Customer Base'!D$7&lt;&gt;"Grid-Tied",'Customer Base'!D$20="BYD",'Customer Base'!E$20=5),ROUNDUP('Customer Base'!D$21,0),""),"")</f>
        <v>2</v>
      </c>
      <c r="B207" s="270">
        <v>2</v>
      </c>
      <c r="C207" s="257" t="s">
        <v>2775</v>
      </c>
      <c r="D207" s="323">
        <v>1137.5</v>
      </c>
      <c r="E207" s="323">
        <v>1072.5</v>
      </c>
      <c r="F207" s="254">
        <f t="shared" si="37"/>
        <v>933.14191960623452</v>
      </c>
      <c r="G207" s="255">
        <f>IFERROR(ROUNDUP(F207*'Customer Base'!$J$5,2),0)</f>
        <v>15583.48</v>
      </c>
      <c r="H207" s="254">
        <f t="shared" si="38"/>
        <v>879.81952420016398</v>
      </c>
      <c r="I207" s="255">
        <f>IFERROR(ROUNDUP(H207*'Customer Base'!$J$5,2),0)</f>
        <v>14692.99</v>
      </c>
      <c r="N207" s="103">
        <v>206</v>
      </c>
      <c r="O207" s="103" t="str">
        <f>IF('Customer Base'!$I$15="MANUAL",IF(B207&lt;&gt;"",C207,""),IF('Customer Base'!$I$15="AUTOMATE",IF(A207&lt;&gt;"",C207,""),""))</f>
        <v>BYD LV 5.0KWH Lithium Battery</v>
      </c>
      <c r="AM207" s="103">
        <v>5</v>
      </c>
      <c r="AN207" s="103" t="s">
        <v>2294</v>
      </c>
      <c r="AO207" s="103">
        <f>IF('Customer Base'!$I$15="MANUAL",IFERROR(AM207*B207,""),IF('Customer Base'!$I$15="AUTOMATE",IFERROR(AM207*A207,""),""))</f>
        <v>10</v>
      </c>
      <c r="AR207" s="103" t="s">
        <v>2214</v>
      </c>
    </row>
    <row r="208" spans="1:48">
      <c r="C208" s="257" t="s">
        <v>973</v>
      </c>
      <c r="D208" s="323">
        <v>469</v>
      </c>
      <c r="E208" s="323">
        <v>442.2</v>
      </c>
      <c r="F208" s="254">
        <f t="shared" si="37"/>
        <v>384.74159146841669</v>
      </c>
      <c r="G208" s="255">
        <f>IFERROR(ROUNDUP(F208*'Customer Base'!$J$5,2),0)</f>
        <v>6425.1900000000005</v>
      </c>
      <c r="H208" s="254">
        <f t="shared" si="38"/>
        <v>362.75635767022146</v>
      </c>
      <c r="I208" s="255">
        <f>IFERROR(ROUNDUP(H208*'Customer Base'!$J$5,2),0)</f>
        <v>6058.04</v>
      </c>
      <c r="J208" s="103" t="str">
        <f t="shared" ref="J208:J271" si="40">IF(D208&lt;&gt;"",IF(D208&lt;E208,"lkdfjk",""),"")</f>
        <v/>
      </c>
      <c r="L208" s="103" t="str">
        <f t="shared" ref="L208:L271" si="41">IF(H208&gt;F208,"lkkajdfkj","")</f>
        <v/>
      </c>
      <c r="N208" s="103">
        <v>207</v>
      </c>
      <c r="O208" s="103" t="str">
        <f>IF('Customer Base'!$I$15="MANUAL",IF(B208&lt;&gt;"",C208,""),IF('Customer Base'!$I$15="AUTOMATE",IF(A208&lt;&gt;"",C208,""),""))</f>
        <v/>
      </c>
      <c r="AO208" s="103">
        <f>IF('Customer Base'!$I$15="MANUAL",IFERROR(AM208*B208,""),IF('Customer Base'!$I$15="AUTOMATE",IFERROR(AM208*A208,""),""))</f>
        <v>0</v>
      </c>
      <c r="AT208" s="103" t="str">
        <f t="shared" si="39"/>
        <v/>
      </c>
      <c r="AV208" s="103" t="str">
        <f t="shared" si="36"/>
        <v/>
      </c>
    </row>
    <row r="209" spans="1:48">
      <c r="C209" s="257" t="s">
        <v>1001</v>
      </c>
      <c r="D209" s="323">
        <v>33.25</v>
      </c>
      <c r="E209" s="323">
        <v>31.35</v>
      </c>
      <c r="F209" s="254">
        <f t="shared" si="37"/>
        <v>27.276456111566855</v>
      </c>
      <c r="G209" s="255">
        <f>IFERROR(ROUNDUP(F209*'Customer Base'!$J$5,2),0)</f>
        <v>455.52</v>
      </c>
      <c r="H209" s="254">
        <f t="shared" si="38"/>
        <v>25.717801476620181</v>
      </c>
      <c r="I209" s="255">
        <f>IFERROR(ROUNDUP(H209*'Customer Base'!$J$5,2),0)</f>
        <v>429.49</v>
      </c>
      <c r="J209" s="103" t="str">
        <f t="shared" si="40"/>
        <v/>
      </c>
      <c r="L209" s="103" t="str">
        <f t="shared" si="41"/>
        <v/>
      </c>
      <c r="N209" s="103">
        <v>208</v>
      </c>
      <c r="O209" s="103" t="str">
        <f>IF('Customer Base'!$I$15="MANUAL",IF(B209&lt;&gt;"",C209,""),IF('Customer Base'!$I$15="AUTOMATE",IF(A209&lt;&gt;"",C209,""),""))</f>
        <v/>
      </c>
      <c r="AO209" s="103">
        <f>IF('Customer Base'!$I$15="MANUAL",IFERROR(AM209*B209,""),IF('Customer Base'!$I$15="AUTOMATE",IFERROR(AM209*A209,""),""))</f>
        <v>0</v>
      </c>
      <c r="AT209" s="103" t="str">
        <f t="shared" si="39"/>
        <v/>
      </c>
      <c r="AV209" s="103" t="str">
        <f t="shared" si="36"/>
        <v/>
      </c>
    </row>
    <row r="210" spans="1:48">
      <c r="A210" s="103" t="str">
        <f>IFERROR(IF(SUM(A205:A206,A208:A209,A211)&gt;0,1,""),"")</f>
        <v/>
      </c>
      <c r="B210" s="270" t="s">
        <v>1</v>
      </c>
      <c r="C210" s="257" t="s">
        <v>974</v>
      </c>
      <c r="D210" s="323">
        <v>162.75</v>
      </c>
      <c r="E210" s="323">
        <v>153.44999999999999</v>
      </c>
      <c r="F210" s="254">
        <f t="shared" si="37"/>
        <v>133.51107465135357</v>
      </c>
      <c r="G210" s="255">
        <f>IFERROR(ROUNDUP(F210*'Customer Base'!$J$5,2),0)</f>
        <v>2229.6400000000003</v>
      </c>
      <c r="H210" s="254">
        <f t="shared" si="38"/>
        <v>125.88187038556192</v>
      </c>
      <c r="I210" s="255">
        <f>IFERROR(ROUNDUP(H210*'Customer Base'!$J$5,2),0)</f>
        <v>2102.23</v>
      </c>
      <c r="J210" s="103" t="str">
        <f t="shared" si="40"/>
        <v/>
      </c>
      <c r="L210" s="103" t="str">
        <f t="shared" si="41"/>
        <v/>
      </c>
      <c r="N210" s="103">
        <v>209</v>
      </c>
      <c r="O210" s="103" t="str">
        <f>IF('Customer Base'!$I$15="MANUAL",IF(B210&lt;&gt;"",C210,""),IF('Customer Base'!$I$15="AUTOMATE",IF(A210&lt;&gt;"",C210,""),""))</f>
        <v/>
      </c>
      <c r="AO210" s="103" t="str">
        <f>IF('Customer Base'!$I$15="MANUAL",IFERROR(AM210*B210,""),IF('Customer Base'!$I$15="AUTOMATE",IFERROR(AM210*A210,""),""))</f>
        <v/>
      </c>
      <c r="AT210" s="103" t="str">
        <f t="shared" si="39"/>
        <v/>
      </c>
      <c r="AV210" s="103" t="str">
        <f t="shared" si="36"/>
        <v/>
      </c>
    </row>
    <row r="211" spans="1:48">
      <c r="A211" s="103" t="str">
        <f>IFERROR(IF(AND('Customer Base'!D$7&lt;&gt;"Grid-Tied",'Customer Base'!D$20="BYD",'Customer Base'!E$20=15),ROUNDUP('Customer Base'!D$21,0),""),"")</f>
        <v/>
      </c>
      <c r="B211" s="270" t="s">
        <v>1</v>
      </c>
      <c r="C211" s="257" t="s">
        <v>1824</v>
      </c>
      <c r="D211" s="323">
        <v>5852</v>
      </c>
      <c r="E211" s="323">
        <v>5517.6</v>
      </c>
      <c r="F211" s="254">
        <f t="shared" si="37"/>
        <v>4800.6562756357671</v>
      </c>
      <c r="G211" s="255">
        <f>IFERROR(ROUNDUP(F211*'Customer Base'!$J$5,2),0)</f>
        <v>80170.959999999992</v>
      </c>
      <c r="H211" s="254">
        <f t="shared" si="38"/>
        <v>4526.3330598851517</v>
      </c>
      <c r="I211" s="255">
        <f>IFERROR(ROUNDUP(H211*'Customer Base'!$J$5,2),0)</f>
        <v>75589.76999999999</v>
      </c>
      <c r="J211" s="103" t="str">
        <f t="shared" si="40"/>
        <v/>
      </c>
      <c r="L211" s="103" t="str">
        <f t="shared" si="41"/>
        <v/>
      </c>
      <c r="N211" s="103">
        <v>210</v>
      </c>
      <c r="O211" s="103" t="str">
        <f>IF('Customer Base'!$I$15="MANUAL",IF(B211&lt;&gt;"",C211,""),IF('Customer Base'!$I$15="AUTOMATE",IF(A211&lt;&gt;"",C211,""),""))</f>
        <v/>
      </c>
      <c r="AM211" s="103">
        <v>15.4</v>
      </c>
      <c r="AN211" s="103" t="s">
        <v>2296</v>
      </c>
      <c r="AO211" s="103" t="str">
        <f>IF('Customer Base'!$I$15="MANUAL",IFERROR(AM211*B211,""),IF('Customer Base'!$I$15="AUTOMATE",IFERROR(AM211*A211,""),""))</f>
        <v/>
      </c>
      <c r="AR211" s="103" t="s">
        <v>2214</v>
      </c>
      <c r="AT211" s="103" t="str">
        <f t="shared" si="39"/>
        <v/>
      </c>
      <c r="AV211" s="103" t="str">
        <f t="shared" si="36"/>
        <v/>
      </c>
    </row>
    <row r="212" spans="1:48">
      <c r="C212" s="257" t="s">
        <v>1825</v>
      </c>
      <c r="D212" s="323">
        <v>1536.5</v>
      </c>
      <c r="E212" s="323">
        <v>1448.7</v>
      </c>
      <c r="F212" s="254">
        <f t="shared" si="37"/>
        <v>1260.4593929450368</v>
      </c>
      <c r="G212" s="255">
        <f>IFERROR(ROUNDUP(F212*'Customer Base'!$J$5,2),0)</f>
        <v>21049.679999999997</v>
      </c>
      <c r="H212" s="254">
        <f t="shared" si="38"/>
        <v>1188.4331419196062</v>
      </c>
      <c r="I212" s="255">
        <f>IFERROR(ROUNDUP(H212*'Customer Base'!$J$5,2),0)</f>
        <v>19846.84</v>
      </c>
      <c r="J212" s="103" t="str">
        <f t="shared" si="40"/>
        <v/>
      </c>
      <c r="L212" s="103" t="str">
        <f t="shared" si="41"/>
        <v/>
      </c>
      <c r="N212" s="103">
        <v>211</v>
      </c>
      <c r="O212" s="103" t="str">
        <f>IF('Customer Base'!$I$15="MANUAL",IF(B212&lt;&gt;"",C212,""),IF('Customer Base'!$I$15="AUTOMATE",IF(A212&lt;&gt;"",C212,""),""))</f>
        <v/>
      </c>
      <c r="AM212" s="103">
        <v>2.56</v>
      </c>
      <c r="AN212" s="103" t="s">
        <v>2297</v>
      </c>
      <c r="AO212" s="103">
        <f>IF('Customer Base'!$I$15="MANUAL",IFERROR(AM212*B212,""),IF('Customer Base'!$I$15="AUTOMATE",IFERROR(AM212*A212,""),""))</f>
        <v>0</v>
      </c>
      <c r="AR212" s="103" t="s">
        <v>2214</v>
      </c>
      <c r="AT212" s="103" t="str">
        <f t="shared" si="39"/>
        <v/>
      </c>
      <c r="AV212" s="103" t="str">
        <f t="shared" si="36"/>
        <v/>
      </c>
    </row>
    <row r="213" spans="1:48">
      <c r="C213" s="257" t="s">
        <v>975</v>
      </c>
      <c r="D213" s="323">
        <v>661.5</v>
      </c>
      <c r="E213" s="323">
        <v>623.70000000000005</v>
      </c>
      <c r="F213" s="254">
        <f t="shared" si="37"/>
        <v>542.65791632485639</v>
      </c>
      <c r="G213" s="255">
        <f>IFERROR(ROUNDUP(F213*'Customer Base'!$J$5,2),0)</f>
        <v>9062.39</v>
      </c>
      <c r="H213" s="254">
        <f t="shared" si="38"/>
        <v>511.64889253486467</v>
      </c>
      <c r="I213" s="255">
        <f>IFERROR(ROUNDUP(H213*'Customer Base'!$J$5,2),0)</f>
        <v>8544.5400000000009</v>
      </c>
      <c r="J213" s="103" t="str">
        <f t="shared" si="40"/>
        <v/>
      </c>
      <c r="L213" s="103" t="str">
        <f t="shared" si="41"/>
        <v/>
      </c>
      <c r="N213" s="103">
        <v>212</v>
      </c>
      <c r="O213" s="103" t="str">
        <f>IF('Customer Base'!$I$15="MANUAL",IF(B213&lt;&gt;"",C213,""),IF('Customer Base'!$I$15="AUTOMATE",IF(A213&lt;&gt;"",C213,""),""))</f>
        <v/>
      </c>
      <c r="AO213" s="103">
        <f>IF('Customer Base'!$I$15="MANUAL",IFERROR(AM213*B213,""),IF('Customer Base'!$I$15="AUTOMATE",IFERROR(AM213*A213,""),""))</f>
        <v>0</v>
      </c>
      <c r="AT213" s="103" t="str">
        <f t="shared" si="39"/>
        <v/>
      </c>
      <c r="AV213" s="103" t="str">
        <f t="shared" si="36"/>
        <v/>
      </c>
    </row>
    <row r="214" spans="1:48">
      <c r="C214" s="226"/>
      <c r="D214" s="324"/>
      <c r="E214" s="324"/>
      <c r="F214" s="256">
        <f t="shared" si="37"/>
        <v>0</v>
      </c>
      <c r="G214" s="224">
        <f>IFERROR(ROUNDUP(F214*'Customer Base'!$J$5,2),0)</f>
        <v>0</v>
      </c>
      <c r="H214" s="256">
        <f t="shared" si="38"/>
        <v>0</v>
      </c>
      <c r="I214" s="224">
        <f>IFERROR(ROUNDUP(H214*'Customer Base'!$J$5,2),0)</f>
        <v>0</v>
      </c>
      <c r="J214" s="103" t="str">
        <f t="shared" si="40"/>
        <v/>
      </c>
      <c r="L214" s="103" t="str">
        <f t="shared" si="41"/>
        <v/>
      </c>
      <c r="N214" s="103">
        <v>213</v>
      </c>
      <c r="O214" s="103" t="str">
        <f>IF('Customer Base'!$I$15="MANUAL",IF(B214&lt;&gt;"",C214,""),IF('Customer Base'!$I$15="AUTOMATE",IF(A214&lt;&gt;"",C214,""),""))</f>
        <v/>
      </c>
      <c r="AO214" s="103">
        <f>IF('Customer Base'!$I$15="MANUAL",IFERROR(AM214*B214,""),IF('Customer Base'!$I$15="AUTOMATE",IFERROR(AM214*A214,""),""))</f>
        <v>0</v>
      </c>
      <c r="AT214" s="103" t="str">
        <f t="shared" si="39"/>
        <v/>
      </c>
      <c r="AV214" s="103" t="str">
        <f t="shared" si="36"/>
        <v/>
      </c>
    </row>
    <row r="215" spans="1:48">
      <c r="A215" s="103" t="str">
        <f>IFERROR(IF(AND('Customer Base'!D$7&lt;&gt;"Grid-Tied",'Customer Base'!D$20="Jinko"),ROUNDUP('Customer Base'!D$21,0),""),"")</f>
        <v/>
      </c>
      <c r="B215" s="270" t="s">
        <v>1</v>
      </c>
      <c r="C215" s="253" t="s">
        <v>1939</v>
      </c>
      <c r="D215" s="325">
        <v>2136.75</v>
      </c>
      <c r="E215" s="325">
        <v>1905.75</v>
      </c>
      <c r="F215" s="254">
        <f t="shared" si="37"/>
        <v>1752.8712059064806</v>
      </c>
      <c r="G215" s="255">
        <f>IFERROR(ROUNDUP(F215*'Customer Base'!$J$5,2),0)</f>
        <v>29272.949999999997</v>
      </c>
      <c r="H215" s="254">
        <f t="shared" si="38"/>
        <v>1563.371616078753</v>
      </c>
      <c r="I215" s="255">
        <f>IFERROR(ROUNDUP(H215*'Customer Base'!$J$5,2),0)</f>
        <v>26108.309999999998</v>
      </c>
      <c r="J215" s="103" t="str">
        <f t="shared" si="40"/>
        <v/>
      </c>
      <c r="L215" s="103" t="str">
        <f t="shared" si="41"/>
        <v/>
      </c>
      <c r="N215" s="103">
        <v>214</v>
      </c>
      <c r="O215" s="103" t="str">
        <f>IF('Customer Base'!$I$15="MANUAL",IF(B215&lt;&gt;"",C215,""),IF('Customer Base'!$I$15="AUTOMATE",IF(A215&lt;&gt;"",C215,""),""))</f>
        <v/>
      </c>
      <c r="AM215" s="103">
        <v>4.8</v>
      </c>
      <c r="AN215" s="103" t="s">
        <v>2298</v>
      </c>
      <c r="AO215" s="103" t="str">
        <f>IF('Customer Base'!$I$15="MANUAL",IFERROR(AM215*B215,""),IF('Customer Base'!$I$15="AUTOMATE",IFERROR(AM215*A215,""),""))</f>
        <v/>
      </c>
      <c r="AR215" s="103" t="s">
        <v>2215</v>
      </c>
      <c r="AT215" s="103">
        <f t="shared" si="39"/>
        <v>1</v>
      </c>
      <c r="AV215" s="103">
        <f t="shared" si="36"/>
        <v>1</v>
      </c>
    </row>
    <row r="216" spans="1:48">
      <c r="B216" s="271"/>
      <c r="C216" s="226"/>
      <c r="D216" s="324"/>
      <c r="E216" s="324"/>
      <c r="F216" s="256"/>
      <c r="H216" s="256"/>
      <c r="I216" s="224"/>
      <c r="J216" s="103" t="str">
        <f t="shared" si="40"/>
        <v/>
      </c>
      <c r="L216" s="103" t="str">
        <f t="shared" si="41"/>
        <v/>
      </c>
      <c r="N216" s="103">
        <v>215</v>
      </c>
      <c r="O216" s="103" t="str">
        <f>IF('Customer Base'!$I$15="MANUAL",IF(B216&lt;&gt;"",C216,""),IF('Customer Base'!$I$15="AUTOMATE",IF(A216&lt;&gt;"",C216,""),""))</f>
        <v/>
      </c>
      <c r="AO216" s="103">
        <f>IF('Customer Base'!$I$15="MANUAL",IFERROR(AM216*B216,""),IF('Customer Base'!$I$15="AUTOMATE",IFERROR(AM216*A216,""),""))</f>
        <v>0</v>
      </c>
      <c r="AT216" s="103" t="str">
        <f t="shared" si="39"/>
        <v/>
      </c>
      <c r="AV216" s="103" t="str">
        <f t="shared" si="36"/>
        <v/>
      </c>
    </row>
    <row r="217" spans="1:48">
      <c r="C217" s="253" t="s">
        <v>1924</v>
      </c>
      <c r="D217" s="325">
        <v>1845.73</v>
      </c>
      <c r="E217" s="325">
        <v>1738.422</v>
      </c>
      <c r="F217" s="254">
        <f t="shared" si="37"/>
        <v>1514.1345365053321</v>
      </c>
      <c r="G217" s="255">
        <f>IFERROR(ROUNDUP(F217*'Customer Base'!$J$5,2),0)</f>
        <v>25286.05</v>
      </c>
      <c r="H217" s="254">
        <f t="shared" si="38"/>
        <v>1426.1050041017227</v>
      </c>
      <c r="I217" s="255">
        <f>IFERROR(ROUNDUP(H217*'Customer Base'!$J$5,2),0)</f>
        <v>23815.96</v>
      </c>
      <c r="J217" s="103" t="str">
        <f t="shared" si="40"/>
        <v/>
      </c>
      <c r="L217" s="103" t="str">
        <f t="shared" si="41"/>
        <v/>
      </c>
      <c r="N217" s="103">
        <v>216</v>
      </c>
      <c r="O217" s="103" t="str">
        <f>IF('Customer Base'!$I$15="MANUAL",IF(B217&lt;&gt;"",C217,""),IF('Customer Base'!$I$15="AUTOMATE",IF(A217&lt;&gt;"",C217,""),""))</f>
        <v/>
      </c>
      <c r="AO217" s="103">
        <f>IF('Customer Base'!$I$15="MANUAL",IFERROR(AM217*B217,""),IF('Customer Base'!$I$15="AUTOMATE",IFERROR(AM217*A217,""),""))</f>
        <v>0</v>
      </c>
      <c r="AR217" s="103" t="s">
        <v>2216</v>
      </c>
      <c r="AT217" s="103" t="str">
        <f t="shared" si="39"/>
        <v/>
      </c>
      <c r="AV217" s="103" t="str">
        <f t="shared" si="36"/>
        <v/>
      </c>
    </row>
    <row r="218" spans="1:48">
      <c r="C218" s="253" t="s">
        <v>1925</v>
      </c>
      <c r="D218" s="325">
        <v>2528.4</v>
      </c>
      <c r="E218" s="325">
        <v>2381.4</v>
      </c>
      <c r="F218" s="254">
        <f t="shared" si="37"/>
        <v>2074.1591468416736</v>
      </c>
      <c r="G218" s="255">
        <f>IFERROR(ROUNDUP(F218*'Customer Base'!$J$5,2),0)</f>
        <v>34638.46</v>
      </c>
      <c r="H218" s="254">
        <f t="shared" si="38"/>
        <v>1953.5684987694831</v>
      </c>
      <c r="I218" s="255">
        <f>IFERROR(ROUNDUP(H218*'Customer Base'!$J$5,2),0)</f>
        <v>32624.6</v>
      </c>
      <c r="J218" s="103" t="str">
        <f t="shared" si="40"/>
        <v/>
      </c>
      <c r="L218" s="103" t="str">
        <f t="shared" si="41"/>
        <v/>
      </c>
      <c r="N218" s="103">
        <v>217</v>
      </c>
      <c r="O218" s="103" t="str">
        <f>IF('Customer Base'!$I$15="MANUAL",IF(B218&lt;&gt;"",C218,""),IF('Customer Base'!$I$15="AUTOMATE",IF(A218&lt;&gt;"",C218,""),""))</f>
        <v/>
      </c>
      <c r="AO218" s="103">
        <f>IF('Customer Base'!$I$15="MANUAL",IFERROR(AM218*B218,""),IF('Customer Base'!$I$15="AUTOMATE",IFERROR(AM218*A218,""),""))</f>
        <v>0</v>
      </c>
      <c r="AT218" s="103" t="str">
        <f t="shared" si="39"/>
        <v/>
      </c>
      <c r="AV218" s="103" t="str">
        <f t="shared" si="36"/>
        <v/>
      </c>
    </row>
    <row r="219" spans="1:48">
      <c r="C219" s="253" t="s">
        <v>1926</v>
      </c>
      <c r="D219" s="325">
        <v>41.54</v>
      </c>
      <c r="E219" s="325">
        <v>39.122999999999998</v>
      </c>
      <c r="F219" s="254">
        <f t="shared" si="37"/>
        <v>34.077112387202625</v>
      </c>
      <c r="G219" s="255">
        <f>IFERROR(ROUNDUP(F219*'Customer Base'!$J$5,2),0)</f>
        <v>569.09</v>
      </c>
      <c r="H219" s="254">
        <f t="shared" si="38"/>
        <v>32.094339622641506</v>
      </c>
      <c r="I219" s="255">
        <f>IFERROR(ROUNDUP(H219*'Customer Base'!$J$5,2),0)</f>
        <v>535.98</v>
      </c>
      <c r="J219" s="103" t="str">
        <f t="shared" si="40"/>
        <v/>
      </c>
      <c r="L219" s="103" t="str">
        <f t="shared" si="41"/>
        <v/>
      </c>
      <c r="N219" s="103">
        <v>218</v>
      </c>
      <c r="O219" s="103" t="str">
        <f>IF('Customer Base'!$I$15="MANUAL",IF(B219&lt;&gt;"",C219,""),IF('Customer Base'!$I$15="AUTOMATE",IF(A219&lt;&gt;"",C219,""),""))</f>
        <v/>
      </c>
      <c r="AO219" s="103">
        <f>IF('Customer Base'!$I$15="MANUAL",IFERROR(AM219*B219,""),IF('Customer Base'!$I$15="AUTOMATE",IFERROR(AM219*A219,""),""))</f>
        <v>0</v>
      </c>
      <c r="AT219" s="103" t="str">
        <f t="shared" si="39"/>
        <v/>
      </c>
      <c r="AV219" s="103" t="str">
        <f t="shared" si="36"/>
        <v/>
      </c>
    </row>
    <row r="220" spans="1:48">
      <c r="C220" s="226"/>
      <c r="D220" s="324"/>
      <c r="E220" s="324"/>
      <c r="F220" s="256"/>
      <c r="H220" s="256"/>
      <c r="I220" s="224"/>
      <c r="J220" s="103" t="str">
        <f t="shared" si="40"/>
        <v/>
      </c>
      <c r="L220" s="103" t="str">
        <f t="shared" si="41"/>
        <v/>
      </c>
      <c r="N220" s="103">
        <v>219</v>
      </c>
      <c r="O220" s="103" t="str">
        <f>IF('Customer Base'!$I$15="MANUAL",IF(B220&lt;&gt;"",C220,""),IF('Customer Base'!$I$15="AUTOMATE",IF(A220&lt;&gt;"",C220,""),""))</f>
        <v/>
      </c>
      <c r="AO220" s="103">
        <f>IF('Customer Base'!$I$15="MANUAL",IFERROR(AM220*B220,""),IF('Customer Base'!$I$15="AUTOMATE",IFERROR(AM220*A220,""),""))</f>
        <v>0</v>
      </c>
      <c r="AT220" s="103" t="str">
        <f t="shared" si="39"/>
        <v/>
      </c>
      <c r="AV220" s="103" t="str">
        <f t="shared" si="36"/>
        <v/>
      </c>
    </row>
    <row r="221" spans="1:48">
      <c r="A221" s="103" t="str">
        <f>IFERROR(IF(AND('Customer Base'!D$7&lt;&gt;"Grid-Tied",'Customer Base'!D$20="Victron",'Customer Base'!E$20=8),MROUND('Customer Base'!D$21,'Customer Base'!D$8/12),""),"")</f>
        <v/>
      </c>
      <c r="B221" s="270" t="s">
        <v>1</v>
      </c>
      <c r="C221" s="257" t="s">
        <v>879</v>
      </c>
      <c r="D221" s="323">
        <v>22.57</v>
      </c>
      <c r="E221" s="323">
        <v>21.254000000000001</v>
      </c>
      <c r="F221" s="254">
        <f t="shared" si="37"/>
        <v>18.515176374077111</v>
      </c>
      <c r="G221" s="255">
        <f>IFERROR(ROUNDUP(F221*'Customer Base'!$J$5,2),0)</f>
        <v>309.20999999999998</v>
      </c>
      <c r="H221" s="254">
        <f t="shared" si="38"/>
        <v>17.435602953240362</v>
      </c>
      <c r="I221" s="255">
        <f>IFERROR(ROUNDUP(H221*'Customer Base'!$J$5,2),0)</f>
        <v>291.18</v>
      </c>
      <c r="J221" s="103" t="str">
        <f t="shared" si="40"/>
        <v/>
      </c>
      <c r="L221" s="103" t="str">
        <f t="shared" si="41"/>
        <v/>
      </c>
      <c r="N221" s="103">
        <v>220</v>
      </c>
      <c r="O221" s="103" t="str">
        <f>IF('Customer Base'!$I$15="MANUAL",IF(B221&lt;&gt;"",C221,""),IF('Customer Base'!$I$15="AUTOMATE",IF(A221&lt;&gt;"",C221,""),""))</f>
        <v/>
      </c>
      <c r="AM221" s="103">
        <v>9.6000000000000002E-2</v>
      </c>
      <c r="AN221" s="103" t="s">
        <v>2240</v>
      </c>
      <c r="AO221" s="103" t="str">
        <f>IF('Customer Base'!$I$15="MANUAL",IFERROR(AM221*B221,""),IF('Customer Base'!$I$15="AUTOMATE",IFERROR(AM221*A221,""),""))</f>
        <v/>
      </c>
      <c r="AR221" s="103" t="s">
        <v>2217</v>
      </c>
      <c r="AT221" s="103" t="str">
        <f t="shared" si="39"/>
        <v/>
      </c>
      <c r="AV221" s="103" t="str">
        <f t="shared" si="36"/>
        <v/>
      </c>
    </row>
    <row r="222" spans="1:48">
      <c r="A222" s="103" t="str">
        <f>IFERROR(IF(AND('Customer Base'!D$7&lt;&gt;"Grid-Tied",'Customer Base'!D$20="Victron",'Customer Base'!E$20=14),MROUND('Customer Base'!D$21,'Customer Base'!D$8/12),""),"")</f>
        <v/>
      </c>
      <c r="B222" s="270" t="s">
        <v>1</v>
      </c>
      <c r="C222" s="257" t="s">
        <v>880</v>
      </c>
      <c r="D222" s="323">
        <v>40.630000000000003</v>
      </c>
      <c r="E222" s="323">
        <v>38.264000000000003</v>
      </c>
      <c r="F222" s="254">
        <f t="shared" si="37"/>
        <v>33.330598851517635</v>
      </c>
      <c r="G222" s="255">
        <f>IFERROR(ROUNDUP(F222*'Customer Base'!$J$5,2),0)</f>
        <v>556.63</v>
      </c>
      <c r="H222" s="254">
        <f t="shared" si="38"/>
        <v>31.389663658736669</v>
      </c>
      <c r="I222" s="255">
        <f>IFERROR(ROUNDUP(H222*'Customer Base'!$J$5,2),0)</f>
        <v>524.21</v>
      </c>
      <c r="J222" s="103" t="str">
        <f t="shared" si="40"/>
        <v/>
      </c>
      <c r="L222" s="103" t="str">
        <f t="shared" si="41"/>
        <v/>
      </c>
      <c r="N222" s="103">
        <v>221</v>
      </c>
      <c r="O222" s="103" t="str">
        <f>IF('Customer Base'!$I$15="MANUAL",IF(B222&lt;&gt;"",C222,""),IF('Customer Base'!$I$15="AUTOMATE",IF(A222&lt;&gt;"",C222,""),""))</f>
        <v/>
      </c>
      <c r="AL222" s="103">
        <v>0.16800000000000001</v>
      </c>
      <c r="AM222" s="103">
        <v>0.16800000000000001</v>
      </c>
      <c r="AN222" s="103" t="s">
        <v>2241</v>
      </c>
      <c r="AO222" s="103" t="str">
        <f>IF('Customer Base'!$I$15="MANUAL",IFERROR(AM222*B222,""),IF('Customer Base'!$I$15="AUTOMATE",IFERROR(AM222*A222,""),""))</f>
        <v/>
      </c>
      <c r="AR222" s="103" t="s">
        <v>2217</v>
      </c>
      <c r="AT222" s="103" t="str">
        <f t="shared" si="39"/>
        <v/>
      </c>
      <c r="AV222" s="103" t="str">
        <f t="shared" si="36"/>
        <v/>
      </c>
    </row>
    <row r="223" spans="1:48">
      <c r="A223" s="103" t="str">
        <f>IFERROR(IF(AND('Customer Base'!D$7&lt;&gt;"Grid-Tied",'Customer Base'!D$20="Victron",'Customer Base'!E$20=22),MROUND('Customer Base'!D$21,'Customer Base'!D$8/12),""),"")</f>
        <v/>
      </c>
      <c r="B223" s="270" t="s">
        <v>1</v>
      </c>
      <c r="C223" s="257" t="s">
        <v>881</v>
      </c>
      <c r="D223" s="323">
        <v>56.9</v>
      </c>
      <c r="E223" s="323">
        <v>53.59</v>
      </c>
      <c r="F223" s="254">
        <f t="shared" si="37"/>
        <v>46.677604593929445</v>
      </c>
      <c r="G223" s="255">
        <f>IFERROR(ROUNDUP(F223*'Customer Base'!$J$5,2),0)</f>
        <v>779.52</v>
      </c>
      <c r="H223" s="254">
        <f t="shared" si="38"/>
        <v>43.962264150943398</v>
      </c>
      <c r="I223" s="255">
        <f>IFERROR(ROUNDUP(H223*'Customer Base'!$J$5,2),0)</f>
        <v>734.17</v>
      </c>
      <c r="J223" s="103" t="str">
        <f t="shared" si="40"/>
        <v/>
      </c>
      <c r="L223" s="103" t="str">
        <f t="shared" si="41"/>
        <v/>
      </c>
      <c r="N223" s="103">
        <v>222</v>
      </c>
      <c r="O223" s="103" t="str">
        <f>IF('Customer Base'!$I$15="MANUAL",IF(B223&lt;&gt;"",C223,""),IF('Customer Base'!$I$15="AUTOMATE",IF(A223&lt;&gt;"",C223,""),""))</f>
        <v/>
      </c>
      <c r="AL223" s="103">
        <v>0.26400000000000001</v>
      </c>
      <c r="AM223" s="103">
        <v>0.26400000000000001</v>
      </c>
      <c r="AN223" s="103" t="s">
        <v>2242</v>
      </c>
      <c r="AO223" s="103" t="str">
        <f>IF('Customer Base'!$I$15="MANUAL",IFERROR(AM223*B223,""),IF('Customer Base'!$I$15="AUTOMATE",IFERROR(AM223*A223,""),""))</f>
        <v/>
      </c>
      <c r="AR223" s="103" t="s">
        <v>2217</v>
      </c>
      <c r="AT223" s="103" t="str">
        <f t="shared" si="39"/>
        <v/>
      </c>
      <c r="AV223" s="103" t="str">
        <f t="shared" si="36"/>
        <v/>
      </c>
    </row>
    <row r="224" spans="1:48">
      <c r="A224" s="103" t="str">
        <f>IFERROR(IF(AND('Customer Base'!D$7&lt;&gt;"Grid-Tied",'Customer Base'!D$20="Victron",'Customer Base'!E$20=38),MROUND('Customer Base'!D$21,'Customer Base'!D$8/12),""),"")</f>
        <v/>
      </c>
      <c r="B224" s="270" t="s">
        <v>1</v>
      </c>
      <c r="C224" s="257" t="s">
        <v>882</v>
      </c>
      <c r="D224" s="323">
        <v>133.63999999999999</v>
      </c>
      <c r="E224" s="323">
        <v>125.874</v>
      </c>
      <c r="F224" s="254">
        <f t="shared" si="37"/>
        <v>109.63084495488103</v>
      </c>
      <c r="G224" s="255">
        <f>IFERROR(ROUNDUP(F224*'Customer Base'!$J$5,2),0)</f>
        <v>1830.84</v>
      </c>
      <c r="H224" s="254">
        <f t="shared" si="38"/>
        <v>103.26004922067267</v>
      </c>
      <c r="I224" s="255">
        <f>IFERROR(ROUNDUP(H224*'Customer Base'!$J$5,2),0)</f>
        <v>1724.45</v>
      </c>
      <c r="J224" s="103" t="str">
        <f t="shared" si="40"/>
        <v/>
      </c>
      <c r="L224" s="103" t="str">
        <f t="shared" si="41"/>
        <v/>
      </c>
      <c r="N224" s="103">
        <v>223</v>
      </c>
      <c r="O224" s="103" t="str">
        <f>IF('Customer Base'!$I$15="MANUAL",IF(B224&lt;&gt;"",C224,""),IF('Customer Base'!$I$15="AUTOMATE",IF(A224&lt;&gt;"",C224,""),""))</f>
        <v/>
      </c>
      <c r="AL224" s="103">
        <v>0.45600000000000002</v>
      </c>
      <c r="AM224" s="103">
        <v>0.45600000000000002</v>
      </c>
      <c r="AN224" s="103" t="s">
        <v>2243</v>
      </c>
      <c r="AO224" s="103" t="str">
        <f>IF('Customer Base'!$I$15="MANUAL",IFERROR(AM224*B224,""),IF('Customer Base'!$I$15="AUTOMATE",IFERROR(AM224*A224,""),""))</f>
        <v/>
      </c>
      <c r="AR224" s="103" t="s">
        <v>2217</v>
      </c>
      <c r="AT224" s="103" t="str">
        <f t="shared" si="39"/>
        <v/>
      </c>
      <c r="AV224" s="103" t="str">
        <f t="shared" si="36"/>
        <v/>
      </c>
    </row>
    <row r="225" spans="1:48">
      <c r="A225" s="103" t="str">
        <f>IFERROR(IF(AND('Customer Base'!D$7&lt;&gt;"Grid-Tied",'Customer Base'!D$20="Victron",'Customer Base'!E$20=60),MROUND('Customer Base'!D$21,'Customer Base'!D$8/12),""),"")</f>
        <v/>
      </c>
      <c r="B225" s="270" t="s">
        <v>1</v>
      </c>
      <c r="C225" s="257" t="s">
        <v>883</v>
      </c>
      <c r="D225" s="323">
        <v>154.41999999999999</v>
      </c>
      <c r="E225" s="323">
        <v>145.44399999999999</v>
      </c>
      <c r="F225" s="254">
        <f t="shared" si="37"/>
        <v>126.67760459392943</v>
      </c>
      <c r="G225" s="255">
        <f>IFERROR(ROUNDUP(F225*'Customer Base'!$J$5,2),0)</f>
        <v>2115.5200000000004</v>
      </c>
      <c r="H225" s="254">
        <f t="shared" si="38"/>
        <v>119.31419196062345</v>
      </c>
      <c r="I225" s="255">
        <f>IFERROR(ROUNDUP(H225*'Customer Base'!$J$5,2),0)</f>
        <v>1992.55</v>
      </c>
      <c r="J225" s="103" t="str">
        <f t="shared" si="40"/>
        <v/>
      </c>
      <c r="L225" s="103" t="str">
        <f t="shared" si="41"/>
        <v/>
      </c>
      <c r="N225" s="103">
        <v>224</v>
      </c>
      <c r="O225" s="103" t="str">
        <f>IF('Customer Base'!$I$15="MANUAL",IF(B225&lt;&gt;"",C225,""),IF('Customer Base'!$I$15="AUTOMATE",IF(A225&lt;&gt;"",C225,""),""))</f>
        <v/>
      </c>
      <c r="AL225" s="103">
        <v>0.72</v>
      </c>
      <c r="AM225" s="103">
        <v>0.72</v>
      </c>
      <c r="AN225" s="103" t="s">
        <v>2244</v>
      </c>
      <c r="AO225" s="103" t="str">
        <f>IF('Customer Base'!$I$15="MANUAL",IFERROR(AM225*B225,""),IF('Customer Base'!$I$15="AUTOMATE",IFERROR(AM225*A225,""),""))</f>
        <v/>
      </c>
      <c r="AR225" s="103" t="s">
        <v>2217</v>
      </c>
      <c r="AT225" s="103" t="str">
        <f t="shared" si="39"/>
        <v/>
      </c>
      <c r="AV225" s="103" t="str">
        <f t="shared" si="36"/>
        <v/>
      </c>
    </row>
    <row r="226" spans="1:48">
      <c r="A226" s="103" t="str">
        <f>IFERROR(IF(AND('Customer Base'!D$7&lt;&gt;"Grid-Tied",'Customer Base'!D$20="Victron",'Customer Base'!E$20=90),MROUND('Customer Base'!D$21,'Customer Base'!D$8/12),""),"")</f>
        <v/>
      </c>
      <c r="B226" s="270" t="s">
        <v>1</v>
      </c>
      <c r="C226" s="257" t="s">
        <v>884</v>
      </c>
      <c r="D226" s="323">
        <v>226.66</v>
      </c>
      <c r="E226" s="323">
        <v>213.48400000000001</v>
      </c>
      <c r="F226" s="254">
        <f t="shared" si="37"/>
        <v>185.93929450369154</v>
      </c>
      <c r="G226" s="255">
        <f>IFERROR(ROUNDUP(F226*'Customer Base'!$J$5,2),0)</f>
        <v>3105.19</v>
      </c>
      <c r="H226" s="254">
        <f t="shared" si="38"/>
        <v>175.13043478260869</v>
      </c>
      <c r="I226" s="255">
        <f>IFERROR(ROUNDUP(H226*'Customer Base'!$J$5,2),0)</f>
        <v>2924.6800000000003</v>
      </c>
      <c r="J226" s="103" t="str">
        <f t="shared" si="40"/>
        <v/>
      </c>
      <c r="L226" s="103" t="str">
        <f t="shared" si="41"/>
        <v/>
      </c>
      <c r="N226" s="103">
        <v>225</v>
      </c>
      <c r="O226" s="103" t="str">
        <f>IF('Customer Base'!$I$15="MANUAL",IF(B226&lt;&gt;"",C226,""),IF('Customer Base'!$I$15="AUTOMATE",IF(A226&lt;&gt;"",C226,""),""))</f>
        <v/>
      </c>
      <c r="AL226" s="103">
        <v>1.08</v>
      </c>
      <c r="AM226" s="103">
        <v>1.08</v>
      </c>
      <c r="AN226" s="103" t="s">
        <v>2245</v>
      </c>
      <c r="AO226" s="103" t="str">
        <f>IF('Customer Base'!$I$15="MANUAL",IFERROR(AM226*B226,""),IF('Customer Base'!$I$15="AUTOMATE",IFERROR(AM226*A226,""),""))</f>
        <v/>
      </c>
      <c r="AR226" s="103" t="s">
        <v>2217</v>
      </c>
      <c r="AT226" s="103" t="str">
        <f t="shared" si="39"/>
        <v/>
      </c>
      <c r="AV226" s="103" t="str">
        <f t="shared" si="36"/>
        <v/>
      </c>
    </row>
    <row r="227" spans="1:48">
      <c r="A227" s="103" t="str">
        <f>IFERROR(IF(AND('Customer Base'!D$7&lt;&gt;"Grid-Tied",'Customer Base'!D$20="Victron",'Customer Base'!E$20=110),MROUND('Customer Base'!D$21,'Customer Base'!D$8/12),""),"")</f>
        <v/>
      </c>
      <c r="B227" s="270" t="s">
        <v>1</v>
      </c>
      <c r="C227" s="257" t="s">
        <v>885</v>
      </c>
      <c r="D227" s="323">
        <v>284.45</v>
      </c>
      <c r="E227" s="323">
        <v>267.916</v>
      </c>
      <c r="F227" s="254">
        <f t="shared" si="37"/>
        <v>233.3470057424118</v>
      </c>
      <c r="G227" s="255">
        <f>IFERROR(ROUNDUP(F227*'Customer Base'!$J$5,2),0)</f>
        <v>3896.9</v>
      </c>
      <c r="H227" s="254">
        <f t="shared" si="38"/>
        <v>219.78342904019686</v>
      </c>
      <c r="I227" s="255">
        <f>IFERROR(ROUNDUP(H227*'Customer Base'!$J$5,2),0)</f>
        <v>3670.3900000000003</v>
      </c>
      <c r="J227" s="103" t="str">
        <f t="shared" si="40"/>
        <v/>
      </c>
      <c r="L227" s="103" t="str">
        <f t="shared" si="41"/>
        <v/>
      </c>
      <c r="N227" s="103">
        <v>226</v>
      </c>
      <c r="O227" s="103" t="str">
        <f>IF('Customer Base'!$I$15="MANUAL",IF(B227&lt;&gt;"",C227,""),IF('Customer Base'!$I$15="AUTOMATE",IF(A227&lt;&gt;"",C227,""),""))</f>
        <v/>
      </c>
      <c r="AL227" s="103">
        <v>1.32</v>
      </c>
      <c r="AM227" s="103">
        <v>1.32</v>
      </c>
      <c r="AN227" s="103" t="s">
        <v>2246</v>
      </c>
      <c r="AO227" s="103" t="str">
        <f>IF('Customer Base'!$I$15="MANUAL",IFERROR(AM227*B227,""),IF('Customer Base'!$I$15="AUTOMATE",IFERROR(AM227*A227,""),""))</f>
        <v/>
      </c>
      <c r="AR227" s="103" t="s">
        <v>2217</v>
      </c>
      <c r="AT227" s="103" t="str">
        <f t="shared" si="39"/>
        <v/>
      </c>
      <c r="AV227" s="103" t="str">
        <f t="shared" si="36"/>
        <v/>
      </c>
    </row>
    <row r="228" spans="1:48">
      <c r="C228" s="257" t="s">
        <v>1026</v>
      </c>
      <c r="D228" s="323">
        <v>226.66</v>
      </c>
      <c r="E228" s="323">
        <v>213.48400000000001</v>
      </c>
      <c r="F228" s="254">
        <f t="shared" si="37"/>
        <v>185.93929450369154</v>
      </c>
      <c r="G228" s="255">
        <f>IFERROR(ROUNDUP(F228*'Customer Base'!$J$5,2),0)</f>
        <v>3105.19</v>
      </c>
      <c r="H228" s="254">
        <f t="shared" si="38"/>
        <v>175.13043478260869</v>
      </c>
      <c r="I228" s="255">
        <f>IFERROR(ROUNDUP(H228*'Customer Base'!$J$5,2),0)</f>
        <v>2924.6800000000003</v>
      </c>
      <c r="J228" s="103" t="str">
        <f t="shared" si="40"/>
        <v/>
      </c>
      <c r="L228" s="103" t="str">
        <f t="shared" si="41"/>
        <v/>
      </c>
      <c r="N228" s="103">
        <v>227</v>
      </c>
      <c r="O228" s="103" t="str">
        <f>IF('Customer Base'!$I$15="MANUAL",IF(B228&lt;&gt;"",C228,""),IF('Customer Base'!$I$15="AUTOMATE",IF(A228&lt;&gt;"",C228,""),""))</f>
        <v/>
      </c>
      <c r="AM228" s="103">
        <v>1.08</v>
      </c>
      <c r="AN228" s="103" t="s">
        <v>2245</v>
      </c>
      <c r="AO228" s="103">
        <f>IF('Customer Base'!$I$15="MANUAL",IFERROR(AM228*B228,""),IF('Customer Base'!$I$15="AUTOMATE",IFERROR(AM228*A228,""),""))</f>
        <v>0</v>
      </c>
      <c r="AR228" s="103" t="s">
        <v>2217</v>
      </c>
      <c r="AT228" s="103" t="str">
        <f t="shared" si="39"/>
        <v/>
      </c>
      <c r="AV228" s="103" t="str">
        <f t="shared" si="36"/>
        <v/>
      </c>
    </row>
    <row r="229" spans="1:48">
      <c r="C229" s="257" t="s">
        <v>1027</v>
      </c>
      <c r="D229" s="323">
        <v>270</v>
      </c>
      <c r="E229" s="323">
        <v>254.30799999999999</v>
      </c>
      <c r="F229" s="254">
        <f t="shared" si="37"/>
        <v>221.49302707136997</v>
      </c>
      <c r="G229" s="255">
        <f>IFERROR(ROUNDUP(F229*'Customer Base'!$J$5,2),0)</f>
        <v>3698.94</v>
      </c>
      <c r="H229" s="254">
        <f t="shared" si="38"/>
        <v>208.62018047579983</v>
      </c>
      <c r="I229" s="255">
        <f>IFERROR(ROUNDUP(H229*'Customer Base'!$J$5,2),0)</f>
        <v>3483.96</v>
      </c>
      <c r="J229" s="103" t="str">
        <f t="shared" si="40"/>
        <v/>
      </c>
      <c r="L229" s="103" t="str">
        <f t="shared" si="41"/>
        <v/>
      </c>
      <c r="N229" s="103">
        <v>228</v>
      </c>
      <c r="O229" s="103" t="str">
        <f>IF('Customer Base'!$I$15="MANUAL",IF(B229&lt;&gt;"",C229,""),IF('Customer Base'!$I$15="AUTOMATE",IF(A229&lt;&gt;"",C229,""),""))</f>
        <v/>
      </c>
      <c r="AM229" s="103">
        <v>1.32</v>
      </c>
      <c r="AN229" s="103" t="s">
        <v>2246</v>
      </c>
      <c r="AO229" s="103">
        <f>IF('Customer Base'!$I$15="MANUAL",IFERROR(AM229*B229,""),IF('Customer Base'!$I$15="AUTOMATE",IFERROR(AM229*A229,""),""))</f>
        <v>0</v>
      </c>
      <c r="AR229" s="103" t="s">
        <v>2217</v>
      </c>
      <c r="AT229" s="103" t="str">
        <f t="shared" si="39"/>
        <v/>
      </c>
      <c r="AV229" s="103" t="str">
        <f t="shared" si="36"/>
        <v/>
      </c>
    </row>
    <row r="230" spans="1:48">
      <c r="C230" s="257" t="s">
        <v>1028</v>
      </c>
      <c r="D230" s="323">
        <v>519.23</v>
      </c>
      <c r="E230" s="323">
        <v>489.04599999999999</v>
      </c>
      <c r="F230" s="254">
        <f t="shared" si="37"/>
        <v>425.94749794913861</v>
      </c>
      <c r="G230" s="255">
        <f>IFERROR(ROUNDUP(F230*'Customer Base'!$J$5,2),0)</f>
        <v>7113.33</v>
      </c>
      <c r="H230" s="254">
        <f t="shared" si="38"/>
        <v>401.18621821164885</v>
      </c>
      <c r="I230" s="255">
        <f>IFERROR(ROUNDUP(H230*'Customer Base'!$J$5,2),0)</f>
        <v>6699.81</v>
      </c>
      <c r="J230" s="103" t="str">
        <f t="shared" si="40"/>
        <v/>
      </c>
      <c r="L230" s="103" t="str">
        <f t="shared" si="41"/>
        <v/>
      </c>
      <c r="N230" s="103">
        <v>229</v>
      </c>
      <c r="O230" s="103" t="str">
        <f>IF('Customer Base'!$I$15="MANUAL",IF(B230&lt;&gt;"",C230,""),IF('Customer Base'!$I$15="AUTOMATE",IF(A230&lt;&gt;"",C230,""),""))</f>
        <v/>
      </c>
      <c r="AM230" s="103">
        <v>2.64</v>
      </c>
      <c r="AN230" s="103" t="s">
        <v>2247</v>
      </c>
      <c r="AO230" s="103">
        <f>IF('Customer Base'!$I$15="MANUAL",IFERROR(AM230*B230,""),IF('Customer Base'!$I$15="AUTOMATE",IFERROR(AM230*A230,""),""))</f>
        <v>0</v>
      </c>
      <c r="AR230" s="103" t="s">
        <v>2217</v>
      </c>
      <c r="AT230" s="103" t="str">
        <f t="shared" si="39"/>
        <v/>
      </c>
      <c r="AV230" s="103" t="str">
        <f t="shared" si="36"/>
        <v/>
      </c>
    </row>
    <row r="231" spans="1:48">
      <c r="A231" s="103" t="str">
        <f>IFERROR(IF(AND('Customer Base'!D$7&lt;&gt;"Grid-Tied",'Customer Base'!D$20="Victron",'Customer Base'!E$20=200),MROUND('Customer Base'!D$21,'Customer Base'!D$8/12),""),"")</f>
        <v/>
      </c>
      <c r="B231" s="270" t="s">
        <v>1</v>
      </c>
      <c r="C231" s="257" t="s">
        <v>886</v>
      </c>
      <c r="D231" s="323">
        <v>499.35</v>
      </c>
      <c r="E231" s="323">
        <v>470.31799999999998</v>
      </c>
      <c r="F231" s="254">
        <f t="shared" ref="F231:F239" si="42">$D231/1.219</f>
        <v>409.63904840032814</v>
      </c>
      <c r="G231" s="255">
        <f>IFERROR(ROUNDUP(F231*'Customer Base'!$J$5,2),0)</f>
        <v>6840.9800000000005</v>
      </c>
      <c r="H231" s="254">
        <f t="shared" ref="H231:H239" si="43">$E231/1.219</f>
        <v>385.82280557834287</v>
      </c>
      <c r="I231" s="255">
        <f>IFERROR(ROUNDUP(H231*'Customer Base'!$J$5,2),0)</f>
        <v>6443.25</v>
      </c>
      <c r="J231" s="103" t="str">
        <f t="shared" si="40"/>
        <v/>
      </c>
      <c r="L231" s="103" t="str">
        <f t="shared" si="41"/>
        <v/>
      </c>
      <c r="N231" s="103">
        <v>230</v>
      </c>
      <c r="O231" s="103" t="str">
        <f>IF('Customer Base'!$I$15="MANUAL",IF(B231&lt;&gt;"",C231,""),IF('Customer Base'!$I$15="AUTOMATE",IF(A231&lt;&gt;"",C231,""),""))</f>
        <v/>
      </c>
      <c r="AL231" s="103">
        <v>2.4</v>
      </c>
      <c r="AM231" s="103">
        <v>2.4</v>
      </c>
      <c r="AN231" s="103" t="s">
        <v>2249</v>
      </c>
      <c r="AO231" s="103" t="str">
        <f>IF('Customer Base'!$I$15="MANUAL",IFERROR(AM231*B231,""),IF('Customer Base'!$I$15="AUTOMATE",IFERROR(AM231*A231,""),""))</f>
        <v/>
      </c>
      <c r="AR231" s="103" t="s">
        <v>2217</v>
      </c>
      <c r="AT231" s="103" t="str">
        <f t="shared" si="39"/>
        <v/>
      </c>
      <c r="AV231" s="103" t="str">
        <f t="shared" si="36"/>
        <v/>
      </c>
    </row>
    <row r="232" spans="1:48">
      <c r="C232" s="257" t="s">
        <v>887</v>
      </c>
      <c r="D232" s="323">
        <v>534.58000000000004</v>
      </c>
      <c r="E232" s="323">
        <v>503.49599999999998</v>
      </c>
      <c r="F232" s="254">
        <f t="shared" si="42"/>
        <v>438.53978671041835</v>
      </c>
      <c r="G232" s="255">
        <f>IFERROR(ROUNDUP(F232*'Customer Base'!$J$5,2),0)</f>
        <v>7323.62</v>
      </c>
      <c r="H232" s="254">
        <f t="shared" si="43"/>
        <v>413.04019688269068</v>
      </c>
      <c r="I232" s="255">
        <f>IFERROR(ROUNDUP(H232*'Customer Base'!$J$5,2),0)</f>
        <v>6897.7800000000007</v>
      </c>
      <c r="J232" s="103" t="str">
        <f t="shared" si="40"/>
        <v/>
      </c>
      <c r="L232" s="103" t="str">
        <f t="shared" si="41"/>
        <v/>
      </c>
      <c r="N232" s="103">
        <v>231</v>
      </c>
      <c r="O232" s="103" t="str">
        <f>IF('Customer Base'!$I$15="MANUAL",IF(B232&lt;&gt;"",C232,""),IF('Customer Base'!$I$15="AUTOMATE",IF(A232&lt;&gt;"",C232,""),""))</f>
        <v/>
      </c>
      <c r="AM232" s="103">
        <v>2.64</v>
      </c>
      <c r="AN232" s="103" t="s">
        <v>2247</v>
      </c>
      <c r="AO232" s="103">
        <f>IF('Customer Base'!$I$15="MANUAL",IFERROR(AM232*B232,""),IF('Customer Base'!$I$15="AUTOMATE",IFERROR(AM232*A232,""),""))</f>
        <v>0</v>
      </c>
      <c r="AR232" s="103" t="s">
        <v>2218</v>
      </c>
      <c r="AT232" s="103" t="str">
        <f t="shared" si="39"/>
        <v/>
      </c>
      <c r="AV232" s="103" t="str">
        <f t="shared" si="36"/>
        <v/>
      </c>
    </row>
    <row r="233" spans="1:48">
      <c r="A233" s="103" t="str">
        <f>IFERROR(IF(AND('Customer Base'!D$7&lt;&gt;"Grid-Tied",'Customer Base'!D$20="Hoppecke",'Customer Base'!D$19="2V OPzV",'Customer Base'!E$20=620),MROUND('Customer Base'!D$21,'Customer Base'!D$8/2)/24,""),"")</f>
        <v/>
      </c>
      <c r="B233" s="270" t="s">
        <v>1</v>
      </c>
      <c r="C233" s="253" t="s">
        <v>2250</v>
      </c>
      <c r="D233" s="323">
        <v>13910.998</v>
      </c>
      <c r="E233" s="323">
        <v>13102.22</v>
      </c>
      <c r="F233" s="254">
        <f t="shared" si="42"/>
        <v>11411.811320754716</v>
      </c>
      <c r="G233" s="255">
        <f>IFERROR(ROUNDUP(F233*'Customer Base'!$J$5,2),0)</f>
        <v>190577.25</v>
      </c>
      <c r="H233" s="254">
        <f t="shared" si="43"/>
        <v>10748.33470057424</v>
      </c>
      <c r="I233" s="255">
        <f>IFERROR(ROUNDUP(H233*'Customer Base'!$J$5,2),0)</f>
        <v>179497.19</v>
      </c>
      <c r="J233" s="103" t="str">
        <f t="shared" si="40"/>
        <v/>
      </c>
      <c r="L233" s="103" t="str">
        <f t="shared" si="41"/>
        <v/>
      </c>
      <c r="N233" s="103">
        <v>232</v>
      </c>
      <c r="O233" s="103" t="str">
        <f>IF('Customer Base'!$I$15="MANUAL",IF(B233&lt;&gt;"",C233,""),IF('Customer Base'!$I$15="AUTOMATE",IF(A233&lt;&gt;"",C233,""),""))</f>
        <v/>
      </c>
      <c r="AM233" s="103">
        <v>26.3</v>
      </c>
      <c r="AN233" s="103" t="s">
        <v>2251</v>
      </c>
      <c r="AO233" s="103" t="str">
        <f>IF('Customer Base'!$I$15="MANUAL",IFERROR(AM233*B233,""),IF('Customer Base'!$I$15="AUTOMATE",IFERROR(AM233*A233,""),""))</f>
        <v/>
      </c>
      <c r="AR233" s="103" t="s">
        <v>2219</v>
      </c>
      <c r="AT233" s="103" t="str">
        <f t="shared" ref="AT233:AT240" si="44">IF(AND(AR233=$AY$3,$AZ$3=AN233),BA$3,"")</f>
        <v/>
      </c>
      <c r="AV233" s="103" t="str">
        <f t="shared" ref="AV233:AV251" si="45">IF(AU233&lt;&gt;"",AU233,AT233)</f>
        <v/>
      </c>
    </row>
    <row r="234" spans="1:48">
      <c r="A234" s="103" t="str">
        <f>IFERROR(IF(AND('Customer Base'!D$7&lt;&gt;"Grid-Tied",'Customer Base'!D$20="Hoppecke",'Customer Base'!D$19="12V Lead-Acid",'Customer Base'!E$20=100),MROUND('Customer Base'!D$21,'Customer Base'!D$8/12),""),"")</f>
        <v/>
      </c>
      <c r="B234" s="270" t="s">
        <v>1</v>
      </c>
      <c r="C234" s="253" t="s">
        <v>1525</v>
      </c>
      <c r="D234" s="325">
        <v>310.01</v>
      </c>
      <c r="E234" s="325">
        <v>291.98899999999998</v>
      </c>
      <c r="F234" s="255">
        <f t="shared" si="42"/>
        <v>254.31501230516815</v>
      </c>
      <c r="G234" s="255">
        <f>IFERROR(ROUNDUP(F234*'Customer Base'!$J$5,2),0)</f>
        <v>4247.0700000000006</v>
      </c>
      <c r="H234" s="255">
        <f t="shared" si="43"/>
        <v>239.53158326497126</v>
      </c>
      <c r="I234" s="255">
        <f>IFERROR(ROUNDUP(H234*'Customer Base'!$J$5,2),0)</f>
        <v>4000.1800000000003</v>
      </c>
      <c r="J234" s="103" t="str">
        <f t="shared" si="40"/>
        <v/>
      </c>
      <c r="L234" s="103" t="str">
        <f t="shared" si="41"/>
        <v/>
      </c>
      <c r="N234" s="103">
        <v>233</v>
      </c>
      <c r="O234" s="103" t="str">
        <f>IF('Customer Base'!$I$15="MANUAL",IF(B234&lt;&gt;"",C234,""),IF('Customer Base'!$I$15="AUTOMATE",IF(A234&lt;&gt;"",C234,""),""))</f>
        <v/>
      </c>
      <c r="AM234" s="103">
        <v>1.2</v>
      </c>
      <c r="AN234" s="103" t="s">
        <v>2248</v>
      </c>
      <c r="AO234" s="103" t="str">
        <f>IF('Customer Base'!$I$15="MANUAL",IFERROR(AM234*B234,""),IF('Customer Base'!$I$15="AUTOMATE",IFERROR(AM234*A234,""),""))</f>
        <v/>
      </c>
      <c r="AR234" s="103" t="s">
        <v>2220</v>
      </c>
      <c r="AT234" s="103" t="str">
        <f t="shared" si="44"/>
        <v/>
      </c>
      <c r="AV234" s="103" t="str">
        <f t="shared" si="45"/>
        <v/>
      </c>
    </row>
    <row r="235" spans="1:48" ht="17">
      <c r="A235" s="103" t="str">
        <f>IFERROR(IF(AND('Customer Base'!D$7&lt;&gt;"Grid-Tied",'Customer Base'!D$20="Hoppecke",'Customer Base'!D$19="12V Lead-Acid",'Customer Base'!E$20=150),MROUND('Customer Base'!D$21,'Customer Base'!D$8/12),""),"")</f>
        <v/>
      </c>
      <c r="B235" s="270" t="s">
        <v>1</v>
      </c>
      <c r="C235" s="253" t="s">
        <v>1526</v>
      </c>
      <c r="D235" s="325">
        <v>405.85</v>
      </c>
      <c r="E235" s="325">
        <v>382.255</v>
      </c>
      <c r="F235" s="255">
        <f t="shared" si="42"/>
        <v>332.93683347005742</v>
      </c>
      <c r="G235" s="255">
        <f>IFERROR(ROUNDUP(F235*'Customer Base'!$J$5,2),0)</f>
        <v>5560.05</v>
      </c>
      <c r="H235" s="255">
        <f t="shared" si="43"/>
        <v>313.5808039376538</v>
      </c>
      <c r="I235" s="255">
        <f>IFERROR(ROUNDUP(H235*'Customer Base'!$J$5,2),0)</f>
        <v>5236.8</v>
      </c>
      <c r="J235" s="103" t="str">
        <f t="shared" si="40"/>
        <v/>
      </c>
      <c r="L235" s="103" t="str">
        <f t="shared" si="41"/>
        <v/>
      </c>
      <c r="N235" s="103">
        <v>234</v>
      </c>
      <c r="O235" s="103" t="str">
        <f>IF('Customer Base'!$I$15="MANUAL",IF(B235&lt;&gt;"",C235,""),IF('Customer Base'!$I$15="AUTOMATE",IF(A235&lt;&gt;"",C235,""),""))</f>
        <v/>
      </c>
      <c r="AM235" s="103">
        <v>1.8</v>
      </c>
      <c r="AN235" s="247" t="s">
        <v>2252</v>
      </c>
      <c r="AO235" s="103" t="str">
        <f>IF('Customer Base'!$I$15="MANUAL",IFERROR(AM235*B235,""),IF('Customer Base'!$I$15="AUTOMATE",IFERROR(AM235*A235,""),""))</f>
        <v/>
      </c>
      <c r="AR235" s="103" t="s">
        <v>2220</v>
      </c>
      <c r="AT235" s="103" t="str">
        <f t="shared" si="44"/>
        <v/>
      </c>
      <c r="AV235" s="103" t="str">
        <f t="shared" si="45"/>
        <v/>
      </c>
    </row>
    <row r="236" spans="1:48">
      <c r="A236" s="103" t="str">
        <f>IFERROR(IF(AND('Customer Base'!D$7&lt;&gt;"Grid-Tied",'Customer Base'!D$20="Hoppecke",'Customer Base'!D$19="12V Lead-Acid",'Customer Base'!E$20=250),MROUND('Customer Base'!D$21,'Customer Base'!D$8/6),""),"")</f>
        <v/>
      </c>
      <c r="B236" s="270" t="s">
        <v>1</v>
      </c>
      <c r="C236" s="253" t="s">
        <v>1527</v>
      </c>
      <c r="D236" s="325">
        <v>313.95</v>
      </c>
      <c r="E236" s="325">
        <v>295.69900000000001</v>
      </c>
      <c r="F236" s="255">
        <f t="shared" si="42"/>
        <v>257.54716981132071</v>
      </c>
      <c r="G236" s="255">
        <f>IFERROR(ROUNDUP(F236*'Customer Base'!$J$5,2),0)</f>
        <v>4301.04</v>
      </c>
      <c r="H236" s="255">
        <f t="shared" si="43"/>
        <v>242.57506152584085</v>
      </c>
      <c r="I236" s="255">
        <f>IFERROR(ROUNDUP(H236*'Customer Base'!$J$5,2),0)</f>
        <v>4051.01</v>
      </c>
      <c r="J236" s="103" t="str">
        <f t="shared" si="40"/>
        <v/>
      </c>
      <c r="L236" s="103" t="str">
        <f t="shared" si="41"/>
        <v/>
      </c>
      <c r="N236" s="103">
        <v>235</v>
      </c>
      <c r="O236" s="103" t="str">
        <f>IF('Customer Base'!$I$15="MANUAL",IF(B236&lt;&gt;"",C236,""),IF('Customer Base'!$I$15="AUTOMATE",IF(A236&lt;&gt;"",C236,""),""))</f>
        <v/>
      </c>
      <c r="AM236" s="103">
        <v>3</v>
      </c>
      <c r="AN236" s="103" t="s">
        <v>2253</v>
      </c>
      <c r="AO236" s="103" t="str">
        <f>IF('Customer Base'!$I$15="MANUAL",IFERROR(AM236*B236,""),IF('Customer Base'!$I$15="AUTOMATE",IFERROR(AM236*A236,""),""))</f>
        <v/>
      </c>
      <c r="AR236" s="103" t="s">
        <v>2220</v>
      </c>
      <c r="AT236" s="103" t="str">
        <f t="shared" si="44"/>
        <v/>
      </c>
      <c r="AV236" s="103" t="str">
        <f t="shared" si="45"/>
        <v/>
      </c>
    </row>
    <row r="237" spans="1:48">
      <c r="D237" s="319"/>
      <c r="E237" s="319"/>
      <c r="F237" s="224">
        <f t="shared" si="42"/>
        <v>0</v>
      </c>
      <c r="H237" s="224">
        <f t="shared" si="43"/>
        <v>0</v>
      </c>
      <c r="I237" s="224"/>
      <c r="J237" s="103" t="str">
        <f t="shared" si="40"/>
        <v/>
      </c>
      <c r="L237" s="103" t="str">
        <f t="shared" si="41"/>
        <v/>
      </c>
      <c r="N237" s="103">
        <v>236</v>
      </c>
      <c r="O237" s="103" t="str">
        <f>IF('Customer Base'!$I$15="MANUAL",IF(B237&lt;&gt;"",C237,""),IF('Customer Base'!$I$15="AUTOMATE",IF(A237&lt;&gt;"",C237,""),""))</f>
        <v/>
      </c>
      <c r="AO237" s="103">
        <f>IF('Customer Base'!$I$15="MANUAL",IFERROR(AM237*B237,""),IF('Customer Base'!$I$15="AUTOMATE",IFERROR(AM237*A237,""),""))</f>
        <v>0</v>
      </c>
      <c r="AT237" s="103" t="str">
        <f t="shared" si="44"/>
        <v/>
      </c>
      <c r="AV237" s="103" t="str">
        <f t="shared" si="45"/>
        <v/>
      </c>
    </row>
    <row r="238" spans="1:48">
      <c r="C238" s="244" t="s">
        <v>894</v>
      </c>
      <c r="D238" s="326">
        <v>114.69</v>
      </c>
      <c r="E238" s="326">
        <v>108.02160000000001</v>
      </c>
      <c r="F238" s="258">
        <f t="shared" si="42"/>
        <v>94.085315832649698</v>
      </c>
      <c r="G238" s="245">
        <f>IFERROR(ROUNDUP(F238*'Customer Base'!$J$5,2),0)</f>
        <v>1571.23</v>
      </c>
      <c r="H238" s="258">
        <f t="shared" si="43"/>
        <v>88.6149302707137</v>
      </c>
      <c r="I238" s="245">
        <f>IFERROR(ROUNDUP(H238*'Customer Base'!$J$5,2),0)</f>
        <v>1479.87</v>
      </c>
      <c r="J238" s="103" t="str">
        <f t="shared" si="40"/>
        <v/>
      </c>
      <c r="L238" s="103" t="str">
        <f t="shared" si="41"/>
        <v/>
      </c>
      <c r="N238" s="103">
        <v>237</v>
      </c>
      <c r="O238" s="103" t="str">
        <f>IF('Customer Base'!$I$15="MANUAL",IF(B238&lt;&gt;"",C238,""),IF('Customer Base'!$I$15="AUTOMATE",IF(A238&lt;&gt;"",C238,""),""))</f>
        <v/>
      </c>
      <c r="AO238" s="103">
        <f>IF('Customer Base'!$I$15="MANUAL",IFERROR(AM238*B238,""),IF('Customer Base'!$I$15="AUTOMATE",IFERROR(AM238*A238,""),""))</f>
        <v>0</v>
      </c>
      <c r="AT238" s="103" t="str">
        <f t="shared" si="44"/>
        <v/>
      </c>
      <c r="AV238" s="103" t="str">
        <f t="shared" si="45"/>
        <v/>
      </c>
    </row>
    <row r="239" spans="1:48">
      <c r="C239" s="244" t="s">
        <v>895</v>
      </c>
      <c r="D239" s="326">
        <v>99.33</v>
      </c>
      <c r="E239" s="326">
        <v>93.555000000000007</v>
      </c>
      <c r="F239" s="258">
        <f t="shared" si="42"/>
        <v>81.484823625922886</v>
      </c>
      <c r="G239" s="245">
        <f>IFERROR(ROUNDUP(F239*'Customer Base'!$J$5,2),0)</f>
        <v>1360.8</v>
      </c>
      <c r="H239" s="258">
        <f t="shared" si="43"/>
        <v>76.747333880229704</v>
      </c>
      <c r="I239" s="245">
        <f>IFERROR(ROUNDUP(H239*'Customer Base'!$J$5,2),0)</f>
        <v>1281.69</v>
      </c>
      <c r="J239" s="103" t="str">
        <f t="shared" si="40"/>
        <v/>
      </c>
      <c r="L239" s="103" t="str">
        <f t="shared" si="41"/>
        <v/>
      </c>
      <c r="N239" s="103">
        <v>238</v>
      </c>
      <c r="O239" s="103" t="str">
        <f>IF('Customer Base'!$I$15="MANUAL",IF(B239&lt;&gt;"",C239,""),IF('Customer Base'!$I$15="AUTOMATE",IF(A239&lt;&gt;"",C239,""),""))</f>
        <v/>
      </c>
      <c r="AO239" s="103">
        <f>IF('Customer Base'!$I$15="MANUAL",IFERROR(AM239*B239,""),IF('Customer Base'!$I$15="AUTOMATE",IFERROR(AM239*A239,""),""))</f>
        <v>0</v>
      </c>
      <c r="AT239" s="103" t="str">
        <f t="shared" si="44"/>
        <v/>
      </c>
      <c r="AV239" s="103" t="str">
        <f t="shared" si="45"/>
        <v/>
      </c>
    </row>
    <row r="240" spans="1:48">
      <c r="C240" s="226"/>
      <c r="D240" s="324"/>
      <c r="E240" s="324"/>
      <c r="F240" s="256">
        <f t="shared" ref="F240:F251" si="46">$D240/1.219</f>
        <v>0</v>
      </c>
      <c r="G240" s="224">
        <f>IFERROR(ROUNDUP(F240*'Customer Base'!$J$5,2),0)</f>
        <v>0</v>
      </c>
      <c r="H240" s="256">
        <f t="shared" ref="H240:H251" si="47">$E240/1.219</f>
        <v>0</v>
      </c>
      <c r="I240" s="224">
        <f>IFERROR(ROUNDUP(H240*'Customer Base'!$J$5,2),0)</f>
        <v>0</v>
      </c>
      <c r="J240" s="103" t="str">
        <f t="shared" si="40"/>
        <v/>
      </c>
      <c r="L240" s="103" t="str">
        <f t="shared" si="41"/>
        <v/>
      </c>
      <c r="N240" s="103">
        <v>239</v>
      </c>
      <c r="O240" s="103" t="str">
        <f>IF('Customer Base'!$I$15="MANUAL",IF(B240&lt;&gt;"",C240,""),IF('Customer Base'!$I$15="AUTOMATE",IF(A240&lt;&gt;"",C240,""),""))</f>
        <v/>
      </c>
      <c r="AO240" s="103">
        <f>IF('Customer Base'!$I$15="MANUAL",IFERROR(AM240*B240,""),IF('Customer Base'!$I$15="AUTOMATE",IFERROR(AM240*A240,""),""))</f>
        <v>0</v>
      </c>
      <c r="AT240" s="103" t="str">
        <f t="shared" si="44"/>
        <v/>
      </c>
      <c r="AV240" s="103" t="str">
        <f t="shared" si="45"/>
        <v/>
      </c>
    </row>
    <row r="241" spans="1:48">
      <c r="C241" s="232" t="s">
        <v>1888</v>
      </c>
      <c r="D241" s="322"/>
      <c r="E241" s="322"/>
      <c r="F241" s="252">
        <f t="shared" si="46"/>
        <v>0</v>
      </c>
      <c r="G241" s="234">
        <f>IFERROR(ROUNDUP(F241*'Customer Base'!$J$5,2),0)</f>
        <v>0</v>
      </c>
      <c r="H241" s="252">
        <f t="shared" si="47"/>
        <v>0</v>
      </c>
      <c r="I241" s="234">
        <f>IFERROR(ROUNDUP(H241*'Customer Base'!$J$5,2),0)</f>
        <v>0</v>
      </c>
      <c r="J241" s="103" t="str">
        <f t="shared" si="40"/>
        <v/>
      </c>
      <c r="L241" s="103" t="str">
        <f t="shared" si="41"/>
        <v/>
      </c>
      <c r="N241" s="103">
        <v>240</v>
      </c>
      <c r="O241" s="103" t="str">
        <f>IF('Customer Base'!$I$15="MANUAL",IF(B241&lt;&gt;"",C241,""),IF('Customer Base'!$I$15="AUTOMATE",IF(A241&lt;&gt;"",C241,""),""))</f>
        <v/>
      </c>
      <c r="AO241" s="103">
        <f>IF('Customer Base'!$I$15="MANUAL",IFERROR(AM241*B241,""),IF('Customer Base'!$I$15="AUTOMATE",IFERROR(AM241*A241,""),""))</f>
        <v>0</v>
      </c>
      <c r="AV241" s="103">
        <f t="shared" si="45"/>
        <v>0</v>
      </c>
    </row>
    <row r="242" spans="1:48">
      <c r="A242" s="103" t="str">
        <f>IFERROR(IF(AND('Customer Base'!D$7&lt;&gt;"Backup",'Customer Base'!D$26=530,'Customer Base'!D$25="BYD"),ROUNDUP('Customer Base'!D$27/AM242,0),""),"")</f>
        <v/>
      </c>
      <c r="B242" s="270" t="s">
        <v>1</v>
      </c>
      <c r="C242" s="259" t="s">
        <v>1129</v>
      </c>
      <c r="D242" s="327">
        <v>148.5</v>
      </c>
      <c r="E242" s="327">
        <v>121.5</v>
      </c>
      <c r="F242" s="260">
        <f t="shared" si="46"/>
        <v>121.82116488925348</v>
      </c>
      <c r="G242" s="260">
        <f>IFERROR(ROUNDUP(F242*'Customer Base'!$J$5,2),0)</f>
        <v>2034.42</v>
      </c>
      <c r="H242" s="260">
        <f t="shared" si="47"/>
        <v>99.671862182116485</v>
      </c>
      <c r="I242" s="260">
        <f>IFERROR(ROUNDUP(H242*'Customer Base'!$J$5,2),0)</f>
        <v>1664.53</v>
      </c>
      <c r="J242" s="103" t="str">
        <f t="shared" si="40"/>
        <v/>
      </c>
      <c r="L242" s="103" t="str">
        <f t="shared" si="41"/>
        <v/>
      </c>
      <c r="N242" s="103">
        <v>241</v>
      </c>
      <c r="O242" s="103" t="str">
        <f>IF('Customer Base'!$I$15="MANUAL",IF(B242&lt;&gt;"",C242,""),IF('Customer Base'!$I$15="AUTOMATE",IF(A242&lt;&gt;"",C242,""),""))</f>
        <v/>
      </c>
      <c r="AM242" s="103">
        <v>0.53</v>
      </c>
      <c r="AN242" s="103" t="s">
        <v>2304</v>
      </c>
      <c r="AO242" s="103" t="str">
        <f>IF('Customer Base'!$I$15="MANUAL",IFERROR(AM242*B242,""),IF('Customer Base'!$I$15="AUTOMATE",IFERROR(AM242*A242,""),""))</f>
        <v/>
      </c>
      <c r="AP242" s="103">
        <v>14</v>
      </c>
      <c r="AQ242" s="103">
        <v>49.12</v>
      </c>
      <c r="AR242" s="103" t="s">
        <v>2311</v>
      </c>
      <c r="AS242" s="103" t="str">
        <f t="shared" ref="AS242:AS250" si="48">IF(AT242&lt;&gt;"",AQ242,"")</f>
        <v/>
      </c>
      <c r="AT242" s="103" t="str">
        <f>IF(AND(AR242=$AY$4,$AZ$4=AN242),BA$4,"")</f>
        <v/>
      </c>
      <c r="AV242" s="103" t="str">
        <f t="shared" si="45"/>
        <v/>
      </c>
    </row>
    <row r="243" spans="1:48">
      <c r="A243" s="103" t="str">
        <f>IFERROR(IF(AND('Customer Base'!D$7&lt;&gt;"Backup",'Customer Base'!D$26=545,'Customer Base'!D$25="BYD"),ROUNDUP('Customer Base'!D$27/AM243,0),""),"")</f>
        <v/>
      </c>
      <c r="B243" s="270" t="s">
        <v>1</v>
      </c>
      <c r="C243" s="259" t="s">
        <v>1882</v>
      </c>
      <c r="D243" s="327">
        <v>148.5</v>
      </c>
      <c r="E243" s="327">
        <v>121.5</v>
      </c>
      <c r="F243" s="260">
        <f t="shared" si="46"/>
        <v>121.82116488925348</v>
      </c>
      <c r="G243" s="260">
        <f>IFERROR(ROUNDUP(F243*'Customer Base'!$J$5,2),0)</f>
        <v>2034.42</v>
      </c>
      <c r="H243" s="260">
        <f t="shared" si="47"/>
        <v>99.671862182116485</v>
      </c>
      <c r="I243" s="260">
        <f>IFERROR(ROUNDUP(H243*'Customer Base'!$J$5,2),0)</f>
        <v>1664.53</v>
      </c>
      <c r="J243" s="103" t="str">
        <f t="shared" si="40"/>
        <v/>
      </c>
      <c r="L243" s="103" t="str">
        <f t="shared" si="41"/>
        <v/>
      </c>
      <c r="N243" s="103">
        <v>242</v>
      </c>
      <c r="O243" s="103" t="str">
        <f>IF('Customer Base'!$I$15="MANUAL",IF(B243&lt;&gt;"",C243,""),IF('Customer Base'!$I$15="AUTOMATE",IF(A243&lt;&gt;"",C243,""),""))</f>
        <v/>
      </c>
      <c r="AM243" s="103">
        <v>0.54500000000000004</v>
      </c>
      <c r="AN243" s="103" t="s">
        <v>2305</v>
      </c>
      <c r="AO243" s="103" t="str">
        <f>IF('Customer Base'!$I$15="MANUAL",IFERROR(AM243*B243,""),IF('Customer Base'!$I$15="AUTOMATE",IFERROR(AM243*A243,""),""))</f>
        <v/>
      </c>
      <c r="AP243" s="103">
        <v>13.57</v>
      </c>
      <c r="AQ243" s="103">
        <v>50.02</v>
      </c>
      <c r="AR243" s="103" t="s">
        <v>2311</v>
      </c>
      <c r="AS243" s="103" t="str">
        <f t="shared" si="48"/>
        <v/>
      </c>
      <c r="AT243" s="103" t="str">
        <f t="shared" ref="AT243:AT254" si="49">IF(AND(AR243=$AY$4,$AZ$4=AN243),BA$4,"")</f>
        <v/>
      </c>
      <c r="AV243" s="103" t="str">
        <f t="shared" si="45"/>
        <v/>
      </c>
    </row>
    <row r="244" spans="1:48">
      <c r="D244" s="319"/>
      <c r="E244" s="319"/>
      <c r="I244" s="224"/>
      <c r="J244" s="103" t="str">
        <f t="shared" si="40"/>
        <v/>
      </c>
      <c r="L244" s="103" t="str">
        <f t="shared" si="41"/>
        <v/>
      </c>
      <c r="N244" s="103">
        <v>243</v>
      </c>
      <c r="O244" s="103" t="str">
        <f>IF('Customer Base'!$I$15="MANUAL",IF(B244&lt;&gt;"",C244,""),IF('Customer Base'!$I$15="AUTOMATE",IF(A244&lt;&gt;"",C244,""),""))</f>
        <v/>
      </c>
      <c r="AO244" s="103">
        <f>IF('Customer Base'!$I$15="MANUAL",IFERROR(AM244*B244,""),IF('Customer Base'!$I$15="AUTOMATE",IFERROR(AM244*A244,""),""))</f>
        <v>0</v>
      </c>
      <c r="AS244" s="103" t="str">
        <f t="shared" si="48"/>
        <v/>
      </c>
      <c r="AT244" s="103" t="str">
        <f t="shared" si="49"/>
        <v/>
      </c>
      <c r="AV244" s="103" t="str">
        <f t="shared" si="45"/>
        <v/>
      </c>
    </row>
    <row r="245" spans="1:48">
      <c r="A245" s="103" t="str">
        <f>IFERROR(IF(AND('Customer Base'!D$7&lt;&gt;"Backup",'Customer Base'!D$26=555,'Customer Base'!D$25="Jinko"),ROUNDUP('Customer Base'!D$27/AM245,0),""),"")</f>
        <v/>
      </c>
      <c r="B245" s="270" t="s">
        <v>1</v>
      </c>
      <c r="C245" s="259" t="s">
        <v>2189</v>
      </c>
      <c r="D245" s="327">
        <v>147.91</v>
      </c>
      <c r="E245" s="327">
        <v>130.84700000000001</v>
      </c>
      <c r="F245" s="260">
        <f t="shared" si="46"/>
        <v>121.3371616078753</v>
      </c>
      <c r="G245" s="260">
        <f>IFERROR(ROUNDUP(F245*'Customer Base'!$J$5,2),0)</f>
        <v>2026.34</v>
      </c>
      <c r="H245" s="260">
        <f t="shared" si="47"/>
        <v>107.33962264150944</v>
      </c>
      <c r="I245" s="260">
        <f>IFERROR(ROUNDUP(H245*'Customer Base'!$J$5,2),0)</f>
        <v>1792.58</v>
      </c>
      <c r="J245" s="103" t="str">
        <f t="shared" si="40"/>
        <v/>
      </c>
      <c r="L245" s="103" t="str">
        <f t="shared" si="41"/>
        <v/>
      </c>
      <c r="N245" s="103">
        <v>244</v>
      </c>
      <c r="O245" s="103" t="str">
        <f>IF('Customer Base'!$I$15="MANUAL",IF(B245&lt;&gt;"",C245,""),IF('Customer Base'!$I$15="AUTOMATE",IF(A245&lt;&gt;"",C245,""),""))</f>
        <v/>
      </c>
      <c r="AM245" s="103">
        <v>0.55500000000000005</v>
      </c>
      <c r="AN245" s="103" t="s">
        <v>2306</v>
      </c>
      <c r="AO245" s="103" t="str">
        <f>IF('Customer Base'!$I$15="MANUAL",IFERROR(AM245*B245,""),IF('Customer Base'!$I$15="AUTOMATE",IFERROR(AM245*A245,""),""))</f>
        <v/>
      </c>
      <c r="AP245" s="103">
        <v>14.12</v>
      </c>
      <c r="AQ245" s="103">
        <v>49.72</v>
      </c>
      <c r="AR245" s="103" t="s">
        <v>2302</v>
      </c>
      <c r="AS245" s="103" t="str">
        <f t="shared" si="48"/>
        <v/>
      </c>
      <c r="AT245" s="103" t="str">
        <f t="shared" si="49"/>
        <v/>
      </c>
      <c r="AV245" s="103" t="str">
        <f t="shared" si="45"/>
        <v/>
      </c>
    </row>
    <row r="246" spans="1:48">
      <c r="D246" s="319"/>
      <c r="E246" s="319"/>
      <c r="F246" s="224">
        <f t="shared" si="46"/>
        <v>0</v>
      </c>
      <c r="G246" s="224">
        <f>IFERROR(ROUNDUP(F246*'Customer Base'!$J$5,2),0)</f>
        <v>0</v>
      </c>
      <c r="H246" s="224">
        <f t="shared" si="47"/>
        <v>0</v>
      </c>
      <c r="I246" s="224">
        <f>IFERROR(ROUNDUP(H246*'Customer Base'!$J$5,2),0)</f>
        <v>0</v>
      </c>
      <c r="J246" s="103" t="str">
        <f t="shared" si="40"/>
        <v/>
      </c>
      <c r="L246" s="103" t="str">
        <f t="shared" si="41"/>
        <v/>
      </c>
      <c r="N246" s="103">
        <v>245</v>
      </c>
      <c r="O246" s="103" t="str">
        <f>IF('Customer Base'!$I$15="MANUAL",IF(B246&lt;&gt;"",C246,""),IF('Customer Base'!$I$15="AUTOMATE",IF(A246&lt;&gt;"",C246,""),""))</f>
        <v/>
      </c>
      <c r="AO246" s="103">
        <f>IF('Customer Base'!$I$15="MANUAL",IFERROR(AM246*B246,""),IF('Customer Base'!$I$15="AUTOMATE",IFERROR(AM246*A246,""),""))</f>
        <v>0</v>
      </c>
      <c r="AS246" s="103" t="str">
        <f t="shared" si="48"/>
        <v/>
      </c>
      <c r="AT246" s="103" t="str">
        <f t="shared" si="49"/>
        <v/>
      </c>
      <c r="AV246" s="103" t="str">
        <f t="shared" si="45"/>
        <v/>
      </c>
    </row>
    <row r="247" spans="1:48">
      <c r="A247" s="103">
        <f>IFERROR(IF(AND('Customer Base'!D$7&lt;&gt;"Backup",'Customer Base'!D$26=565,'Customer Base'!D$25="JA Solar"),ROUNDUP('Customer Base'!D$27/AM247,0),""),"")</f>
        <v>9</v>
      </c>
      <c r="B247" s="270">
        <v>9</v>
      </c>
      <c r="C247" s="259" t="s">
        <v>2655</v>
      </c>
      <c r="D247" s="327">
        <v>116.55</v>
      </c>
      <c r="E247" s="327">
        <v>97.125</v>
      </c>
      <c r="F247" s="260">
        <f t="shared" si="46"/>
        <v>95.611156685808027</v>
      </c>
      <c r="G247" s="260">
        <f>IFERROR(ROUNDUP(F247*'Customer Base'!$J$5,2),0)</f>
        <v>1596.71</v>
      </c>
      <c r="H247" s="260">
        <f t="shared" si="47"/>
        <v>79.675963904840032</v>
      </c>
      <c r="I247" s="260">
        <f>IFERROR(ROUNDUP(H247*'Customer Base'!$J$5,2),0)</f>
        <v>1330.59</v>
      </c>
      <c r="J247" s="103" t="str">
        <f t="shared" si="40"/>
        <v/>
      </c>
      <c r="L247" s="103" t="str">
        <f t="shared" si="41"/>
        <v/>
      </c>
      <c r="N247" s="103">
        <v>246</v>
      </c>
      <c r="O247" s="103" t="str">
        <f>IF('Customer Base'!$I$15="MANUAL",IF(B247&lt;&gt;"",C247,""),IF('Customer Base'!$I$15="AUTOMATE",IF(A247&lt;&gt;"",C247,""),""))</f>
        <v>JA Solar JAM72-S30 565 Watts Solar Panel</v>
      </c>
      <c r="AM247" s="103">
        <v>0.56499999999999995</v>
      </c>
      <c r="AN247" s="103" t="s">
        <v>2658</v>
      </c>
      <c r="AO247" s="103">
        <f>IF('Customer Base'!$I$15="MANUAL",IFERROR(AM247*B247,""),IF('Customer Base'!$I$15="AUTOMATE",IFERROR(AM247*A247,""),""))</f>
        <v>5.0849999999999991</v>
      </c>
      <c r="AP247" s="103">
        <v>14.31</v>
      </c>
      <c r="AQ247" s="103">
        <v>50.5</v>
      </c>
      <c r="AR247" s="103" t="s">
        <v>2301</v>
      </c>
      <c r="AS247" s="103" t="str">
        <f t="shared" ref="AS247" si="50">IF(AT247&lt;&gt;"",AQ247,"")</f>
        <v/>
      </c>
      <c r="AT247" s="103" t="str">
        <f t="shared" ref="AT247" si="51">IF(AND(AR247=$AY$4,$AZ$4=AN247),BA$4,"")</f>
        <v/>
      </c>
    </row>
    <row r="248" spans="1:48">
      <c r="D248" s="319"/>
      <c r="E248" s="319"/>
      <c r="F248" s="224">
        <f t="shared" si="46"/>
        <v>0</v>
      </c>
      <c r="G248" s="224">
        <f>IFERROR(ROUNDUP(F248*'Customer Base'!$J$5,2),0)</f>
        <v>0</v>
      </c>
      <c r="H248" s="224">
        <f t="shared" si="47"/>
        <v>0</v>
      </c>
      <c r="I248" s="224">
        <f>IFERROR(ROUNDUP(H248*'Customer Base'!$J$5,2),0)</f>
        <v>0</v>
      </c>
      <c r="J248" s="103" t="str">
        <f t="shared" si="40"/>
        <v/>
      </c>
      <c r="L248" s="103" t="str">
        <f t="shared" si="41"/>
        <v/>
      </c>
      <c r="N248" s="103">
        <v>247</v>
      </c>
      <c r="O248" s="103" t="str">
        <f>IF('Customer Base'!$I$15="MANUAL",IF(B248&lt;&gt;"",C248,""),IF('Customer Base'!$I$15="AUTOMATE",IF(A248&lt;&gt;"",C248,""),""))</f>
        <v/>
      </c>
      <c r="AO248" s="103">
        <f>IF('Customer Base'!$I$15="MANUAL",IFERROR(AM248*B248,""),IF('Customer Base'!$I$15="AUTOMATE",IFERROR(AM248*A248,""),""))</f>
        <v>0</v>
      </c>
      <c r="AS248" s="103" t="str">
        <f t="shared" si="48"/>
        <v/>
      </c>
      <c r="AT248" s="103" t="str">
        <f t="shared" si="49"/>
        <v/>
      </c>
      <c r="AV248" s="103" t="str">
        <f t="shared" si="45"/>
        <v/>
      </c>
    </row>
    <row r="249" spans="1:48">
      <c r="A249" s="103" t="str">
        <f>IFERROR(IF(AND('Customer Base'!D$7&lt;&gt;"Backup",'Customer Base'!D$26=415,'Customer Base'!D$25="Sharp"),ROUNDUP('Customer Base'!D$27/AM249,0),""),"")</f>
        <v/>
      </c>
      <c r="B249" s="270" t="s">
        <v>1</v>
      </c>
      <c r="C249" s="259" t="s">
        <v>2299</v>
      </c>
      <c r="D249" s="327">
        <v>129.79</v>
      </c>
      <c r="E249" s="327">
        <v>105.754</v>
      </c>
      <c r="F249" s="260">
        <f t="shared" si="46"/>
        <v>106.47251845775224</v>
      </c>
      <c r="G249" s="260">
        <f>IFERROR(ROUNDUP(F249*'Customer Base'!$J$5,2),0)</f>
        <v>1778.1</v>
      </c>
      <c r="H249" s="260">
        <f t="shared" si="47"/>
        <v>86.754716981132077</v>
      </c>
      <c r="I249" s="260">
        <f>IFERROR(ROUNDUP(H249*'Customer Base'!$J$5,2),0)</f>
        <v>1448.81</v>
      </c>
      <c r="J249" s="103" t="str">
        <f t="shared" si="40"/>
        <v/>
      </c>
      <c r="L249" s="103" t="str">
        <f t="shared" si="41"/>
        <v/>
      </c>
      <c r="N249" s="103">
        <v>248</v>
      </c>
      <c r="O249" s="103" t="str">
        <f>IF('Customer Base'!$I$15="MANUAL",IF(B249&lt;&gt;"",C249,""),IF('Customer Base'!$I$15="AUTOMATE",IF(A249&lt;&gt;"",C249,""),""))</f>
        <v/>
      </c>
      <c r="AM249" s="103">
        <v>0.41499999999999998</v>
      </c>
      <c r="AN249" s="103" t="s">
        <v>2307</v>
      </c>
      <c r="AO249" s="103" t="str">
        <f>IF('Customer Base'!$I$15="MANUAL",IFERROR(AM249*B249,""),IF('Customer Base'!$I$15="AUTOMATE",IFERROR(AM249*A249,""),""))</f>
        <v/>
      </c>
      <c r="AP249" s="103">
        <v>13.87</v>
      </c>
      <c r="AQ249" s="103">
        <v>38.08</v>
      </c>
      <c r="AR249" s="103" t="s">
        <v>2300</v>
      </c>
      <c r="AS249" s="103" t="str">
        <f t="shared" si="48"/>
        <v/>
      </c>
      <c r="AT249" s="103" t="str">
        <f t="shared" si="49"/>
        <v/>
      </c>
      <c r="AV249" s="103" t="str">
        <f t="shared" si="45"/>
        <v/>
      </c>
    </row>
    <row r="250" spans="1:48">
      <c r="D250" s="319"/>
      <c r="E250" s="319"/>
      <c r="F250" s="224">
        <f t="shared" si="46"/>
        <v>0</v>
      </c>
      <c r="G250" s="224">
        <f>IFERROR(ROUNDUP(F250*'Customer Base'!$J$5,2),0)</f>
        <v>0</v>
      </c>
      <c r="H250" s="224">
        <f t="shared" si="47"/>
        <v>0</v>
      </c>
      <c r="I250" s="224">
        <f>IFERROR(ROUNDUP(H250*'Customer Base'!$J$5,2),0)</f>
        <v>0</v>
      </c>
      <c r="J250" s="103" t="str">
        <f t="shared" si="40"/>
        <v/>
      </c>
      <c r="L250" s="103" t="str">
        <f t="shared" si="41"/>
        <v/>
      </c>
      <c r="N250" s="103">
        <v>249</v>
      </c>
      <c r="O250" s="103" t="str">
        <f>IF('Customer Base'!$I$15="MANUAL",IF(B250&lt;&gt;"",C250,""),IF('Customer Base'!$I$15="AUTOMATE",IF(A250&lt;&gt;"",C250,""),""))</f>
        <v/>
      </c>
      <c r="AO250" s="103">
        <f>IF('Customer Base'!$I$15="MANUAL",IFERROR(AM250*B250,""),IF('Customer Base'!$I$15="AUTOMATE",IFERROR(AM250*A250,""),""))</f>
        <v>0</v>
      </c>
      <c r="AS250" s="103" t="str">
        <f t="shared" si="48"/>
        <v/>
      </c>
      <c r="AT250" s="103" t="str">
        <f t="shared" si="49"/>
        <v/>
      </c>
      <c r="AV250" s="103" t="str">
        <f t="shared" si="45"/>
        <v/>
      </c>
    </row>
    <row r="251" spans="1:48">
      <c r="A251" s="103" t="str">
        <f>IFERROR(IF(AND('Customer Base'!D$7&lt;&gt;"Backup",'Customer Base'!D$26=115,'Customer Base'!D$25="Victron"),ROUNDUP('Customer Base'!D$27/AM251,0),""),"")</f>
        <v/>
      </c>
      <c r="B251" s="270" t="s">
        <v>1</v>
      </c>
      <c r="C251" s="259" t="s">
        <v>2747</v>
      </c>
      <c r="D251" s="327">
        <v>64.900000000000006</v>
      </c>
      <c r="E251" s="327">
        <v>62.192</v>
      </c>
      <c r="F251" s="260">
        <f t="shared" si="46"/>
        <v>53.240360951599676</v>
      </c>
      <c r="G251" s="260">
        <f>IFERROR(ROUNDUP(F251*'Customer Base'!$J$5,2),0)</f>
        <v>889.12</v>
      </c>
      <c r="H251" s="260">
        <f t="shared" si="47"/>
        <v>51.018867924528301</v>
      </c>
      <c r="I251" s="260">
        <f>IFERROR(ROUNDUP(H251*'Customer Base'!$J$5,2),0)</f>
        <v>852.02</v>
      </c>
      <c r="J251" s="103" t="str">
        <f t="shared" si="40"/>
        <v/>
      </c>
      <c r="L251" s="103" t="str">
        <f t="shared" si="41"/>
        <v/>
      </c>
      <c r="N251" s="103">
        <v>250</v>
      </c>
      <c r="O251" s="103" t="str">
        <f>IF('Customer Base'!$I$15="MANUAL",IF(B251&lt;&gt;"",C251,""),IF('Customer Base'!$I$15="AUTOMATE",IF(A251&lt;&gt;"",C251,""),""))</f>
        <v/>
      </c>
      <c r="AM251" s="103">
        <v>0.115</v>
      </c>
      <c r="AN251" s="103" t="s">
        <v>2308</v>
      </c>
      <c r="AO251" s="103" t="str">
        <f>IF('Customer Base'!$I$15="MANUAL",IFERROR(AM251*B251,""),IF('Customer Base'!$I$15="AUTOMATE",IFERROR(AM251*A251,""),""))</f>
        <v/>
      </c>
      <c r="AP251" s="103">
        <v>6.61</v>
      </c>
      <c r="AQ251" s="103">
        <v>23.32</v>
      </c>
      <c r="AR251" s="103" t="s">
        <v>2303</v>
      </c>
      <c r="AS251" s="103" t="str">
        <f>IF(AT251&lt;&gt;"",AQ251,"")</f>
        <v/>
      </c>
      <c r="AT251" s="103" t="str">
        <f t="shared" si="49"/>
        <v/>
      </c>
      <c r="AV251" s="103" t="str">
        <f t="shared" si="45"/>
        <v/>
      </c>
    </row>
    <row r="252" spans="1:48">
      <c r="A252" s="103" t="str">
        <f>IFERROR(IF(AND('Customer Base'!D$7&lt;&gt;"Backup",'Customer Base'!D$26=270,'Customer Base'!D$25="Victron"),ROUNDUP('Customer Base'!D$27/AM252,0),""),"")</f>
        <v/>
      </c>
      <c r="B252" s="270" t="s">
        <v>1</v>
      </c>
      <c r="C252" s="259" t="s">
        <v>1359</v>
      </c>
      <c r="D252" s="327">
        <v>118.44</v>
      </c>
      <c r="E252" s="327">
        <v>113.505</v>
      </c>
      <c r="F252" s="260">
        <f t="shared" ref="F252:F289" si="52">$D252/1.219</f>
        <v>97.161607875307624</v>
      </c>
      <c r="G252" s="260">
        <f>IFERROR(ROUNDUP(F252*'Customer Base'!$J$5,2),0)</f>
        <v>1622.6</v>
      </c>
      <c r="H252" s="260">
        <f t="shared" ref="H252:H289" si="53">$E252/1.219</f>
        <v>93.113207547169807</v>
      </c>
      <c r="I252" s="260">
        <f>IFERROR(ROUNDUP(H252*'Customer Base'!$J$5,2),0)</f>
        <v>1555</v>
      </c>
      <c r="J252" s="103" t="str">
        <f t="shared" si="40"/>
        <v/>
      </c>
      <c r="L252" s="103" t="str">
        <f t="shared" si="41"/>
        <v/>
      </c>
      <c r="N252" s="103">
        <v>251</v>
      </c>
      <c r="O252" s="103" t="str">
        <f>IF('Customer Base'!$I$15="MANUAL",IF(B252&lt;&gt;"",C252,""),IF('Customer Base'!$I$15="AUTOMATE",IF(A252&lt;&gt;"",C252,""),""))</f>
        <v/>
      </c>
      <c r="AM252" s="103">
        <v>0.27</v>
      </c>
      <c r="AN252" s="103" t="s">
        <v>2309</v>
      </c>
      <c r="AO252" s="103" t="str">
        <f>IF('Customer Base'!$I$15="MANUAL",IFERROR(AM252*B252,""),IF('Customer Base'!$I$15="AUTOMATE",IFERROR(AM252*A252,""),""))</f>
        <v/>
      </c>
      <c r="AP252" s="103">
        <v>9.2100000000000009</v>
      </c>
      <c r="AQ252" s="103">
        <v>38.04</v>
      </c>
      <c r="AR252" s="103" t="s">
        <v>2303</v>
      </c>
      <c r="AS252" s="103" t="str">
        <f t="shared" ref="AS252:AS254" si="54">IF(AT252&lt;&gt;"",AQ252,"")</f>
        <v/>
      </c>
      <c r="AT252" s="103" t="str">
        <f t="shared" si="49"/>
        <v/>
      </c>
      <c r="AV252" s="103" t="str">
        <f t="shared" ref="AV252:AV289" si="55">IF(AU252&lt;&gt;"",AU252,AT252)</f>
        <v/>
      </c>
    </row>
    <row r="253" spans="1:48">
      <c r="A253" s="103" t="str">
        <f>IFERROR(IF(AND('Customer Base'!D$7&lt;&gt;"Backup",'Customer Base'!D$26=305,'Customer Base'!D$25="Victron"),ROUNDUP('Customer Base'!D$27/AM254,0),""),"")</f>
        <v/>
      </c>
      <c r="B253" s="270" t="s">
        <v>1</v>
      </c>
      <c r="C253" s="259" t="s">
        <v>2746</v>
      </c>
      <c r="D253" s="327">
        <v>131.54</v>
      </c>
      <c r="E253" s="327">
        <v>126.063</v>
      </c>
      <c r="F253" s="260">
        <f t="shared" si="52"/>
        <v>107.90812141099261</v>
      </c>
      <c r="G253" s="260">
        <f>IFERROR(ROUNDUP(F253*'Customer Base'!$J$5,2),0)</f>
        <v>1802.07</v>
      </c>
      <c r="H253" s="260">
        <f t="shared" si="53"/>
        <v>103.41509433962264</v>
      </c>
      <c r="I253" s="260">
        <f>IFERROR(ROUNDUP(H253*'Customer Base'!$J$5,2),0)</f>
        <v>1727.04</v>
      </c>
      <c r="J253" s="103" t="str">
        <f t="shared" si="40"/>
        <v/>
      </c>
      <c r="L253" s="103" t="str">
        <f t="shared" si="41"/>
        <v/>
      </c>
      <c r="N253" s="103">
        <v>252</v>
      </c>
      <c r="O253" s="103" t="str">
        <f>IF('Customer Base'!$I$15="MANUAL",IF(B253&lt;&gt;"",C253,""),IF('Customer Base'!$I$15="AUTOMATE",IF(A253&lt;&gt;"",C253,""),""))</f>
        <v/>
      </c>
      <c r="AM253" s="103">
        <v>0.30499999999999999</v>
      </c>
      <c r="AN253" s="103" t="s">
        <v>2310</v>
      </c>
      <c r="AO253" s="103" t="str">
        <f>IF('Customer Base'!$I$15="MANUAL",IFERROR(AM253*B253,""),IF('Customer Base'!$I$15="AUTOMATE",IFERROR(AM253*A253,""),""))</f>
        <v/>
      </c>
      <c r="AP253" s="103">
        <v>10.27</v>
      </c>
      <c r="AQ253" s="103">
        <v>39.86</v>
      </c>
      <c r="AR253" s="103" t="s">
        <v>2303</v>
      </c>
    </row>
    <row r="254" spans="1:48">
      <c r="A254" s="103" t="str">
        <f>IFERROR(IF(AND('Customer Base'!D$7&lt;&gt;"Backup",'Customer Base'!D$26=330,'Customer Base'!D$25="Victron"),ROUNDUP('Customer Base'!D$27/AM254,0),""),"")</f>
        <v/>
      </c>
      <c r="B254" s="270" t="s">
        <v>1</v>
      </c>
      <c r="C254" s="259" t="s">
        <v>2745</v>
      </c>
      <c r="D254" s="327">
        <v>129.78</v>
      </c>
      <c r="E254" s="327">
        <v>124.373</v>
      </c>
      <c r="F254" s="260">
        <f t="shared" si="52"/>
        <v>106.46431501230516</v>
      </c>
      <c r="G254" s="260">
        <f>IFERROR(ROUNDUP(F254*'Customer Base'!$J$5,2),0)</f>
        <v>1777.96</v>
      </c>
      <c r="H254" s="260">
        <f t="shared" si="53"/>
        <v>102.0287120590648</v>
      </c>
      <c r="I254" s="260">
        <f>IFERROR(ROUNDUP(H254*'Customer Base'!$J$5,2),0)</f>
        <v>1703.8799999999999</v>
      </c>
      <c r="J254" s="103" t="str">
        <f t="shared" si="40"/>
        <v/>
      </c>
      <c r="L254" s="103" t="str">
        <f t="shared" si="41"/>
        <v/>
      </c>
      <c r="N254" s="103">
        <v>253</v>
      </c>
      <c r="O254" s="103" t="str">
        <f>IF('Customer Base'!$I$15="MANUAL",IF(B254&lt;&gt;"",C254,""),IF('Customer Base'!$I$15="AUTOMATE",IF(A254&lt;&gt;"",C254,""),""))</f>
        <v/>
      </c>
      <c r="AM254" s="103">
        <v>0.33</v>
      </c>
      <c r="AN254" s="103" t="s">
        <v>2748</v>
      </c>
      <c r="AO254" s="103" t="str">
        <f>IF('Customer Base'!$I$15="MANUAL",IFERROR(AM254*B254,""),IF('Customer Base'!$I$15="AUTOMATE",IFERROR(AM254*A254,""),""))</f>
        <v/>
      </c>
      <c r="AP254" s="103">
        <v>9.57</v>
      </c>
      <c r="AQ254" s="103">
        <v>44.72</v>
      </c>
      <c r="AR254" s="103" t="s">
        <v>2303</v>
      </c>
      <c r="AS254" s="103" t="str">
        <f t="shared" si="54"/>
        <v/>
      </c>
      <c r="AT254" s="103" t="str">
        <f t="shared" si="49"/>
        <v/>
      </c>
      <c r="AV254" s="103" t="str">
        <f t="shared" si="55"/>
        <v/>
      </c>
    </row>
    <row r="255" spans="1:48">
      <c r="D255" s="319"/>
      <c r="E255" s="319"/>
      <c r="I255" s="224"/>
      <c r="J255" s="103" t="str">
        <f t="shared" si="40"/>
        <v/>
      </c>
      <c r="L255" s="103" t="str">
        <f t="shared" si="41"/>
        <v/>
      </c>
      <c r="N255" s="103">
        <v>254</v>
      </c>
      <c r="O255" s="103" t="str">
        <f>IF('Customer Base'!$I$15="MANUAL",IF(B255&lt;&gt;"",C255,""),IF('Customer Base'!$I$15="AUTOMATE",IF(A255&lt;&gt;"",C255,""),""))</f>
        <v/>
      </c>
      <c r="AO255" s="103">
        <f>IF('Customer Base'!$I$15="MANUAL",IFERROR(AM255*B255,""),IF('Customer Base'!$I$15="AUTOMATE",IFERROR(AM255*A255,""),""))</f>
        <v>0</v>
      </c>
      <c r="AV255" s="103">
        <f t="shared" si="55"/>
        <v>0</v>
      </c>
    </row>
    <row r="256" spans="1:48">
      <c r="C256" s="232" t="s">
        <v>1889</v>
      </c>
      <c r="D256" s="320"/>
      <c r="E256" s="320"/>
      <c r="F256" s="234">
        <f t="shared" si="52"/>
        <v>0</v>
      </c>
      <c r="G256" s="234">
        <f>IFERROR(ROUNDUP(F256*'Customer Base'!$J$5,2),0)</f>
        <v>0</v>
      </c>
      <c r="H256" s="234">
        <f t="shared" si="53"/>
        <v>0</v>
      </c>
      <c r="I256" s="234">
        <f>IFERROR(ROUNDUP(H256*'Customer Base'!$J$5,2),0)</f>
        <v>0</v>
      </c>
      <c r="J256" s="103" t="str">
        <f t="shared" si="40"/>
        <v/>
      </c>
      <c r="L256" s="103" t="str">
        <f t="shared" si="41"/>
        <v/>
      </c>
      <c r="N256" s="103">
        <v>255</v>
      </c>
      <c r="O256" s="103" t="str">
        <f>IF('Customer Base'!$I$15="MANUAL",IF(B256&lt;&gt;"",C256,""),IF('Customer Base'!$I$15="AUTOMATE",IF(A256&lt;&gt;"",C256,""),""))</f>
        <v/>
      </c>
      <c r="AO256" s="103">
        <f>IF('Customer Base'!$I$15="MANUAL",IFERROR(AM256*B256,""),IF('Customer Base'!$I$15="AUTOMATE",IFERROR(AM256*A256,""),""))</f>
        <v>0</v>
      </c>
      <c r="AV256" s="103">
        <f t="shared" si="55"/>
        <v>0</v>
      </c>
    </row>
    <row r="257" spans="1:49">
      <c r="C257" s="237" t="s">
        <v>860</v>
      </c>
      <c r="D257" s="267">
        <v>63.21</v>
      </c>
      <c r="E257" s="267">
        <v>59.534999999999997</v>
      </c>
      <c r="F257" s="238">
        <f t="shared" si="52"/>
        <v>51.853978671041837</v>
      </c>
      <c r="G257" s="238">
        <f>IFERROR(ROUNDUP(F257*'Customer Base'!$J$5,2),0)</f>
        <v>865.97</v>
      </c>
      <c r="H257" s="238">
        <f t="shared" si="53"/>
        <v>48.839212469237076</v>
      </c>
      <c r="I257" s="238">
        <f>IFERROR(ROUNDUP(H257*'Customer Base'!$J$5,2),0)</f>
        <v>815.62</v>
      </c>
      <c r="J257" s="103" t="str">
        <f t="shared" si="40"/>
        <v/>
      </c>
      <c r="L257" s="103" t="str">
        <f t="shared" si="41"/>
        <v/>
      </c>
      <c r="N257" s="103">
        <v>256</v>
      </c>
      <c r="O257" s="103" t="str">
        <f>IF('Customer Base'!$I$15="MANUAL",IF(B257&lt;&gt;"",C257,""),IF('Customer Base'!$I$15="AUTOMATE",IF(A257&lt;&gt;"",C257,""),""))</f>
        <v/>
      </c>
      <c r="AO257" s="103">
        <f>IF('Customer Base'!$I$15="MANUAL",IFERROR(AM257*B257,""),IF('Customer Base'!$I$15="AUTOMATE",IFERROR(AM257*A257,""),""))</f>
        <v>0</v>
      </c>
      <c r="AP257" s="103">
        <v>75</v>
      </c>
      <c r="AQ257" s="103">
        <v>145</v>
      </c>
      <c r="AR257" s="103">
        <v>290</v>
      </c>
      <c r="AT257" s="103" t="str">
        <f>IF(AND(SUMPRODUCT(AS$242:AS$254,AT$242:AT$254)&gt;0,SUMPRODUCT(AS$242:AS$254,AT$242:AT$254)&lt;=75,OR(AND(BD$1=12,BB$4&gt;0,BB$4&lt;=0.145),AND(BD$1=24,BB$4&gt;0,BB$4&lt;=0.29))),1,"")</f>
        <v/>
      </c>
      <c r="AV257" s="103" t="str">
        <f t="shared" si="55"/>
        <v/>
      </c>
      <c r="AW257" s="103">
        <f>IF('Customer Base'!$D$8=12,AQ257,IF('Customer Base'!$D$8=24,AR257,IF('Customer Base'!$D$8=48,AS257,"")))</f>
        <v>0</v>
      </c>
    </row>
    <row r="258" spans="1:49">
      <c r="C258" s="237" t="s">
        <v>861</v>
      </c>
      <c r="D258" s="267">
        <v>67.73</v>
      </c>
      <c r="E258" s="267">
        <v>63.7956</v>
      </c>
      <c r="F258" s="238">
        <f t="shared" si="52"/>
        <v>55.561936013125511</v>
      </c>
      <c r="G258" s="238">
        <f>IFERROR(ROUNDUP(F258*'Customer Base'!$J$5,2),0)</f>
        <v>927.89</v>
      </c>
      <c r="H258" s="238">
        <f t="shared" si="53"/>
        <v>52.334372436423294</v>
      </c>
      <c r="I258" s="238">
        <f>IFERROR(ROUNDUP(H258*'Customer Base'!$J$5,2),0)</f>
        <v>873.99</v>
      </c>
      <c r="J258" s="103" t="str">
        <f t="shared" si="40"/>
        <v/>
      </c>
      <c r="L258" s="103" t="str">
        <f t="shared" si="41"/>
        <v/>
      </c>
      <c r="N258" s="103">
        <v>257</v>
      </c>
      <c r="O258" s="103" t="str">
        <f>IF('Customer Base'!$I$15="MANUAL",IF(B258&lt;&gt;"",C258,""),IF('Customer Base'!$I$15="AUTOMATE",IF(A258&lt;&gt;"",C258,""),""))</f>
        <v/>
      </c>
      <c r="AO258" s="103">
        <f>IF('Customer Base'!$I$15="MANUAL",IFERROR(AM258*B258,""),IF('Customer Base'!$I$15="AUTOMATE",IFERROR(AM258*A258,""),""))</f>
        <v>0</v>
      </c>
      <c r="AP258" s="103">
        <v>75</v>
      </c>
      <c r="AQ258" s="103">
        <v>220</v>
      </c>
      <c r="AR258" s="103">
        <v>440</v>
      </c>
      <c r="AT258" s="103" t="str">
        <f>IF(AND(SUMPRODUCT(AS$242:AS$254,AT$242:AT$254)&gt;0,SUMPRODUCT(AS$242:AS$254,AT$242:AT$254)&lt;=75,OR(AND(BD$1=12,BB$4&gt;0.145,BB$4&lt;=0.22),AND(BD$1=24,BB$4&gt;0.29,BB$4&lt;=0.44))),1,"")</f>
        <v/>
      </c>
      <c r="AV258" s="103" t="str">
        <f t="shared" si="55"/>
        <v/>
      </c>
      <c r="AW258" s="103">
        <f>IF('Customer Base'!$D$8=12,AQ258,IF('Customer Base'!$D$8=24,AR258,IF('Customer Base'!$D$8=48,AS258,"")))</f>
        <v>0</v>
      </c>
    </row>
    <row r="259" spans="1:49">
      <c r="C259" s="237" t="s">
        <v>862</v>
      </c>
      <c r="D259" s="267">
        <v>79.459999999999994</v>
      </c>
      <c r="E259" s="267">
        <v>74.843999999999994</v>
      </c>
      <c r="F259" s="238">
        <f t="shared" si="52"/>
        <v>65.184577522559465</v>
      </c>
      <c r="G259" s="238">
        <f>IFERROR(ROUNDUP(F259*'Customer Base'!$J$5,2),0)</f>
        <v>1088.5899999999999</v>
      </c>
      <c r="H259" s="238">
        <f t="shared" si="53"/>
        <v>61.397867104183746</v>
      </c>
      <c r="I259" s="238">
        <f>IFERROR(ROUNDUP(H259*'Customer Base'!$J$5,2),0)</f>
        <v>1025.3499999999999</v>
      </c>
      <c r="J259" s="103" t="str">
        <f t="shared" si="40"/>
        <v/>
      </c>
      <c r="L259" s="103" t="str">
        <f t="shared" si="41"/>
        <v/>
      </c>
      <c r="N259" s="103">
        <v>258</v>
      </c>
      <c r="O259" s="103" t="str">
        <f>IF('Customer Base'!$I$15="MANUAL",IF(B259&lt;&gt;"",C259,""),IF('Customer Base'!$I$15="AUTOMATE",IF(A259&lt;&gt;"",C259,""),""))</f>
        <v/>
      </c>
      <c r="AO259" s="103">
        <f>IF('Customer Base'!$I$15="MANUAL",IFERROR(AM259*B259,""),IF('Customer Base'!$I$15="AUTOMATE",IFERROR(AM259*A259,""),""))</f>
        <v>0</v>
      </c>
      <c r="AP259" s="103">
        <v>100</v>
      </c>
      <c r="AQ259" s="103">
        <v>220</v>
      </c>
      <c r="AR259" s="103">
        <v>440</v>
      </c>
      <c r="AT259" s="103" t="str">
        <f>IF(AND(SUMPRODUCT(AS$242:AS$254,AT$242:AT$254)&gt;75,SUMPRODUCT(AS$242:AS$254,AT$242:AT$254)&lt;=100,OR(AND(BD$1=12,BB$4&gt;0.145,BB$4&lt;=0.22),AND(BD$1=24,BB$4&gt;0.29,BB$4&lt;=0.44))),1,"")</f>
        <v/>
      </c>
      <c r="AV259" s="103" t="str">
        <f t="shared" si="55"/>
        <v/>
      </c>
      <c r="AW259" s="103">
        <f>IF('Customer Base'!$D$8=12,AQ259,IF('Customer Base'!$D$8=24,AR259,IF('Customer Base'!$D$8=48,AS259,"")))</f>
        <v>0</v>
      </c>
    </row>
    <row r="260" spans="1:49">
      <c r="A260" s="103">
        <f ca="1">IFERROR(IF(AND('Client List'!IP474=100,'Client List'!ED474&lt;&gt;0,'Customer Base'!D$7&lt;&gt;"Backup",'Customer Base'!D$13="Victron"),1,IF(AND('Customer Base'!D$7&lt;&gt;"Backup",'Customer Base'!D$13="Victron"),IF(AND('Client List'!EH474=100,'Client List'!EF$474&gt;0,'Client List'!EF$474&lt;=AW$260,OR(SUM('Client List'!EE483:EE485)&gt;0,SUM('Client List'!EE477:EE491)=0)),'Client List'!EC$474,IF(AND('Client List'!IP474=100,'Client List'!IN$474&gt;0,'Client List'!IN$474&lt;=AW$260,SUM('Client List'!IM483:IM485)&gt;0),'Client List'!IK$474,"")),"")),"")</f>
        <v>1</v>
      </c>
      <c r="B260" s="270">
        <v>1</v>
      </c>
      <c r="C260" s="237" t="s">
        <v>1678</v>
      </c>
      <c r="D260" s="267">
        <v>90.3</v>
      </c>
      <c r="E260" s="267">
        <v>85.05</v>
      </c>
      <c r="F260" s="238">
        <f t="shared" si="52"/>
        <v>74.077112387202618</v>
      </c>
      <c r="G260" s="238">
        <f>IFERROR(ROUNDUP(F260*'Customer Base'!$J$5,2),0)</f>
        <v>1237.0899999999999</v>
      </c>
      <c r="H260" s="238">
        <f t="shared" si="53"/>
        <v>69.770303527481531</v>
      </c>
      <c r="I260" s="238">
        <f>IFERROR(ROUNDUP(H260*'Customer Base'!$J$5,2),0)</f>
        <v>1165.17</v>
      </c>
      <c r="J260" s="103" t="str">
        <f t="shared" si="40"/>
        <v/>
      </c>
      <c r="L260" s="103" t="str">
        <f t="shared" si="41"/>
        <v/>
      </c>
      <c r="N260" s="103">
        <v>260</v>
      </c>
      <c r="O260" s="103" t="str">
        <f>IF('Customer Base'!$I$15="MANUAL",IF(B260&lt;&gt;"",C260,""),IF('Customer Base'!$I$15="AUTOMATE",IF(A260&lt;&gt;"",C260,""),""))</f>
        <v>Victron SmartSolar MPPT 100/20 up to 48V</v>
      </c>
      <c r="AO260" s="103">
        <f>IF('Customer Base'!$I$15="MANUAL",IFERROR(AM260*B260,""),IF('Customer Base'!$I$15="AUTOMATE",IFERROR(AM260*A260,""),""))</f>
        <v>0</v>
      </c>
      <c r="AP260" s="103">
        <v>100</v>
      </c>
      <c r="AQ260" s="103">
        <v>290</v>
      </c>
      <c r="AR260" s="103">
        <v>580</v>
      </c>
      <c r="AS260" s="103">
        <v>1160</v>
      </c>
      <c r="AT260" s="103" t="str">
        <f>IF(AND(SUMPRODUCT(AS$242:AS$254,AT$242:AT$254)&gt;75,SUMPRODUCT(AS$242:AS$254,AT$242:AT$254)&lt;=100,OR(AND(BD$1=12,BB$4&gt;0.22,BB$4&lt;=0.29),AND(BD$1=24,BB$4&gt;0.44,BB$4&lt;=0.58),AND(BD$1=48,BB$4&gt;0,BB$4&lt;=1.16))),1,"")</f>
        <v/>
      </c>
      <c r="AV260" s="103" t="str">
        <f t="shared" si="55"/>
        <v/>
      </c>
      <c r="AW260" s="103">
        <f>IF('Customer Base'!$D$8=12,AQ260,IF('Customer Base'!$D$8=24,AR260,IF('Customer Base'!$D$8=48,AS260,"")))</f>
        <v>1160</v>
      </c>
    </row>
    <row r="261" spans="1:49">
      <c r="A261" s="103" t="str">
        <f ca="1">IFERROR(IF(AND('Customer Base'!D$7&lt;&gt;"Backup",'Customer Base'!D$13="Victron"),IF(AND('Client List'!EH474=100,'Client List'!EF$474&gt;AW$260,'Client List'!EF$474&lt;=AW$261,OR(SUM('Client List'!EE483:EE485)&gt;0,SUM('Client List'!EE477:EE491)=0)),'Client List'!EC$474,IF(AND('Client List'!IP474=100,'Client List'!IN$474&gt;AW$260,'Client List'!IN$474&lt;=AW$261,SUM('Client List'!IM483:IM485)&gt;0),'Client List'!IK$474,"")),""),"")</f>
        <v/>
      </c>
      <c r="B261" s="270" t="s">
        <v>1</v>
      </c>
      <c r="C261" s="237" t="s">
        <v>863</v>
      </c>
      <c r="D261" s="267">
        <v>130.03</v>
      </c>
      <c r="E261" s="267">
        <v>122.47199999999999</v>
      </c>
      <c r="F261" s="238">
        <f t="shared" si="52"/>
        <v>106.66940114848235</v>
      </c>
      <c r="G261" s="238">
        <f>IFERROR(ROUNDUP(F261*'Customer Base'!$J$5,2),0)</f>
        <v>1781.3799999999999</v>
      </c>
      <c r="H261" s="238">
        <f t="shared" si="53"/>
        <v>100.4692370795734</v>
      </c>
      <c r="I261" s="238">
        <f>IFERROR(ROUNDUP(H261*'Customer Base'!$J$5,2),0)</f>
        <v>1677.84</v>
      </c>
      <c r="J261" s="103" t="str">
        <f t="shared" si="40"/>
        <v/>
      </c>
      <c r="L261" s="103" t="str">
        <f t="shared" si="41"/>
        <v/>
      </c>
      <c r="N261" s="103">
        <v>261</v>
      </c>
      <c r="O261" s="103" t="str">
        <f>IF('Customer Base'!$I$15="MANUAL",IF(B261&lt;&gt;"",C261,""),IF('Customer Base'!$I$15="AUTOMATE",IF(A261&lt;&gt;"",C261,""),""))</f>
        <v/>
      </c>
      <c r="AO261" s="103" t="str">
        <f>IF('Customer Base'!$I$15="MANUAL",IFERROR(AM261*B261,""),IF('Customer Base'!$I$15="AUTOMATE",IFERROR(AM261*A261,""),""))</f>
        <v/>
      </c>
      <c r="AP261" s="103">
        <v>100</v>
      </c>
      <c r="AQ261" s="103">
        <v>440</v>
      </c>
      <c r="AR261" s="103">
        <v>880</v>
      </c>
      <c r="AT261" s="103" t="str">
        <f>IF(AND(SUMPRODUCT(AS$242:AS$254,AT$242:AT$254)&gt;75,SUMPRODUCT(AS$242:AS$254,AT$242:AT$254)&lt;=100,OR(AND(BD$1=12,BB$4&gt;0.29,BB$4&lt;=0.44),AND(BD$1=24,BB$4&gt;0.58,BB$4&lt;=0.88))),1,"")</f>
        <v/>
      </c>
      <c r="AV261" s="103" t="str">
        <f t="shared" si="55"/>
        <v/>
      </c>
      <c r="AW261" s="103">
        <f>IF('Customer Base'!$D$8=12,AQ261,IF('Customer Base'!$D$8=24,AR261,IF('Customer Base'!$D$8=48,AS261,"")))</f>
        <v>0</v>
      </c>
    </row>
    <row r="262" spans="1:49">
      <c r="A262" s="242" t="str">
        <f ca="1">IFERROR(IF(AND('Customer Base'!D$7&lt;&gt;"Backup",'Customer Base'!D$13="Victron"),IF(AND('Client List'!EH474=100,'Client List'!EF$474&gt;AW$261,'Client List'!EF$474&lt;=AW$262,OR(SUM('Client List'!EE483:EE485)&gt;0,SUM('Client List'!EE477:EE491)=0)),'Client List'!EC$474,IF(AND('Client List'!IP474=100,'Client List'!IN$474&gt;AW$261,'Client List'!IN$474&lt;=AW$262,SUM('Client List'!IM483:IM485)&gt;0),'Client List'!IK$474,"")),""),"")</f>
        <v/>
      </c>
      <c r="B262" s="270" t="s">
        <v>1</v>
      </c>
      <c r="C262" s="237" t="s">
        <v>864</v>
      </c>
      <c r="D262" s="267">
        <v>186.93</v>
      </c>
      <c r="E262" s="267">
        <v>176.0616</v>
      </c>
      <c r="F262" s="238">
        <f t="shared" si="52"/>
        <v>153.3470057424118</v>
      </c>
      <c r="G262" s="238">
        <f>IFERROR(ROUNDUP(F262*'Customer Base'!$J$5,2),0)</f>
        <v>2560.9</v>
      </c>
      <c r="H262" s="238">
        <f t="shared" si="53"/>
        <v>144.43117309269891</v>
      </c>
      <c r="I262" s="238">
        <f>IFERROR(ROUNDUP(H262*'Customer Base'!$J$5,2),0)</f>
        <v>2412.0100000000002</v>
      </c>
      <c r="J262" s="103" t="str">
        <f t="shared" si="40"/>
        <v/>
      </c>
      <c r="L262" s="103" t="str">
        <f t="shared" si="41"/>
        <v/>
      </c>
      <c r="N262" s="103">
        <v>262</v>
      </c>
      <c r="O262" s="103" t="str">
        <f>IF('Customer Base'!$I$15="MANUAL",IF(B262&lt;&gt;"",C262,""),IF('Customer Base'!$I$15="AUTOMATE",IF(A262&lt;&gt;"",C262,""),""))</f>
        <v/>
      </c>
      <c r="AO262" s="103" t="str">
        <f>IF('Customer Base'!$I$15="MANUAL",IFERROR(AM262*B262,""),IF('Customer Base'!$I$15="AUTOMATE",IFERROR(AM262*A262,""),""))</f>
        <v/>
      </c>
      <c r="AP262" s="103">
        <v>100</v>
      </c>
      <c r="AQ262" s="103">
        <v>700</v>
      </c>
      <c r="AR262" s="103">
        <v>1400</v>
      </c>
      <c r="AT262" s="103" t="str">
        <f>IF(AND(SUMPRODUCT(AS$242:AS$254,AT$242:AT$254)&gt;75,SUMPRODUCT(AS$242:AS$254,AT$242:AT$254)&lt;=100,OR(AND(BD$1=12,BB$4&gt;0.44,BB$4&lt;=0.7),AND(BD$1=24,BB$4&gt;0.88,BB$4&lt;=1.4))),1,"")</f>
        <v/>
      </c>
      <c r="AV262" s="103" t="str">
        <f t="shared" si="55"/>
        <v/>
      </c>
      <c r="AW262" s="103">
        <f>IF('Customer Base'!$D$8=12,AQ262,IF('Customer Base'!$D$8=24,AR262,IF('Customer Base'!$D$8=48,AS262,"")))</f>
        <v>0</v>
      </c>
    </row>
    <row r="263" spans="1:49">
      <c r="A263" s="103" t="str">
        <f ca="1">IFERROR(IF(AND('Customer Base'!D$7&lt;&gt;"Backup",'Customer Base'!D$13="Victron"),IF(AND(OR(AND('Client List'!EH474=100,'Client List'!EF474&gt;1160,'Client List'!EF474&lt;2000,'Client List'!EF$474&gt;0),AND('Client List'!EH474=150,'Client List'!EF$474&lt;=AW$263)),OR(SUM('Client List'!EE477:EE485)&gt;0,SUM('Client List'!EE477:EE491)=0)),'Client List'!EC$474,IF(AND(OR(AND('Client List'!IP474=100,'Client List'!EN474&gt;1160,'Client List'!EN474&lt;2000,'Client List'!IN$474&gt;0),AND('Client List'!IP474=150,'Client List'!IN$474&lt;=AW$263)),SUM('Client List'!IM477:IM485)&gt;0),'Client List'!IK$474,"")),""),"")</f>
        <v/>
      </c>
      <c r="B263" s="270" t="s">
        <v>1</v>
      </c>
      <c r="C263" s="237" t="s">
        <v>865</v>
      </c>
      <c r="D263" s="267">
        <v>186.93</v>
      </c>
      <c r="E263" s="267">
        <v>176.0616</v>
      </c>
      <c r="F263" s="238">
        <f t="shared" si="52"/>
        <v>153.3470057424118</v>
      </c>
      <c r="G263" s="238">
        <f>IFERROR(ROUNDUP(F263*'Customer Base'!$J$5,2),0)</f>
        <v>2560.9</v>
      </c>
      <c r="H263" s="238">
        <f t="shared" si="53"/>
        <v>144.43117309269891</v>
      </c>
      <c r="I263" s="238">
        <f>IFERROR(ROUNDUP(H263*'Customer Base'!$J$5,2),0)</f>
        <v>2412.0100000000002</v>
      </c>
      <c r="J263" s="103" t="str">
        <f t="shared" si="40"/>
        <v/>
      </c>
      <c r="L263" s="103" t="str">
        <f t="shared" si="41"/>
        <v/>
      </c>
      <c r="N263" s="103">
        <v>263</v>
      </c>
      <c r="O263" s="103" t="str">
        <f>IF('Customer Base'!$I$15="MANUAL",IF(B263&lt;&gt;"",C263,""),IF('Customer Base'!$I$15="AUTOMATE",IF(A263&lt;&gt;"",C263,""),""))</f>
        <v/>
      </c>
      <c r="AO263" s="103" t="str">
        <f>IF('Customer Base'!$I$15="MANUAL",IFERROR(AM263*B263,""),IF('Customer Base'!$I$15="AUTOMATE",IFERROR(AM263*A263,""),""))</f>
        <v/>
      </c>
      <c r="AP263" s="103">
        <v>150</v>
      </c>
      <c r="AQ263" s="103">
        <v>500</v>
      </c>
      <c r="AR263" s="103">
        <v>1000</v>
      </c>
      <c r="AS263" s="103">
        <v>2000</v>
      </c>
      <c r="AT263" s="103" t="str">
        <f>IF(AND(SUMPRODUCT(AS$242:AS$254,AT$242:AT$254)&gt;100,SUMPRODUCT(AS$242:AS$254,AT$242:AT$254)&lt;=150,OR(AND(BD$1=12,BB$4&gt;0,BB$4&lt;=0.5),AND(BD$1=24,BB$4&gt;0,BB$4&lt;=1),,AND(BD$1=48,BB$4&gt;0,BB$4&lt;=2))),1,"")</f>
        <v/>
      </c>
      <c r="AV263" s="103" t="str">
        <f t="shared" si="55"/>
        <v/>
      </c>
      <c r="AW263" s="103">
        <f>IF('Customer Base'!$D$8=12,AQ263,IF('Customer Base'!$D$8=24,AR263,IF('Customer Base'!$D$8=48,AS263,"")))</f>
        <v>2000</v>
      </c>
    </row>
    <row r="264" spans="1:49">
      <c r="A264" s="103" t="str">
        <f ca="1">IFERROR(IF(AND('Customer Base'!D$7&lt;&gt;"Backup",'Customer Base'!D$13="Victron"),IF(AND('Client List'!EH474=150,'Client List'!EF$474&gt;AW$263,'Client List'!EF$474&lt;=AW$264,OR(SUM('Client List'!EE477:EE485)&gt;0,SUM('Client List'!EE477:EE491)=0)),'Client List'!EC$474,IF(AND('Client List'!IP474=150,'Client List'!IN$474&gt;AW$263,'Client List'!IN$474&lt;=AW$264,SUM('Client List'!IM477:IM485)&gt;0),'Client List'!IK$474,"")),""),"")</f>
        <v/>
      </c>
      <c r="B264" s="270" t="s">
        <v>1</v>
      </c>
      <c r="C264" s="237" t="s">
        <v>1035</v>
      </c>
      <c r="D264" s="267">
        <v>221.23</v>
      </c>
      <c r="E264" s="267">
        <v>208.364</v>
      </c>
      <c r="F264" s="238">
        <f t="shared" si="52"/>
        <v>181.48482362592287</v>
      </c>
      <c r="G264" s="238">
        <f>IFERROR(ROUNDUP(F264*'Customer Base'!$J$5,2),0)</f>
        <v>3030.8</v>
      </c>
      <c r="H264" s="238">
        <f t="shared" si="53"/>
        <v>170.93027071369974</v>
      </c>
      <c r="I264" s="238">
        <f>IFERROR(ROUNDUP(H264*'Customer Base'!$J$5,2),0)</f>
        <v>2854.5400000000004</v>
      </c>
      <c r="J264" s="103" t="str">
        <f t="shared" si="40"/>
        <v/>
      </c>
      <c r="L264" s="103" t="str">
        <f t="shared" si="41"/>
        <v/>
      </c>
      <c r="N264" s="103">
        <v>264</v>
      </c>
      <c r="O264" s="103" t="str">
        <f>IF('Customer Base'!$I$15="MANUAL",IF(B264&lt;&gt;"",C264,""),IF('Customer Base'!$I$15="AUTOMATE",IF(A264&lt;&gt;"",C264,""),""))</f>
        <v/>
      </c>
      <c r="AO264" s="103" t="str">
        <f>IF('Customer Base'!$I$15="MANUAL",IFERROR(AM264*B264,""),IF('Customer Base'!$I$15="AUTOMATE",IFERROR(AM264*A264,""),""))</f>
        <v/>
      </c>
      <c r="AP264" s="103">
        <v>150</v>
      </c>
      <c r="AQ264" s="103">
        <v>650</v>
      </c>
      <c r="AR264" s="103">
        <v>1300</v>
      </c>
      <c r="AS264" s="103">
        <v>2600</v>
      </c>
      <c r="AT264" s="103" t="str">
        <f>IF(AND(SUMPRODUCT(AS$242:AS$254,AT$242:AT$254)&gt;100,SUMPRODUCT(AS$242:AS$254,AT$242:AT$254)&lt;=150,OR(AND(BD$1=12,BB$4&gt;0.5,BB$4&lt;=0.65),AND(BD$1=24,BB$4&gt;1,BB$4&lt;=1.3),,AND(BD$1=48,BB$4&gt;2,BB$4&lt;=2.6))),1,"")</f>
        <v/>
      </c>
      <c r="AV264" s="103" t="str">
        <f t="shared" ref="AV264" si="56">IF(AU264&lt;&gt;"",AU264,AT264)</f>
        <v/>
      </c>
      <c r="AW264" s="103">
        <f>IF('Customer Base'!$D$8=12,AQ264,IF('Customer Base'!$D$8=24,AR264,IF('Customer Base'!$D$8=48,AS264,"")))</f>
        <v>2600</v>
      </c>
    </row>
    <row r="265" spans="1:49">
      <c r="A265" s="103" t="str">
        <f ca="1">IFERROR(IF(AND('Customer Base'!D$7&lt;&gt;"Backup",'Customer Base'!D$13="Victron"),IF(AND('Client List'!EH474=150,'Client List'!EF$474&gt;AW$264,'Client List'!EF$474&lt;=AW$265,OR(SUM('Client List'!EE477:EE485)&gt;0,SUM('Client List'!EE477:EE491)=0)),'Client List'!EC$474,IF(AND('Client List'!IP474=150,'Client List'!IN$474&gt;AW$264,'Client List'!IN$474&lt;=AW$265,SUM('Client List'!IM477:IM485)&gt;0),'Client List'!IK$474,"")),""),"")</f>
        <v/>
      </c>
      <c r="B265" s="270" t="s">
        <v>1</v>
      </c>
      <c r="C265" s="237" t="s">
        <v>866</v>
      </c>
      <c r="D265" s="267">
        <v>354.87</v>
      </c>
      <c r="E265" s="267">
        <v>334.23840000000001</v>
      </c>
      <c r="F265" s="238">
        <f t="shared" si="52"/>
        <v>291.11566858080391</v>
      </c>
      <c r="G265" s="238">
        <f>IFERROR(ROUNDUP(F265*'Customer Base'!$J$5,2),0)</f>
        <v>4861.6400000000003</v>
      </c>
      <c r="H265" s="238">
        <f t="shared" si="53"/>
        <v>274.1906480721903</v>
      </c>
      <c r="I265" s="238">
        <f>IFERROR(ROUNDUP(H265*'Customer Base'!$J$5,2),0)</f>
        <v>4578.99</v>
      </c>
      <c r="J265" s="103" t="str">
        <f t="shared" si="40"/>
        <v/>
      </c>
      <c r="L265" s="103" t="str">
        <f t="shared" si="41"/>
        <v/>
      </c>
      <c r="N265" s="103">
        <v>266</v>
      </c>
      <c r="O265" s="103" t="str">
        <f>IF('Customer Base'!$I$15="MANUAL",IF(B265&lt;&gt;"",C265,""),IF('Customer Base'!$I$15="AUTOMATE",IF(A265&lt;&gt;"",C265,""),""))</f>
        <v/>
      </c>
      <c r="AO265" s="103" t="str">
        <f>IF('Customer Base'!$I$15="MANUAL",IFERROR(AM265*B265,""),IF('Customer Base'!$I$15="AUTOMATE",IFERROR(AM265*A265,""),""))</f>
        <v/>
      </c>
      <c r="AP265" s="103">
        <v>150</v>
      </c>
      <c r="AQ265" s="103">
        <v>860</v>
      </c>
      <c r="AR265" s="103">
        <v>1720</v>
      </c>
      <c r="AS265" s="103">
        <v>3440</v>
      </c>
      <c r="AV265" s="103">
        <f t="shared" si="55"/>
        <v>0</v>
      </c>
      <c r="AW265" s="103">
        <f>IF('Customer Base'!$D$8=12,AQ265,IF('Customer Base'!$D$8=24,AR265,IF('Customer Base'!$D$8=48,AS265,"")))</f>
        <v>3440</v>
      </c>
    </row>
    <row r="266" spans="1:49">
      <c r="C266" s="237" t="s">
        <v>2743</v>
      </c>
      <c r="D266" s="267">
        <v>354.87</v>
      </c>
      <c r="E266" s="267">
        <v>334.238</v>
      </c>
      <c r="F266" s="238">
        <f t="shared" si="52"/>
        <v>291.11566858080391</v>
      </c>
      <c r="G266" s="238">
        <f>IFERROR(ROUNDUP(F266*'Customer Base'!$J$5,2),0)</f>
        <v>4861.6400000000003</v>
      </c>
      <c r="H266" s="238">
        <f t="shared" si="53"/>
        <v>274.19031993437244</v>
      </c>
      <c r="I266" s="238">
        <f>IFERROR(ROUNDUP(H266*'Customer Base'!$J$5,2),0)</f>
        <v>4578.9800000000005</v>
      </c>
      <c r="J266" s="103" t="str">
        <f t="shared" si="40"/>
        <v/>
      </c>
      <c r="L266" s="103" t="str">
        <f t="shared" si="41"/>
        <v/>
      </c>
      <c r="N266" s="103">
        <v>267</v>
      </c>
      <c r="O266" s="103" t="str">
        <f>IF('Customer Base'!$I$15="MANUAL",IF(B266&lt;&gt;"",C266,""),IF('Customer Base'!$I$15="AUTOMATE",IF(A266&lt;&gt;"",C266,""),""))</f>
        <v/>
      </c>
      <c r="AO266" s="103">
        <f>IF('Customer Base'!$I$15="MANUAL",IFERROR(AM266*B266,""),IF('Customer Base'!$I$15="AUTOMATE",IFERROR(AM266*A266,""),""))</f>
        <v>0</v>
      </c>
      <c r="AV266" s="103">
        <f t="shared" si="55"/>
        <v>0</v>
      </c>
      <c r="AW266" s="103">
        <f>IF('Customer Base'!$D$8=12,AQ266,IF('Customer Base'!$D$8=24,AR266,IF('Customer Base'!$D$8=48,AS266,"")))</f>
        <v>0</v>
      </c>
    </row>
    <row r="267" spans="1:49">
      <c r="C267" s="237" t="s">
        <v>867</v>
      </c>
      <c r="D267" s="267">
        <v>387.38</v>
      </c>
      <c r="E267" s="267">
        <v>364.85640000000001</v>
      </c>
      <c r="F267" s="238">
        <f t="shared" si="52"/>
        <v>317.78506972928625</v>
      </c>
      <c r="G267" s="238">
        <f>IFERROR(ROUNDUP(F267*'Customer Base'!$J$5,2),0)</f>
        <v>5307.02</v>
      </c>
      <c r="H267" s="238">
        <f t="shared" si="53"/>
        <v>299.30795734208368</v>
      </c>
      <c r="I267" s="238">
        <f>IFERROR(ROUNDUP(H267*'Customer Base'!$J$5,2),0)</f>
        <v>4998.45</v>
      </c>
      <c r="J267" s="103" t="str">
        <f t="shared" si="40"/>
        <v/>
      </c>
      <c r="L267" s="103" t="str">
        <f t="shared" si="41"/>
        <v/>
      </c>
      <c r="N267" s="103">
        <v>268</v>
      </c>
      <c r="O267" s="103" t="str">
        <f>IF('Customer Base'!$I$15="MANUAL",IF(B267&lt;&gt;"",C267,""),IF('Customer Base'!$I$15="AUTOMATE",IF(A267&lt;&gt;"",C267,""),""))</f>
        <v/>
      </c>
      <c r="AO267" s="103">
        <f>IF('Customer Base'!$I$15="MANUAL",IFERROR(AM267*B267,""),IF('Customer Base'!$I$15="AUTOMATE",IFERROR(AM267*A267,""),""))</f>
        <v>0</v>
      </c>
      <c r="AP267" s="103">
        <v>150</v>
      </c>
      <c r="AQ267" s="103">
        <v>1000</v>
      </c>
      <c r="AR267" s="103">
        <v>2000</v>
      </c>
      <c r="AS267" s="103">
        <v>4000</v>
      </c>
      <c r="AV267" s="103">
        <f t="shared" si="55"/>
        <v>0</v>
      </c>
      <c r="AW267" s="103">
        <f>IF('Customer Base'!$D$8=12,AQ267,IF('Customer Base'!$D$8=24,AR267,IF('Customer Base'!$D$8=48,AS267,"")))</f>
        <v>4000</v>
      </c>
    </row>
    <row r="268" spans="1:49">
      <c r="A268" s="103" t="str">
        <f ca="1">IFERROR(IF(AND('Customer Base'!D$7&lt;&gt;"Backup",'Customer Base'!D$13="Victron"),IF(AND('Client List'!EH474=150,'Client List'!EF$474&gt;AW$265,'Client List'!EF$474&lt;=AW$268,OR(SUM('Client List'!EE477:EE485)&gt;0,SUM('Client List'!EE477:EE491)=0)),'Client List'!EC$474,IF(AND('Client List'!IP474=150,'Client List'!IN$474&gt;AW$265,'Client List'!IN$474&lt;=AW$268,SUM('Client List'!IM477:IM485)&gt;0),'Client List'!IK$474,"")),""),"")</f>
        <v/>
      </c>
      <c r="B268" s="270" t="s">
        <v>1</v>
      </c>
      <c r="C268" s="237" t="s">
        <v>868</v>
      </c>
      <c r="D268" s="267">
        <v>418.89</v>
      </c>
      <c r="E268" s="267">
        <v>395.4744</v>
      </c>
      <c r="F268" s="238">
        <f t="shared" si="52"/>
        <v>343.63412633305984</v>
      </c>
      <c r="G268" s="238">
        <f>IFERROR(ROUNDUP(F268*'Customer Base'!$J$5,2),0)</f>
        <v>5738.6900000000005</v>
      </c>
      <c r="H268" s="238">
        <f t="shared" si="53"/>
        <v>324.42526661197701</v>
      </c>
      <c r="I268" s="238">
        <f>IFERROR(ROUNDUP(H268*'Customer Base'!$J$5,2),0)</f>
        <v>5417.91</v>
      </c>
      <c r="J268" s="103" t="str">
        <f t="shared" si="40"/>
        <v/>
      </c>
      <c r="L268" s="103" t="str">
        <f t="shared" si="41"/>
        <v/>
      </c>
      <c r="N268" s="103">
        <v>269</v>
      </c>
      <c r="O268" s="103" t="str">
        <f>IF('Customer Base'!$I$15="MANUAL",IF(B268&lt;&gt;"",C268,""),IF('Customer Base'!$I$15="AUTOMATE",IF(A268&lt;&gt;"",C268,""),""))</f>
        <v/>
      </c>
      <c r="AO268" s="103" t="str">
        <f>IF('Customer Base'!$I$15="MANUAL",IFERROR(AM268*B268,""),IF('Customer Base'!$I$15="AUTOMATE",IFERROR(AM268*A268,""),""))</f>
        <v/>
      </c>
      <c r="AP268" s="103">
        <v>150</v>
      </c>
      <c r="AQ268" s="103">
        <v>1000</v>
      </c>
      <c r="AR268" s="103">
        <v>2000</v>
      </c>
      <c r="AS268" s="103">
        <v>4000</v>
      </c>
      <c r="AV268" s="103">
        <f t="shared" si="55"/>
        <v>0</v>
      </c>
      <c r="AW268" s="103">
        <f>IF('Customer Base'!$D$8=12,AQ268,IF('Customer Base'!$D$8=24,AR268,IF('Customer Base'!$D$8=48,AS268,"")))</f>
        <v>4000</v>
      </c>
    </row>
    <row r="269" spans="1:49">
      <c r="C269" s="237" t="s">
        <v>1036</v>
      </c>
      <c r="D269" s="267">
        <v>418.89</v>
      </c>
      <c r="E269" s="267">
        <v>395.47</v>
      </c>
      <c r="F269" s="238">
        <f t="shared" si="52"/>
        <v>343.63412633305984</v>
      </c>
      <c r="G269" s="238">
        <f>IFERROR(ROUNDUP(F269*'Customer Base'!$J$5,2),0)</f>
        <v>5738.6900000000005</v>
      </c>
      <c r="H269" s="238">
        <f t="shared" si="53"/>
        <v>324.42165709598032</v>
      </c>
      <c r="I269" s="238">
        <f>IFERROR(ROUNDUP(H269*'Customer Base'!$J$5,2),0)</f>
        <v>5417.85</v>
      </c>
      <c r="J269" s="103" t="str">
        <f t="shared" si="40"/>
        <v/>
      </c>
      <c r="L269" s="103" t="str">
        <f t="shared" si="41"/>
        <v/>
      </c>
      <c r="N269" s="103">
        <v>271</v>
      </c>
      <c r="O269" s="103" t="str">
        <f>IF('Customer Base'!$I$15="MANUAL",IF(B269&lt;&gt;"",C269,""),IF('Customer Base'!$I$15="AUTOMATE",IF(A269&lt;&gt;"",C269,""),""))</f>
        <v/>
      </c>
      <c r="AO269" s="103">
        <f>IF('Customer Base'!$I$15="MANUAL",IFERROR(AM269*B269,""),IF('Customer Base'!$I$15="AUTOMATE",IFERROR(AM269*A269,""),""))</f>
        <v>0</v>
      </c>
      <c r="AP269" s="103">
        <v>150</v>
      </c>
      <c r="AQ269" s="103">
        <v>1000</v>
      </c>
      <c r="AR269" s="103">
        <v>2000</v>
      </c>
      <c r="AS269" s="103">
        <v>4000</v>
      </c>
      <c r="AV269" s="103">
        <f t="shared" si="55"/>
        <v>0</v>
      </c>
      <c r="AW269" s="103">
        <f>IF('Customer Base'!$D$8=12,AQ269,IF('Customer Base'!$D$8=24,AR269,IF('Customer Base'!$D$8=48,AS269,"")))</f>
        <v>4000</v>
      </c>
    </row>
    <row r="270" spans="1:49">
      <c r="A270" s="103" t="str">
        <f ca="1">IFERROR(IF(AND('Customer Base'!D$7&lt;&gt;"Backup",'Customer Base'!D$13="Victron"),IF(AND('Client List'!EH474=150,'Client List'!EF$474&gt;AW$268,'Client List'!EF$474&lt;=AW$270,OR(SUM('Client List'!EE477:EE483)&gt;0,SUM('Client List'!EE477:EE491)=0)),'Client List'!EC$474,IF(AND('Client List'!IP474=150,'Client List'!IN$474&gt;AW$268,'Client List'!IN$474&lt;=AW$270,SUM('Client List'!IM477:IM485)&gt;0),'Client List'!IK$474,"")),""),"")</f>
        <v/>
      </c>
      <c r="B270" s="270" t="s">
        <v>1</v>
      </c>
      <c r="C270" s="237" t="s">
        <v>869</v>
      </c>
      <c r="D270" s="267">
        <v>458.72</v>
      </c>
      <c r="E270" s="267">
        <v>432.05399999999997</v>
      </c>
      <c r="F270" s="238">
        <f t="shared" si="52"/>
        <v>376.30844954881047</v>
      </c>
      <c r="G270" s="238">
        <f>IFERROR(ROUNDUP(F270*'Customer Base'!$J$5,2),0)</f>
        <v>6284.3600000000006</v>
      </c>
      <c r="H270" s="238">
        <f t="shared" si="53"/>
        <v>354.43314191960621</v>
      </c>
      <c r="I270" s="238">
        <f>IFERROR(ROUNDUP(H270*'Customer Base'!$J$5,2),0)</f>
        <v>5919.04</v>
      </c>
      <c r="J270" s="103" t="str">
        <f t="shared" si="40"/>
        <v/>
      </c>
      <c r="L270" s="103" t="str">
        <f t="shared" si="41"/>
        <v/>
      </c>
      <c r="N270" s="103">
        <v>273</v>
      </c>
      <c r="O270" s="103" t="str">
        <f>IF('Customer Base'!$I$15="MANUAL",IF(B270&lt;&gt;"",C270,""),IF('Customer Base'!$I$15="AUTOMATE",IF(A270&lt;&gt;"",C270,""),""))</f>
        <v/>
      </c>
      <c r="AO270" s="103" t="str">
        <f>IF('Customer Base'!$I$15="MANUAL",IFERROR(AM270*B270,""),IF('Customer Base'!$I$15="AUTOMATE",IFERROR(AM270*A270,""),""))</f>
        <v/>
      </c>
      <c r="AP270" s="103">
        <v>150</v>
      </c>
      <c r="AQ270" s="103">
        <v>1200</v>
      </c>
      <c r="AR270" s="103">
        <v>2400</v>
      </c>
      <c r="AS270" s="103">
        <v>4900</v>
      </c>
      <c r="AV270" s="103">
        <f t="shared" si="55"/>
        <v>0</v>
      </c>
      <c r="AW270" s="103">
        <f>IF('Customer Base'!$D$8=12,AQ270,IF('Customer Base'!$D$8=24,AR270,IF('Customer Base'!$D$8=48,AS270,"")))</f>
        <v>4900</v>
      </c>
    </row>
    <row r="271" spans="1:49">
      <c r="C271" s="237" t="s">
        <v>1037</v>
      </c>
      <c r="D271" s="267">
        <v>468.67</v>
      </c>
      <c r="E271" s="267">
        <v>441.41759999999999</v>
      </c>
      <c r="F271" s="238">
        <f t="shared" si="52"/>
        <v>384.47087776866283</v>
      </c>
      <c r="G271" s="238">
        <f>IFERROR(ROUNDUP(F271*'Customer Base'!$J$5,2),0)</f>
        <v>6420.67</v>
      </c>
      <c r="H271" s="238">
        <f t="shared" si="53"/>
        <v>362.11452009844129</v>
      </c>
      <c r="I271" s="238">
        <f>IFERROR(ROUNDUP(H271*'Customer Base'!$J$5,2),0)</f>
        <v>6047.3200000000006</v>
      </c>
      <c r="J271" s="103" t="str">
        <f t="shared" si="40"/>
        <v/>
      </c>
      <c r="L271" s="103" t="str">
        <f t="shared" si="41"/>
        <v/>
      </c>
      <c r="N271" s="103">
        <v>275</v>
      </c>
      <c r="O271" s="103" t="str">
        <f>IF('Customer Base'!$I$15="MANUAL",IF(B271&lt;&gt;"",C271,""),IF('Customer Base'!$I$15="AUTOMATE",IF(A271&lt;&gt;"",C271,""),""))</f>
        <v/>
      </c>
      <c r="AO271" s="103">
        <f>IF('Customer Base'!$I$15="MANUAL",IFERROR(AM271*B271,""),IF('Customer Base'!$I$15="AUTOMATE",IFERROR(AM271*A271,""),""))</f>
        <v>0</v>
      </c>
      <c r="AP271" s="103">
        <v>150</v>
      </c>
      <c r="AQ271" s="103">
        <v>1200</v>
      </c>
      <c r="AR271" s="103">
        <v>2400</v>
      </c>
      <c r="AS271" s="103">
        <v>4900</v>
      </c>
      <c r="AV271" s="103">
        <f t="shared" si="55"/>
        <v>0</v>
      </c>
      <c r="AW271" s="103">
        <f>IF('Customer Base'!$D$8=12,AQ271,IF('Customer Base'!$D$8=24,AR271,IF('Customer Base'!$D$8=48,AS271,"")))</f>
        <v>4900</v>
      </c>
    </row>
    <row r="272" spans="1:49">
      <c r="A272" s="242" t="str">
        <f ca="1">IFERROR(IF(AND('Customer Base'!D$7&lt;&gt;"Backup",'Customer Base'!D$13="Victron"),IF(AND('Client List'!EH474=150,'Client List'!EF$474&gt;AW$270,'Client List'!EF$474&lt;=AW$272,OR(SUM('Client List'!EE477:EE485)&gt;0,SUM('Client List'!EE477:EE491)=0)),'Client List'!EC$474,IF(AND('Client List'!IP474=150,'Client List'!IN$474&gt;AW$270,'Client List'!IN$474&lt;=AW$272,SUM('Client List'!IM477:IM485)&gt;0),'Client List'!IK$474,"")),""),"")</f>
        <v/>
      </c>
      <c r="B272" s="270" t="s">
        <v>1</v>
      </c>
      <c r="C272" s="237" t="s">
        <v>870</v>
      </c>
      <c r="D272" s="267">
        <v>522.85</v>
      </c>
      <c r="E272" s="267">
        <v>492.44760000000002</v>
      </c>
      <c r="F272" s="238">
        <f t="shared" si="52"/>
        <v>428.91714520098441</v>
      </c>
      <c r="G272" s="238">
        <f>IFERROR(ROUNDUP(F272*'Customer Base'!$J$5,2),0)</f>
        <v>7162.92</v>
      </c>
      <c r="H272" s="238">
        <f t="shared" si="53"/>
        <v>403.97670221493024</v>
      </c>
      <c r="I272" s="238">
        <f>IFERROR(ROUNDUP(H272*'Customer Base'!$J$5,2),0)</f>
        <v>6746.42</v>
      </c>
      <c r="J272" s="103" t="str">
        <f t="shared" ref="J272:J336" si="57">IF(D272&lt;&gt;"",IF(D272&lt;E272,"lkdfjk",""),"")</f>
        <v/>
      </c>
      <c r="L272" s="103" t="str">
        <f t="shared" ref="L272:L336" si="58">IF(H272&gt;F272,"lkkajdfkj","")</f>
        <v/>
      </c>
      <c r="N272" s="103">
        <v>277</v>
      </c>
      <c r="O272" s="103" t="str">
        <f>IF('Customer Base'!$I$15="MANUAL",IF(B272&lt;&gt;"",C272,""),IF('Customer Base'!$I$15="AUTOMATE",IF(A272&lt;&gt;"",C272,""),""))</f>
        <v/>
      </c>
      <c r="AO272" s="103" t="str">
        <f>IF('Customer Base'!$I$15="MANUAL",IFERROR(AM272*B272,""),IF('Customer Base'!$I$15="AUTOMATE",IFERROR(AM272*A272,""),""))</f>
        <v/>
      </c>
      <c r="AP272" s="103">
        <v>150</v>
      </c>
      <c r="AQ272" s="103">
        <v>1450</v>
      </c>
      <c r="AR272" s="103">
        <v>2900</v>
      </c>
      <c r="AS272" s="103">
        <v>5800</v>
      </c>
      <c r="AV272" s="103">
        <f t="shared" si="55"/>
        <v>0</v>
      </c>
      <c r="AW272" s="103">
        <f>IF('Customer Base'!$D$8=12,AQ272,IF('Customer Base'!$D$8=24,AR272,IF('Customer Base'!$D$8=48,AS272,"")))</f>
        <v>5800</v>
      </c>
    </row>
    <row r="273" spans="1:49">
      <c r="C273" s="237" t="s">
        <v>1038</v>
      </c>
      <c r="D273" s="267">
        <v>532.77</v>
      </c>
      <c r="E273" s="267">
        <v>501.79500000000002</v>
      </c>
      <c r="F273" s="238">
        <f t="shared" si="52"/>
        <v>437.05496308449545</v>
      </c>
      <c r="G273" s="238">
        <f>IFERROR(ROUNDUP(F273*'Customer Base'!$J$5,2),0)</f>
        <v>7298.8200000000006</v>
      </c>
      <c r="H273" s="238">
        <f t="shared" si="53"/>
        <v>411.64479081214108</v>
      </c>
      <c r="I273" s="238">
        <f>IFERROR(ROUNDUP(H273*'Customer Base'!$J$5,2),0)</f>
        <v>6874.47</v>
      </c>
      <c r="J273" s="103" t="str">
        <f t="shared" si="57"/>
        <v/>
      </c>
      <c r="L273" s="103" t="str">
        <f t="shared" si="58"/>
        <v/>
      </c>
      <c r="N273" s="103">
        <v>279</v>
      </c>
      <c r="O273" s="103" t="str">
        <f>IF('Customer Base'!$I$15="MANUAL",IF(B273&lt;&gt;"",C273,""),IF('Customer Base'!$I$15="AUTOMATE",IF(A273&lt;&gt;"",C273,""),""))</f>
        <v/>
      </c>
      <c r="AO273" s="103">
        <f>IF('Customer Base'!$I$15="MANUAL",IFERROR(AM273*B273,""),IF('Customer Base'!$I$15="AUTOMATE",IFERROR(AM273*A273,""),""))</f>
        <v>0</v>
      </c>
      <c r="AP273" s="103">
        <v>150</v>
      </c>
      <c r="AQ273" s="103">
        <v>1450</v>
      </c>
      <c r="AR273" s="103">
        <v>2900</v>
      </c>
      <c r="AS273" s="103">
        <v>5800</v>
      </c>
      <c r="AV273" s="103">
        <f t="shared" si="55"/>
        <v>0</v>
      </c>
      <c r="AW273" s="103">
        <f>IF('Customer Base'!$D$8=12,AQ273,IF('Customer Base'!$D$8=24,AR273,IF('Customer Base'!$D$8=48,AS273,"")))</f>
        <v>5800</v>
      </c>
    </row>
    <row r="274" spans="1:49">
      <c r="A274" s="103" t="str">
        <f ca="1">IFERROR(IF(AND('Customer Base'!D$7&lt;&gt;"Backup",'Customer Base'!D$13="Victron"),IF(AND('Client List'!EH474=250,'Client List'!EF$474&gt;0,'Client List'!EF$474&lt;=AW$274,OR(SUM('Client List'!EE489:EE491)&gt;0,SUM('Client List'!EE477:EE491)=0)),'Client List'!EC$474,IF(AND('Client List'!IP474=250,'Client List'!IN$474&gt;0,'Client List'!IN$474&lt;=AW$274,SUM('Client List'!IM489:IM491)&gt;0),'Client List'!IK$474,"")),""),"")</f>
        <v/>
      </c>
      <c r="B274" s="270" t="s">
        <v>1</v>
      </c>
      <c r="C274" s="237" t="s">
        <v>871</v>
      </c>
      <c r="D274" s="267">
        <v>419.89</v>
      </c>
      <c r="E274" s="267">
        <v>395.4744</v>
      </c>
      <c r="F274" s="238">
        <f t="shared" si="52"/>
        <v>344.45447087776864</v>
      </c>
      <c r="G274" s="238">
        <f>IFERROR(ROUNDUP(F274*'Customer Base'!$J$5,2),0)</f>
        <v>5752.39</v>
      </c>
      <c r="H274" s="238">
        <f t="shared" si="53"/>
        <v>324.42526661197701</v>
      </c>
      <c r="I274" s="238">
        <f>IFERROR(ROUNDUP(H274*'Customer Base'!$J$5,2),0)</f>
        <v>5417.91</v>
      </c>
      <c r="J274" s="103" t="str">
        <f t="shared" si="57"/>
        <v/>
      </c>
      <c r="L274" s="103" t="str">
        <f t="shared" si="58"/>
        <v/>
      </c>
      <c r="N274" s="103">
        <v>280</v>
      </c>
      <c r="O274" s="103" t="str">
        <f>IF('Customer Base'!$I$15="MANUAL",IF(B274&lt;&gt;"",C274,""),IF('Customer Base'!$I$15="AUTOMATE",IF(A274&lt;&gt;"",C274,""),""))</f>
        <v/>
      </c>
      <c r="AO274" s="103" t="str">
        <f>IF('Customer Base'!$I$15="MANUAL",IFERROR(AM274*B274,""),IF('Customer Base'!$I$15="AUTOMATE",IFERROR(AM274*A274,""),""))</f>
        <v/>
      </c>
      <c r="AP274" s="103">
        <v>250</v>
      </c>
      <c r="AQ274" s="103">
        <v>860</v>
      </c>
      <c r="AR274" s="103">
        <v>1720</v>
      </c>
      <c r="AS274" s="103">
        <v>3440</v>
      </c>
      <c r="AV274" s="103">
        <f t="shared" si="55"/>
        <v>0</v>
      </c>
      <c r="AW274" s="103">
        <f>IF('Customer Base'!$D$8=12,AQ274,IF('Customer Base'!$D$8=24,AR274,IF('Customer Base'!$D$8=48,AS274,"")))</f>
        <v>3440</v>
      </c>
    </row>
    <row r="275" spans="1:49">
      <c r="C275" s="237" t="s">
        <v>2744</v>
      </c>
      <c r="D275" s="267">
        <v>419.89</v>
      </c>
      <c r="E275" s="267">
        <v>395.47399999999999</v>
      </c>
      <c r="F275" s="238">
        <f t="shared" si="52"/>
        <v>344.45447087776864</v>
      </c>
      <c r="G275" s="238">
        <f>IFERROR(ROUNDUP(F275*'Customer Base'!$J$5,2),0)</f>
        <v>5752.39</v>
      </c>
      <c r="H275" s="238">
        <f t="shared" si="53"/>
        <v>324.42493847415909</v>
      </c>
      <c r="I275" s="238">
        <f>IFERROR(ROUNDUP(H275*'Customer Base'!$J$5,2),0)</f>
        <v>5417.9000000000005</v>
      </c>
      <c r="J275" s="103" t="str">
        <f t="shared" si="57"/>
        <v/>
      </c>
      <c r="L275" s="103" t="str">
        <f t="shared" si="58"/>
        <v/>
      </c>
      <c r="N275" s="103">
        <v>281</v>
      </c>
      <c r="O275" s="103" t="str">
        <f>IF('Customer Base'!$I$15="MANUAL",IF(B275&lt;&gt;"",C275,""),IF('Customer Base'!$I$15="AUTOMATE",IF(A275&lt;&gt;"",C275,""),""))</f>
        <v/>
      </c>
      <c r="AO275" s="103">
        <f>IF('Customer Base'!$I$15="MANUAL",IFERROR(AM275*B275,""),IF('Customer Base'!$I$15="AUTOMATE",IFERROR(AM275*A275,""),""))</f>
        <v>0</v>
      </c>
      <c r="AP275" s="103">
        <v>250</v>
      </c>
      <c r="AQ275" s="103">
        <v>860</v>
      </c>
      <c r="AR275" s="103">
        <v>1720</v>
      </c>
      <c r="AS275" s="103">
        <v>3440</v>
      </c>
      <c r="AV275" s="103">
        <f t="shared" si="55"/>
        <v>0</v>
      </c>
      <c r="AW275" s="103">
        <f>IF('Customer Base'!$D$8=12,AQ275,IF('Customer Base'!$D$8=24,AR275,IF('Customer Base'!$D$8=48,AS275,"")))</f>
        <v>3440</v>
      </c>
    </row>
    <row r="276" spans="1:49">
      <c r="C276" s="237" t="s">
        <v>872</v>
      </c>
      <c r="D276" s="267">
        <v>484</v>
      </c>
      <c r="E276" s="267">
        <v>455.86799999999999</v>
      </c>
      <c r="F276" s="238">
        <f t="shared" si="52"/>
        <v>397.04675963904839</v>
      </c>
      <c r="G276" s="238">
        <f>IFERROR(ROUNDUP(F276*'Customer Base'!$J$5,2),0)</f>
        <v>6630.6900000000005</v>
      </c>
      <c r="H276" s="238">
        <f t="shared" si="53"/>
        <v>373.96882690730104</v>
      </c>
      <c r="I276" s="238">
        <f>IFERROR(ROUNDUP(H276*'Customer Base'!$J$5,2),0)</f>
        <v>6245.2800000000007</v>
      </c>
      <c r="J276" s="103" t="str">
        <f t="shared" si="57"/>
        <v/>
      </c>
      <c r="L276" s="103" t="str">
        <f t="shared" si="58"/>
        <v/>
      </c>
      <c r="N276" s="103">
        <v>282</v>
      </c>
      <c r="O276" s="103" t="str">
        <f>IF('Customer Base'!$I$15="MANUAL",IF(B276&lt;&gt;"",C276,""),IF('Customer Base'!$I$15="AUTOMATE",IF(A276&lt;&gt;"",C276,""),""))</f>
        <v/>
      </c>
      <c r="AO276" s="103">
        <f>IF('Customer Base'!$I$15="MANUAL",IFERROR(AM276*B276,""),IF('Customer Base'!$I$15="AUTOMATE",IFERROR(AM276*A276,""),""))</f>
        <v>0</v>
      </c>
      <c r="AP276" s="103">
        <v>250</v>
      </c>
      <c r="AQ276" s="103">
        <v>1000</v>
      </c>
      <c r="AR276" s="103">
        <v>2000</v>
      </c>
      <c r="AS276" s="103">
        <v>4000</v>
      </c>
      <c r="AV276" s="103">
        <f t="shared" si="55"/>
        <v>0</v>
      </c>
      <c r="AW276" s="103">
        <f>IF('Customer Base'!$D$8=12,AQ276,IF('Customer Base'!$D$8=24,AR276,IF('Customer Base'!$D$8=48,AS276,"")))</f>
        <v>4000</v>
      </c>
    </row>
    <row r="277" spans="1:49">
      <c r="A277" s="103">
        <f ca="1">IFERROR(IF(AND('Customer Base'!D$7&lt;&gt;"Backup",'Customer Base'!D$13="Victron"),IF(AND('Client List'!EH474=250,'Client List'!EF$474&gt;AW$274,'Client List'!EF$474&lt;=AW$277,OR(SUM('Client List'!EE489:EE491)&gt;0,SUM('Client List'!EE477:EE491)=0)),'Client List'!EC$474,IF(AND('Client List'!IP474=250,'Client List'!IN$474&gt;AW$274,'Client List'!IN$474&lt;=AW$277,SUM('Client List'!IM489:IM491)&gt;0),'Client List'!IK$474,"")),""),"")</f>
        <v>1</v>
      </c>
      <c r="B277" s="270">
        <v>1</v>
      </c>
      <c r="C277" s="237" t="s">
        <v>873</v>
      </c>
      <c r="D277" s="267">
        <v>516.52</v>
      </c>
      <c r="E277" s="267">
        <v>486.48599999999999</v>
      </c>
      <c r="F277" s="238">
        <f t="shared" si="52"/>
        <v>423.72436423297779</v>
      </c>
      <c r="G277" s="238">
        <f>IFERROR(ROUNDUP(F277*'Customer Base'!$J$5,2),0)</f>
        <v>7076.2</v>
      </c>
      <c r="H277" s="238">
        <f t="shared" si="53"/>
        <v>399.08613617719436</v>
      </c>
      <c r="I277" s="238">
        <f>IFERROR(ROUNDUP(H277*'Customer Base'!$J$5,2),0)</f>
        <v>6664.74</v>
      </c>
      <c r="J277" s="103" t="str">
        <f t="shared" si="57"/>
        <v/>
      </c>
      <c r="L277" s="103" t="str">
        <f t="shared" si="58"/>
        <v/>
      </c>
      <c r="N277" s="103">
        <v>283</v>
      </c>
      <c r="O277" s="103" t="str">
        <f>IF('Customer Base'!$I$15="MANUAL",IF(B277&lt;&gt;"",C277,""),IF('Customer Base'!$I$15="AUTOMATE",IF(A277&lt;&gt;"",C277,""),""))</f>
        <v>Victron SmartSolar MPPT 250/70-Tr VE.Can</v>
      </c>
      <c r="AO277" s="103">
        <f>IF('Customer Base'!$I$15="MANUAL",IFERROR(AM277*B277,""),IF('Customer Base'!$I$15="AUTOMATE",IFERROR(AM277*A277,""),""))</f>
        <v>0</v>
      </c>
      <c r="AP277" s="103">
        <v>250</v>
      </c>
      <c r="AQ277" s="103">
        <v>1000</v>
      </c>
      <c r="AR277" s="103">
        <v>2000</v>
      </c>
      <c r="AS277" s="103">
        <v>4000</v>
      </c>
      <c r="AV277" s="103">
        <f t="shared" si="55"/>
        <v>0</v>
      </c>
      <c r="AW277" s="103">
        <f>IF('Customer Base'!$D$8=12,AQ277,IF('Customer Base'!$D$8=24,AR277,IF('Customer Base'!$D$8=48,AS277,"")))</f>
        <v>4000</v>
      </c>
    </row>
    <row r="278" spans="1:49">
      <c r="C278" s="237" t="s">
        <v>1039</v>
      </c>
      <c r="D278" s="267">
        <v>516.52</v>
      </c>
      <c r="E278" s="267">
        <v>486.49</v>
      </c>
      <c r="F278" s="238">
        <f t="shared" si="52"/>
        <v>423.72436423297779</v>
      </c>
      <c r="G278" s="238">
        <f>IFERROR(ROUNDUP(F278*'Customer Base'!$J$5,2),0)</f>
        <v>7076.2</v>
      </c>
      <c r="H278" s="238">
        <f t="shared" si="53"/>
        <v>399.08941755537325</v>
      </c>
      <c r="I278" s="238">
        <f>IFERROR(ROUNDUP(H278*'Customer Base'!$J$5,2),0)</f>
        <v>6664.8</v>
      </c>
      <c r="J278" s="103" t="str">
        <f t="shared" si="57"/>
        <v/>
      </c>
      <c r="L278" s="103" t="str">
        <f t="shared" si="58"/>
        <v/>
      </c>
      <c r="N278" s="103">
        <v>285</v>
      </c>
      <c r="O278" s="103" t="str">
        <f>IF('Customer Base'!$I$15="MANUAL",IF(B278&lt;&gt;"",C278,""),IF('Customer Base'!$I$15="AUTOMATE",IF(A278&lt;&gt;"",C278,""),""))</f>
        <v/>
      </c>
      <c r="AO278" s="103">
        <f>IF('Customer Base'!$I$15="MANUAL",IFERROR(AM278*B278,""),IF('Customer Base'!$I$15="AUTOMATE",IFERROR(AM278*A278,""),""))</f>
        <v>0</v>
      </c>
      <c r="AP278" s="103">
        <v>250</v>
      </c>
      <c r="AQ278" s="103">
        <v>1000</v>
      </c>
      <c r="AR278" s="103">
        <v>2000</v>
      </c>
      <c r="AS278" s="103">
        <v>4000</v>
      </c>
      <c r="AV278" s="103">
        <f t="shared" si="55"/>
        <v>0</v>
      </c>
      <c r="AW278" s="103">
        <f>IF('Customer Base'!$D$8=12,AQ278,IF('Customer Base'!$D$8=24,AR278,IF('Customer Base'!$D$8=48,AS278,"")))</f>
        <v>4000</v>
      </c>
    </row>
    <row r="279" spans="1:49">
      <c r="A279" s="103" t="str">
        <f ca="1">IFERROR(IF(AND('Customer Base'!D$7&lt;&gt;"Backup",'Customer Base'!D$13="Victron"),IF(AND('Client List'!EH474=250,'Client List'!EF$474&gt;AW$277,'Client List'!EF$474&lt;=AW$279,OR(SUM('Client List'!EE489:EE491)&gt;0,SUM('Client List'!EE477:EE491)=0)),'Client List'!EC$474,IF(AND('Client List'!IP474=250,'Client List'!IN$474&gt;AW$277,'Client List'!IN$474&lt;=AW$279,SUM('Client List'!IM489:IM491)&gt;0),'Client List'!IK$474,"")),""),"")</f>
        <v/>
      </c>
      <c r="B279" s="270" t="s">
        <v>1</v>
      </c>
      <c r="C279" s="237" t="s">
        <v>874</v>
      </c>
      <c r="D279" s="267">
        <v>555.35</v>
      </c>
      <c r="E279" s="267">
        <v>523.06560000000002</v>
      </c>
      <c r="F279" s="238">
        <f t="shared" si="52"/>
        <v>455.57834290401968</v>
      </c>
      <c r="G279" s="238">
        <f>IFERROR(ROUNDUP(F279*'Customer Base'!$J$5,2),0)</f>
        <v>7608.16</v>
      </c>
      <c r="H279" s="238">
        <f t="shared" si="53"/>
        <v>429.09401148482362</v>
      </c>
      <c r="I279" s="238">
        <f>IFERROR(ROUNDUP(H279*'Customer Base'!$J$5,2),0)</f>
        <v>7165.87</v>
      </c>
      <c r="J279" s="103" t="str">
        <f t="shared" si="57"/>
        <v/>
      </c>
      <c r="L279" s="103" t="str">
        <f t="shared" si="58"/>
        <v/>
      </c>
      <c r="N279" s="103">
        <v>287</v>
      </c>
      <c r="O279" s="103" t="str">
        <f>IF('Customer Base'!$I$15="MANUAL",IF(B279&lt;&gt;"",C279,""),IF('Customer Base'!$I$15="AUTOMATE",IF(A279&lt;&gt;"",C279,""),""))</f>
        <v/>
      </c>
      <c r="AO279" s="103" t="str">
        <f>IF('Customer Base'!$I$15="MANUAL",IFERROR(AM279*B279,""),IF('Customer Base'!$I$15="AUTOMATE",IFERROR(AM279*A279,""),""))</f>
        <v/>
      </c>
      <c r="AP279" s="103">
        <v>250</v>
      </c>
      <c r="AQ279" s="103">
        <v>1200</v>
      </c>
      <c r="AR279" s="103">
        <v>2400</v>
      </c>
      <c r="AS279" s="103">
        <v>4900</v>
      </c>
      <c r="AV279" s="103">
        <f t="shared" si="55"/>
        <v>0</v>
      </c>
      <c r="AW279" s="103">
        <f>IF('Customer Base'!$D$8=12,AQ279,IF('Customer Base'!$D$8=24,AR279,IF('Customer Base'!$D$8=48,AS279,"")))</f>
        <v>4900</v>
      </c>
    </row>
    <row r="280" spans="1:49">
      <c r="C280" s="237" t="s">
        <v>875</v>
      </c>
      <c r="D280" s="267">
        <v>565.28</v>
      </c>
      <c r="E280" s="267">
        <v>532.41300000000001</v>
      </c>
      <c r="F280" s="238">
        <f t="shared" si="52"/>
        <v>463.72436423297779</v>
      </c>
      <c r="G280" s="238">
        <f>IFERROR(ROUNDUP(F280*'Customer Base'!$J$5,2),0)</f>
        <v>7744.2</v>
      </c>
      <c r="H280" s="238">
        <f t="shared" si="53"/>
        <v>436.76210008203441</v>
      </c>
      <c r="I280" s="238">
        <f>IFERROR(ROUNDUP(H280*'Customer Base'!$J$5,2),0)</f>
        <v>7293.93</v>
      </c>
      <c r="J280" s="103" t="str">
        <f t="shared" si="57"/>
        <v/>
      </c>
      <c r="L280" s="103" t="str">
        <f t="shared" si="58"/>
        <v/>
      </c>
      <c r="N280" s="103">
        <v>289</v>
      </c>
      <c r="O280" s="103" t="str">
        <f>IF('Customer Base'!$I$15="MANUAL",IF(B280&lt;&gt;"",C280,""),IF('Customer Base'!$I$15="AUTOMATE",IF(A280&lt;&gt;"",C280,""),""))</f>
        <v/>
      </c>
      <c r="AO280" s="103">
        <f>IF('Customer Base'!$I$15="MANUAL",IFERROR(AM280*B280,""),IF('Customer Base'!$I$15="AUTOMATE",IFERROR(AM280*A280,""),""))</f>
        <v>0</v>
      </c>
      <c r="AP280" s="103">
        <v>250</v>
      </c>
      <c r="AQ280" s="103">
        <v>1200</v>
      </c>
      <c r="AR280" s="103">
        <v>2400</v>
      </c>
      <c r="AS280" s="103">
        <v>4900</v>
      </c>
      <c r="AV280" s="103">
        <f t="shared" si="55"/>
        <v>0</v>
      </c>
      <c r="AW280" s="103">
        <f>IF('Customer Base'!$D$8=12,AQ280,IF('Customer Base'!$D$8=24,AR280,IF('Customer Base'!$D$8=48,AS280,"")))</f>
        <v>4900</v>
      </c>
    </row>
    <row r="281" spans="1:49">
      <c r="A281" s="242" t="str">
        <f ca="1">IFERROR(IF(AND('Customer Base'!D$7&lt;&gt;"Backup",'Customer Base'!D$13="Victron"),IF(AND('Client List'!EH474=250,'Client List'!EF$474&gt;AW$279,'Client List'!EF$474&lt;=AW$281,OR(SUM('Client List'!EE489:EE491)&gt;0,SUM('Client List'!EE477:EE491)=0)),'Client List'!EC$474,IF(AND('Client List'!IP474=250,'Client List'!IN$474&gt;AW$279,'Client List'!IN$474&lt;=AW$281,SUM('Client List'!IM489:IM491)&gt;0),'Client List'!IK$474,"")),""),"")</f>
        <v/>
      </c>
      <c r="B281" s="270" t="s">
        <v>1</v>
      </c>
      <c r="C281" s="237" t="s">
        <v>876</v>
      </c>
      <c r="D281" s="267">
        <v>619.46</v>
      </c>
      <c r="E281" s="267">
        <v>583.44299999999998</v>
      </c>
      <c r="F281" s="238">
        <f t="shared" si="52"/>
        <v>508.17063166529942</v>
      </c>
      <c r="G281" s="238">
        <f>IFERROR(ROUNDUP(F281*'Customer Base'!$J$5,2),0)</f>
        <v>8486.4500000000007</v>
      </c>
      <c r="H281" s="238">
        <f t="shared" si="53"/>
        <v>478.62428219852336</v>
      </c>
      <c r="I281" s="238">
        <f>IFERROR(ROUNDUP(H281*'Customer Base'!$J$5,2),0)</f>
        <v>7993.0300000000007</v>
      </c>
      <c r="J281" s="103" t="str">
        <f t="shared" si="57"/>
        <v/>
      </c>
      <c r="L281" s="103" t="str">
        <f t="shared" si="58"/>
        <v/>
      </c>
      <c r="N281" s="103">
        <v>290</v>
      </c>
      <c r="O281" s="103" t="str">
        <f>IF('Customer Base'!$I$15="MANUAL",IF(B281&lt;&gt;"",C281,""),IF('Customer Base'!$I$15="AUTOMATE",IF(A281&lt;&gt;"",C281,""),""))</f>
        <v/>
      </c>
      <c r="AO281" s="103" t="str">
        <f>IF('Customer Base'!$I$15="MANUAL",IFERROR(AM281*B281,""),IF('Customer Base'!$I$15="AUTOMATE",IFERROR(AM281*A281,""),""))</f>
        <v/>
      </c>
      <c r="AP281" s="103">
        <v>250</v>
      </c>
      <c r="AQ281" s="103">
        <v>1450</v>
      </c>
      <c r="AR281" s="103">
        <v>2900</v>
      </c>
      <c r="AS281" s="103">
        <v>5800</v>
      </c>
      <c r="AV281" s="103">
        <f t="shared" si="55"/>
        <v>0</v>
      </c>
      <c r="AW281" s="103">
        <f>IF('Customer Base'!$D$8=12,AQ281,IF('Customer Base'!$D$8=24,AR281,IF('Customer Base'!$D$8=48,AS281,"")))</f>
        <v>5800</v>
      </c>
    </row>
    <row r="282" spans="1:49">
      <c r="C282" s="237" t="s">
        <v>877</v>
      </c>
      <c r="D282" s="267">
        <v>629.38</v>
      </c>
      <c r="E282" s="267">
        <v>592.79039999999998</v>
      </c>
      <c r="F282" s="238">
        <f t="shared" si="52"/>
        <v>516.30844954881047</v>
      </c>
      <c r="G282" s="238">
        <f>IFERROR(ROUNDUP(F282*'Customer Base'!$J$5,2),0)</f>
        <v>8622.36</v>
      </c>
      <c r="H282" s="238">
        <f t="shared" si="53"/>
        <v>486.29237079573414</v>
      </c>
      <c r="I282" s="238">
        <f>IFERROR(ROUNDUP(H282*'Customer Base'!$J$5,2),0)</f>
        <v>8121.09</v>
      </c>
      <c r="J282" s="103" t="str">
        <f t="shared" si="57"/>
        <v/>
      </c>
      <c r="L282" s="103" t="str">
        <f t="shared" si="58"/>
        <v/>
      </c>
      <c r="N282" s="103">
        <v>291</v>
      </c>
      <c r="O282" s="103" t="str">
        <f>IF('Customer Base'!$I$15="MANUAL",IF(B282&lt;&gt;"",C282,""),IF('Customer Base'!$I$15="AUTOMATE",IF(A282&lt;&gt;"",C282,""),""))</f>
        <v/>
      </c>
      <c r="AO282" s="103">
        <f>IF('Customer Base'!$I$15="MANUAL",IFERROR(AM282*B282,""),IF('Customer Base'!$I$15="AUTOMATE",IFERROR(AM282*A282,""),""))</f>
        <v>0</v>
      </c>
      <c r="AP282" s="103">
        <v>250</v>
      </c>
      <c r="AQ282" s="103">
        <v>1450</v>
      </c>
      <c r="AR282" s="103">
        <v>2900</v>
      </c>
      <c r="AS282" s="103">
        <v>5800</v>
      </c>
      <c r="AV282" s="103">
        <f t="shared" si="55"/>
        <v>0</v>
      </c>
      <c r="AW282" s="103">
        <f>IF('Customer Base'!$D$8=12,AQ282,IF('Customer Base'!$D$8=24,AR282,IF('Customer Base'!$D$8=48,AS282,"")))</f>
        <v>5800</v>
      </c>
    </row>
    <row r="283" spans="1:49">
      <c r="C283" s="237" t="s">
        <v>1033</v>
      </c>
      <c r="D283" s="267">
        <v>1120.6099999999999</v>
      </c>
      <c r="E283" s="267">
        <v>1055.462</v>
      </c>
      <c r="F283" s="238">
        <f t="shared" si="52"/>
        <v>919.28630024610322</v>
      </c>
      <c r="G283" s="238">
        <f>IFERROR(ROUNDUP(F283*'Customer Base'!$J$5,2),0)</f>
        <v>15352.09</v>
      </c>
      <c r="H283" s="238">
        <f t="shared" si="53"/>
        <v>865.84249384741588</v>
      </c>
      <c r="I283" s="238">
        <f>IFERROR(ROUNDUP(H283*'Customer Base'!$J$5,2),0)</f>
        <v>14459.57</v>
      </c>
      <c r="J283" s="103" t="str">
        <f t="shared" si="57"/>
        <v/>
      </c>
      <c r="L283" s="103" t="str">
        <f t="shared" si="58"/>
        <v/>
      </c>
      <c r="N283" s="103">
        <v>292</v>
      </c>
      <c r="O283" s="103" t="str">
        <f>IF('Customer Base'!$I$15="MANUAL",IF(B283&lt;&gt;"",C283,""),IF('Customer Base'!$I$15="AUTOMATE",IF(A283&lt;&gt;"",C283,""),""))</f>
        <v/>
      </c>
      <c r="AO283" s="103">
        <f>IF('Customer Base'!$I$15="MANUAL",IFERROR(AM283*B283,""),IF('Customer Base'!$I$15="AUTOMATE",IFERROR(AM283*A283,""),""))</f>
        <v>0</v>
      </c>
      <c r="AP283" s="103">
        <v>450</v>
      </c>
      <c r="AS283" s="103">
        <v>5760</v>
      </c>
      <c r="AV283" s="103">
        <f t="shared" si="55"/>
        <v>0</v>
      </c>
      <c r="AW283" s="103">
        <f>IF('Customer Base'!$D$8=12,AQ283,IF('Customer Base'!$D$8=24,AR283,IF('Customer Base'!$D$8=48,AS283,"")))</f>
        <v>5760</v>
      </c>
    </row>
    <row r="284" spans="1:49">
      <c r="C284" s="237" t="s">
        <v>1034</v>
      </c>
      <c r="D284" s="267">
        <v>1962.21</v>
      </c>
      <c r="E284" s="267">
        <v>1848.1279999999999</v>
      </c>
      <c r="F284" s="238">
        <f t="shared" si="52"/>
        <v>1609.6882690730106</v>
      </c>
      <c r="G284" s="238">
        <f>IFERROR(ROUNDUP(F284*'Customer Base'!$J$5,2),0)</f>
        <v>26881.8</v>
      </c>
      <c r="H284" s="238">
        <f t="shared" si="53"/>
        <v>1516.1017227235436</v>
      </c>
      <c r="I284" s="238">
        <f>IFERROR(ROUNDUP(H284*'Customer Base'!$J$5,2),0)</f>
        <v>25318.899999999998</v>
      </c>
      <c r="J284" s="103" t="str">
        <f t="shared" si="57"/>
        <v/>
      </c>
      <c r="L284" s="103" t="str">
        <f t="shared" si="58"/>
        <v/>
      </c>
      <c r="N284" s="103">
        <v>293</v>
      </c>
      <c r="O284" s="103" t="str">
        <f>IF('Customer Base'!$I$15="MANUAL",IF(B284&lt;&gt;"",C284,""),IF('Customer Base'!$I$15="AUTOMATE",IF(A284&lt;&gt;"",C284,""),""))</f>
        <v/>
      </c>
      <c r="AO284" s="103">
        <f>IF('Customer Base'!$I$15="MANUAL",IFERROR(AM284*B284,""),IF('Customer Base'!$I$15="AUTOMATE",IFERROR(AM284*A284,""),""))</f>
        <v>0</v>
      </c>
      <c r="AP284" s="103">
        <v>450</v>
      </c>
      <c r="AS284" s="103">
        <v>11520</v>
      </c>
      <c r="AV284" s="103">
        <f t="shared" si="55"/>
        <v>0</v>
      </c>
      <c r="AW284" s="103">
        <f>IF('Customer Base'!$D$8=12,AQ284,IF('Customer Base'!$D$8=24,AR284,IF('Customer Base'!$D$8=48,AS284,"")))</f>
        <v>11520</v>
      </c>
    </row>
    <row r="285" spans="1:49">
      <c r="D285" s="319"/>
      <c r="E285" s="319"/>
      <c r="F285" s="224">
        <f t="shared" si="52"/>
        <v>0</v>
      </c>
      <c r="H285" s="224">
        <f t="shared" si="53"/>
        <v>0</v>
      </c>
      <c r="I285" s="224"/>
      <c r="J285" s="103" t="str">
        <f t="shared" si="57"/>
        <v/>
      </c>
      <c r="L285" s="103" t="str">
        <f t="shared" si="58"/>
        <v/>
      </c>
      <c r="N285" s="103">
        <v>294</v>
      </c>
      <c r="O285" s="103" t="str">
        <f>IF('Customer Base'!$I$15="MANUAL",IF(B285&lt;&gt;"",C285,""),IF('Customer Base'!$I$15="AUTOMATE",IF(A285&lt;&gt;"",C285,""),""))</f>
        <v/>
      </c>
      <c r="AO285" s="103">
        <f>IF('Customer Base'!$I$15="MANUAL",IFERROR(AM285*B285,""),IF('Customer Base'!$I$15="AUTOMATE",IFERROR(AM285*A285,""),""))</f>
        <v>0</v>
      </c>
      <c r="AV285" s="103">
        <f t="shared" si="55"/>
        <v>0</v>
      </c>
    </row>
    <row r="286" spans="1:49">
      <c r="C286" s="251" t="s">
        <v>878</v>
      </c>
      <c r="D286" s="328">
        <v>32.51</v>
      </c>
      <c r="E286" s="328">
        <v>30.617999999999999</v>
      </c>
      <c r="F286" s="245">
        <f t="shared" si="52"/>
        <v>26.669401148482358</v>
      </c>
      <c r="G286" s="245">
        <f>IFERROR(ROUNDUP(F286*'Customer Base'!$J$5,2),0)</f>
        <v>445.38</v>
      </c>
      <c r="H286" s="245">
        <f t="shared" si="53"/>
        <v>25.117309269893351</v>
      </c>
      <c r="I286" s="245">
        <f>IFERROR(ROUNDUP(H286*'Customer Base'!$J$5,2),0)</f>
        <v>419.46</v>
      </c>
      <c r="J286" s="103" t="str">
        <f t="shared" si="57"/>
        <v/>
      </c>
      <c r="L286" s="103" t="str">
        <f t="shared" si="58"/>
        <v/>
      </c>
      <c r="N286" s="103">
        <v>295</v>
      </c>
      <c r="O286" s="103" t="str">
        <f>IF('Customer Base'!$I$15="MANUAL",IF(B286&lt;&gt;"",C286,""),IF('Customer Base'!$I$15="AUTOMATE",IF(A286&lt;&gt;"",C286,""),""))</f>
        <v/>
      </c>
      <c r="AO286" s="103">
        <f>IF('Customer Base'!$I$15="MANUAL",IFERROR(AM286*B286,""),IF('Customer Base'!$I$15="AUTOMATE",IFERROR(AM286*A286,""),""))</f>
        <v>0</v>
      </c>
      <c r="AV286" s="103">
        <f t="shared" si="55"/>
        <v>0</v>
      </c>
    </row>
    <row r="287" spans="1:49">
      <c r="C287" s="251" t="s">
        <v>1040</v>
      </c>
      <c r="D287" s="328">
        <v>23.48</v>
      </c>
      <c r="E287" s="328">
        <v>22.113</v>
      </c>
      <c r="F287" s="245">
        <f t="shared" si="52"/>
        <v>19.261689909762101</v>
      </c>
      <c r="G287" s="245">
        <f>IFERROR(ROUNDUP(F287*'Customer Base'!$J$5,2),0)</f>
        <v>321.68</v>
      </c>
      <c r="H287" s="245">
        <f t="shared" si="53"/>
        <v>18.140278917145199</v>
      </c>
      <c r="I287" s="245">
        <f>IFERROR(ROUNDUP(H287*'Customer Base'!$J$5,2),0)</f>
        <v>302.95</v>
      </c>
      <c r="J287" s="103" t="str">
        <f t="shared" si="57"/>
        <v/>
      </c>
      <c r="L287" s="103" t="str">
        <f t="shared" si="58"/>
        <v/>
      </c>
      <c r="N287" s="103">
        <v>296</v>
      </c>
      <c r="O287" s="103" t="str">
        <f>IF('Customer Base'!$I$15="MANUAL",IF(B287&lt;&gt;"",C287,""),IF('Customer Base'!$I$15="AUTOMATE",IF(A287&lt;&gt;"",C287,""),""))</f>
        <v/>
      </c>
      <c r="AO287" s="103">
        <f>IF('Customer Base'!$I$15="MANUAL",IFERROR(AM287*B287,""),IF('Customer Base'!$I$15="AUTOMATE",IFERROR(AM287*A287,""),""))</f>
        <v>0</v>
      </c>
      <c r="AV287" s="103">
        <f t="shared" si="55"/>
        <v>0</v>
      </c>
    </row>
    <row r="288" spans="1:49">
      <c r="C288" s="251" t="s">
        <v>1041</v>
      </c>
      <c r="D288" s="328">
        <v>23.48</v>
      </c>
      <c r="E288" s="328">
        <v>22.113</v>
      </c>
      <c r="F288" s="245">
        <f t="shared" si="52"/>
        <v>19.261689909762101</v>
      </c>
      <c r="G288" s="245">
        <f>IFERROR(ROUNDUP(F288*'Customer Base'!$J$5,2),0)</f>
        <v>321.68</v>
      </c>
      <c r="H288" s="245">
        <f t="shared" si="53"/>
        <v>18.140278917145199</v>
      </c>
      <c r="I288" s="245">
        <f>IFERROR(ROUNDUP(H288*'Customer Base'!$J$5,2),0)</f>
        <v>302.95</v>
      </c>
      <c r="J288" s="103" t="str">
        <f t="shared" si="57"/>
        <v/>
      </c>
      <c r="L288" s="103" t="str">
        <f t="shared" si="58"/>
        <v/>
      </c>
      <c r="N288" s="103">
        <v>297</v>
      </c>
      <c r="O288" s="103" t="str">
        <f>IF('Customer Base'!$I$15="MANUAL",IF(B288&lt;&gt;"",C288,""),IF('Customer Base'!$I$15="AUTOMATE",IF(A288&lt;&gt;"",C288,""),""))</f>
        <v/>
      </c>
      <c r="AO288" s="103">
        <f>IF('Customer Base'!$I$15="MANUAL",IFERROR(AM288*B288,""),IF('Customer Base'!$I$15="AUTOMATE",IFERROR(AM288*A288,""),""))</f>
        <v>0</v>
      </c>
      <c r="AV288" s="103">
        <f t="shared" si="55"/>
        <v>0</v>
      </c>
    </row>
    <row r="289" spans="1:48">
      <c r="C289" s="251" t="s">
        <v>1042</v>
      </c>
      <c r="D289" s="328">
        <v>23.48</v>
      </c>
      <c r="E289" s="328">
        <v>22.113</v>
      </c>
      <c r="F289" s="245">
        <f t="shared" si="52"/>
        <v>19.261689909762101</v>
      </c>
      <c r="G289" s="245">
        <f>IFERROR(ROUNDUP(F289*'Customer Base'!$J$5,2),0)</f>
        <v>321.68</v>
      </c>
      <c r="H289" s="245">
        <f t="shared" si="53"/>
        <v>18.140278917145199</v>
      </c>
      <c r="I289" s="245">
        <f>IFERROR(ROUNDUP(H289*'Customer Base'!$J$5,2),0)</f>
        <v>302.95</v>
      </c>
      <c r="J289" s="103" t="str">
        <f t="shared" si="57"/>
        <v/>
      </c>
      <c r="L289" s="103" t="str">
        <f t="shared" si="58"/>
        <v/>
      </c>
      <c r="N289" s="103">
        <v>298</v>
      </c>
      <c r="O289" s="103" t="str">
        <f>IF('Customer Base'!$I$15="MANUAL",IF(B289&lt;&gt;"",C289,""),IF('Customer Base'!$I$15="AUTOMATE",IF(A289&lt;&gt;"",C289,""),""))</f>
        <v/>
      </c>
      <c r="AO289" s="103">
        <f>IF('Customer Base'!$I$15="MANUAL",IFERROR(AM289*B289,""),IF('Customer Base'!$I$15="AUTOMATE",IFERROR(AM289*A289,""),""))</f>
        <v>0</v>
      </c>
      <c r="AV289" s="103">
        <f t="shared" si="55"/>
        <v>0</v>
      </c>
    </row>
    <row r="290" spans="1:48">
      <c r="C290" s="226"/>
      <c r="D290" s="319"/>
      <c r="E290" s="319"/>
      <c r="I290" s="224"/>
      <c r="J290" s="103" t="str">
        <f t="shared" si="57"/>
        <v/>
      </c>
      <c r="L290" s="103" t="str">
        <f t="shared" si="58"/>
        <v/>
      </c>
      <c r="N290" s="103">
        <v>299</v>
      </c>
      <c r="O290" s="103" t="str">
        <f>IF('Customer Base'!$I$15="MANUAL",IF(B290&lt;&gt;"",C290,""),IF('Customer Base'!$I$15="AUTOMATE",IF(A290&lt;&gt;"",C290,""),""))</f>
        <v/>
      </c>
      <c r="AO290" s="103">
        <f>IF('Customer Base'!$I$15="MANUAL",IFERROR(AM290*B290,""),IF('Customer Base'!$I$15="AUTOMATE",IFERROR(AM290*A290,""),""))</f>
        <v>0</v>
      </c>
      <c r="AV290" s="103">
        <f t="shared" ref="AV290:AV337" si="59">IF(AU290&lt;&gt;"",AU290,AT290)</f>
        <v>0</v>
      </c>
    </row>
    <row r="291" spans="1:48">
      <c r="C291" s="232" t="s">
        <v>1894</v>
      </c>
      <c r="D291" s="320"/>
      <c r="E291" s="320"/>
      <c r="F291" s="234">
        <f t="shared" ref="F291:F310" si="60">$D291/1.219</f>
        <v>0</v>
      </c>
      <c r="G291" s="234">
        <f>IFERROR(ROUNDUP(F291*'Customer Base'!$J$5,2),0)</f>
        <v>0</v>
      </c>
      <c r="H291" s="234">
        <f t="shared" ref="H291:H310" si="61">$E291/1.219</f>
        <v>0</v>
      </c>
      <c r="I291" s="234">
        <f>IFERROR(ROUNDUP(H291*'Customer Base'!$J$5,2),0)</f>
        <v>0</v>
      </c>
      <c r="J291" s="103" t="str">
        <f t="shared" si="57"/>
        <v/>
      </c>
      <c r="L291" s="103" t="str">
        <f t="shared" si="58"/>
        <v/>
      </c>
      <c r="N291" s="103">
        <v>300</v>
      </c>
      <c r="O291" s="103" t="str">
        <f>IF('Customer Base'!$I$15="MANUAL",IF(B291&lt;&gt;"",C291,""),IF('Customer Base'!$I$15="AUTOMATE",IF(A291&lt;&gt;"",C291,""),""))</f>
        <v/>
      </c>
      <c r="AO291" s="103">
        <f>IF('Customer Base'!$I$15="MANUAL",IFERROR(AM291*B291,""),IF('Customer Base'!$I$15="AUTOMATE",IFERROR(AM291*A291,""),""))</f>
        <v>0</v>
      </c>
      <c r="AV291" s="103">
        <f t="shared" si="59"/>
        <v>0</v>
      </c>
    </row>
    <row r="292" spans="1:48">
      <c r="C292" s="250" t="s">
        <v>915</v>
      </c>
      <c r="D292" s="321">
        <v>111.97</v>
      </c>
      <c r="E292" s="321">
        <v>105.462</v>
      </c>
      <c r="F292" s="249">
        <f t="shared" si="60"/>
        <v>91.85397867104183</v>
      </c>
      <c r="G292" s="249">
        <f>IFERROR(ROUNDUP(F292*'Customer Base'!$J$5,2),0)</f>
        <v>1533.97</v>
      </c>
      <c r="H292" s="249">
        <f t="shared" si="61"/>
        <v>86.515176374077114</v>
      </c>
      <c r="I292" s="249">
        <f>IFERROR(ROUNDUP(H292*'Customer Base'!$J$5,2),0)</f>
        <v>1444.81</v>
      </c>
      <c r="J292" s="103" t="str">
        <f t="shared" si="57"/>
        <v/>
      </c>
      <c r="L292" s="103" t="str">
        <f t="shared" si="58"/>
        <v/>
      </c>
      <c r="N292" s="103">
        <v>301</v>
      </c>
      <c r="O292" s="103" t="str">
        <f>IF('Customer Base'!$I$15="MANUAL",IF(B292&lt;&gt;"",C292,""),IF('Customer Base'!$I$15="AUTOMATE",IF(A292&lt;&gt;"",C292,""),""))</f>
        <v/>
      </c>
      <c r="AO292" s="103">
        <f>IF('Customer Base'!$I$15="MANUAL",IFERROR(AM292*B292,""),IF('Customer Base'!$I$15="AUTOMATE",IFERROR(AM292*A292,""),""))</f>
        <v>0</v>
      </c>
      <c r="AV292" s="103">
        <f t="shared" si="59"/>
        <v>0</v>
      </c>
    </row>
    <row r="293" spans="1:48">
      <c r="C293" s="250" t="s">
        <v>1024</v>
      </c>
      <c r="D293" s="321">
        <v>111.97</v>
      </c>
      <c r="E293" s="321">
        <v>105.462</v>
      </c>
      <c r="F293" s="249">
        <f t="shared" si="60"/>
        <v>91.85397867104183</v>
      </c>
      <c r="G293" s="249">
        <f>IFERROR(ROUNDUP(F293*'Customer Base'!$J$5,2),0)</f>
        <v>1533.97</v>
      </c>
      <c r="H293" s="249">
        <f t="shared" si="61"/>
        <v>86.515176374077114</v>
      </c>
      <c r="I293" s="249">
        <f>IFERROR(ROUNDUP(H293*'Customer Base'!$J$5,2),0)</f>
        <v>1444.81</v>
      </c>
      <c r="J293" s="103" t="str">
        <f t="shared" si="57"/>
        <v/>
      </c>
      <c r="L293" s="103" t="str">
        <f t="shared" si="58"/>
        <v/>
      </c>
      <c r="N293" s="103">
        <v>302</v>
      </c>
      <c r="O293" s="103" t="str">
        <f>IF('Customer Base'!$I$15="MANUAL",IF(B293&lt;&gt;"",C293,""),IF('Customer Base'!$I$15="AUTOMATE",IF(A293&lt;&gt;"",C293,""),""))</f>
        <v/>
      </c>
      <c r="AO293" s="103">
        <f>IF('Customer Base'!$I$15="MANUAL",IFERROR(AM293*B293,""),IF('Customer Base'!$I$15="AUTOMATE",IFERROR(AM293*A293,""),""))</f>
        <v>0</v>
      </c>
      <c r="AV293" s="103">
        <f t="shared" si="59"/>
        <v>0</v>
      </c>
    </row>
    <row r="294" spans="1:48">
      <c r="C294" s="250" t="s">
        <v>916</v>
      </c>
      <c r="D294" s="321">
        <v>139.06</v>
      </c>
      <c r="E294" s="321">
        <v>130.977</v>
      </c>
      <c r="F294" s="249">
        <f t="shared" si="60"/>
        <v>114.07711238720262</v>
      </c>
      <c r="G294" s="249">
        <f>IFERROR(ROUNDUP(F294*'Customer Base'!$J$5,2),0)</f>
        <v>1905.09</v>
      </c>
      <c r="H294" s="249">
        <f t="shared" si="61"/>
        <v>107.44626743232158</v>
      </c>
      <c r="I294" s="249">
        <f>IFERROR(ROUNDUP(H294*'Customer Base'!$J$5,2),0)</f>
        <v>1794.36</v>
      </c>
      <c r="J294" s="103" t="str">
        <f t="shared" si="57"/>
        <v/>
      </c>
      <c r="L294" s="103" t="str">
        <f t="shared" si="58"/>
        <v/>
      </c>
      <c r="N294" s="103">
        <v>303</v>
      </c>
      <c r="O294" s="103" t="str">
        <f>IF('Customer Base'!$I$15="MANUAL",IF(B294&lt;&gt;"",C294,""),IF('Customer Base'!$I$15="AUTOMATE",IF(A294&lt;&gt;"",C294,""),""))</f>
        <v/>
      </c>
      <c r="AO294" s="103">
        <f>IF('Customer Base'!$I$15="MANUAL",IFERROR(AM294*B294,""),IF('Customer Base'!$I$15="AUTOMATE",IFERROR(AM294*A294,""),""))</f>
        <v>0</v>
      </c>
      <c r="AV294" s="103">
        <f t="shared" si="59"/>
        <v>0</v>
      </c>
    </row>
    <row r="295" spans="1:48">
      <c r="C295" s="250" t="s">
        <v>1025</v>
      </c>
      <c r="D295" s="321">
        <v>139.06</v>
      </c>
      <c r="E295" s="321">
        <v>130.977</v>
      </c>
      <c r="F295" s="249">
        <f t="shared" si="60"/>
        <v>114.07711238720262</v>
      </c>
      <c r="G295" s="249">
        <f>IFERROR(ROUNDUP(F295*'Customer Base'!$J$5,2),0)</f>
        <v>1905.09</v>
      </c>
      <c r="H295" s="249">
        <f t="shared" si="61"/>
        <v>107.44626743232158</v>
      </c>
      <c r="I295" s="249">
        <f>IFERROR(ROUNDUP(H295*'Customer Base'!$J$5,2),0)</f>
        <v>1794.36</v>
      </c>
      <c r="J295" s="103" t="str">
        <f t="shared" si="57"/>
        <v/>
      </c>
      <c r="L295" s="103" t="str">
        <f t="shared" si="58"/>
        <v/>
      </c>
      <c r="N295" s="103">
        <v>304</v>
      </c>
      <c r="O295" s="103" t="str">
        <f>IF('Customer Base'!$I$15="MANUAL",IF(B295&lt;&gt;"",C295,""),IF('Customer Base'!$I$15="AUTOMATE",IF(A295&lt;&gt;"",C295,""),""))</f>
        <v/>
      </c>
      <c r="AO295" s="103">
        <f>IF('Customer Base'!$I$15="MANUAL",IFERROR(AM295*B295,""),IF('Customer Base'!$I$15="AUTOMATE",IFERROR(AM295*A295,""),""))</f>
        <v>0</v>
      </c>
      <c r="AV295" s="103">
        <f t="shared" si="59"/>
        <v>0</v>
      </c>
    </row>
    <row r="296" spans="1:48">
      <c r="C296" s="250" t="s">
        <v>1023</v>
      </c>
      <c r="D296" s="321">
        <v>160.72999999999999</v>
      </c>
      <c r="E296" s="321">
        <v>151.38900000000001</v>
      </c>
      <c r="F296" s="249">
        <f t="shared" si="60"/>
        <v>131.85397867104183</v>
      </c>
      <c r="G296" s="249">
        <f>IFERROR(ROUNDUP(F296*'Customer Base'!$J$5,2),0)</f>
        <v>2201.9700000000003</v>
      </c>
      <c r="H296" s="249">
        <f t="shared" si="61"/>
        <v>124.19114027891715</v>
      </c>
      <c r="I296" s="249">
        <f>IFERROR(ROUNDUP(H296*'Customer Base'!$J$5,2),0)</f>
        <v>2074</v>
      </c>
      <c r="J296" s="103" t="str">
        <f t="shared" si="57"/>
        <v/>
      </c>
      <c r="L296" s="103" t="str">
        <f t="shared" si="58"/>
        <v/>
      </c>
      <c r="N296" s="103">
        <v>305</v>
      </c>
      <c r="O296" s="103" t="str">
        <f>IF('Customer Base'!$I$15="MANUAL",IF(B296&lt;&gt;"",C296,""),IF('Customer Base'!$I$15="AUTOMATE",IF(A296&lt;&gt;"",C296,""),""))</f>
        <v/>
      </c>
      <c r="AO296" s="103">
        <f>IF('Customer Base'!$I$15="MANUAL",IFERROR(AM296*B296,""),IF('Customer Base'!$I$15="AUTOMATE",IFERROR(AM296*A296,""),""))</f>
        <v>0</v>
      </c>
      <c r="AV296" s="103">
        <f t="shared" si="59"/>
        <v>0</v>
      </c>
    </row>
    <row r="297" spans="1:48">
      <c r="D297" s="319"/>
      <c r="E297" s="319"/>
      <c r="F297" s="224">
        <f t="shared" si="60"/>
        <v>0</v>
      </c>
      <c r="G297" s="224">
        <f>IFERROR(ROUNDUP(F297*'Customer Base'!$J$5,2),0)</f>
        <v>0</v>
      </c>
      <c r="H297" s="224">
        <f t="shared" si="61"/>
        <v>0</v>
      </c>
      <c r="I297" s="224">
        <f>IFERROR(ROUNDUP(H297*'Customer Base'!$J$5,2),0)</f>
        <v>0</v>
      </c>
      <c r="J297" s="103" t="str">
        <f t="shared" si="57"/>
        <v/>
      </c>
      <c r="L297" s="103" t="str">
        <f t="shared" si="58"/>
        <v/>
      </c>
      <c r="N297" s="103">
        <v>306</v>
      </c>
      <c r="O297" s="103" t="str">
        <f>IF('Customer Base'!$I$15="MANUAL",IF(B297&lt;&gt;"",C297,""),IF('Customer Base'!$I$15="AUTOMATE",IF(A297&lt;&gt;"",C297,""),""))</f>
        <v/>
      </c>
      <c r="AO297" s="103">
        <f>IF('Customer Base'!$I$15="MANUAL",IFERROR(AM297*B297,""),IF('Customer Base'!$I$15="AUTOMATE",IFERROR(AM297*A297,""),""))</f>
        <v>0</v>
      </c>
      <c r="AV297" s="103">
        <f t="shared" si="59"/>
        <v>0</v>
      </c>
    </row>
    <row r="298" spans="1:48">
      <c r="A298" s="103">
        <f>IF(AND('Customer Base'!D13="Victron",OR(AND('Customer Base'!D20="BYD",'Customer Base'!D19="Lithium"),'Customer Base'!D34="Yes")),1,"")</f>
        <v>1</v>
      </c>
      <c r="B298" s="270">
        <v>1</v>
      </c>
      <c r="C298" s="248" t="s">
        <v>898</v>
      </c>
      <c r="D298" s="329">
        <v>278.12</v>
      </c>
      <c r="E298" s="329">
        <v>261.95400000000001</v>
      </c>
      <c r="F298" s="261">
        <f t="shared" si="60"/>
        <v>228.15422477440524</v>
      </c>
      <c r="G298" s="249">
        <f>IFERROR(ROUNDUP(F298*'Customer Base'!$J$5,2),0)</f>
        <v>3810.1800000000003</v>
      </c>
      <c r="H298" s="261">
        <f t="shared" si="61"/>
        <v>214.89253486464315</v>
      </c>
      <c r="I298" s="249">
        <f>IFERROR(ROUNDUP(H298*'Customer Base'!$J$5,2),0)</f>
        <v>3588.71</v>
      </c>
      <c r="J298" s="103" t="str">
        <f t="shared" si="57"/>
        <v/>
      </c>
      <c r="L298" s="103" t="str">
        <f t="shared" si="58"/>
        <v/>
      </c>
      <c r="N298" s="103">
        <v>307</v>
      </c>
      <c r="O298" s="103" t="str">
        <f>IF('Customer Base'!$I$15="MANUAL",IF(B298&lt;&gt;"",C298,""),IF('Customer Base'!$I$15="AUTOMATE",IF(A298&lt;&gt;"",C298,""),""))</f>
        <v>Victron Cerbo GX</v>
      </c>
      <c r="AO298" s="103">
        <f>IF('Customer Base'!$I$15="MANUAL",IFERROR(AM298*B298,""),IF('Customer Base'!$I$15="AUTOMATE",IFERROR(AM298*A298,""),""))</f>
        <v>0</v>
      </c>
      <c r="AV298" s="103">
        <f t="shared" si="59"/>
        <v>0</v>
      </c>
    </row>
    <row r="299" spans="1:48">
      <c r="C299" s="248" t="s">
        <v>2731</v>
      </c>
      <c r="D299" s="329">
        <v>320.57</v>
      </c>
      <c r="E299" s="329">
        <v>301.93599999999998</v>
      </c>
      <c r="F299" s="261">
        <f t="shared" si="60"/>
        <v>262.97785069729287</v>
      </c>
      <c r="G299" s="249">
        <f>IFERROR(ROUNDUP(F299*'Customer Base'!$J$5,2),0)</f>
        <v>4391.74</v>
      </c>
      <c r="H299" s="261">
        <f t="shared" si="61"/>
        <v>247.69155045118947</v>
      </c>
      <c r="I299" s="249">
        <f>IFERROR(ROUNDUP(H299*'Customer Base'!$J$5,2),0)</f>
        <v>4136.45</v>
      </c>
      <c r="J299" s="103" t="str">
        <f t="shared" si="57"/>
        <v/>
      </c>
      <c r="L299" s="103" t="str">
        <f t="shared" si="58"/>
        <v/>
      </c>
      <c r="N299" s="103">
        <v>308</v>
      </c>
      <c r="O299" s="103" t="str">
        <f>IF('Customer Base'!$I$15="MANUAL",IF(B299&lt;&gt;"",C299,""),IF('Customer Base'!$I$15="AUTOMATE",IF(A299&lt;&gt;"",C299,""),""))</f>
        <v/>
      </c>
      <c r="AO299" s="103">
        <f>IF('Customer Base'!$I$15="MANUAL",IFERROR(AM299*B299,""),IF('Customer Base'!$I$15="AUTOMATE",IFERROR(AM299*A299,""),""))</f>
        <v>0</v>
      </c>
      <c r="AV299" s="103">
        <f t="shared" si="59"/>
        <v>0</v>
      </c>
    </row>
    <row r="300" spans="1:48">
      <c r="C300" s="248" t="s">
        <v>2732</v>
      </c>
      <c r="D300" s="329">
        <v>220.33</v>
      </c>
      <c r="E300" s="329">
        <v>207.52199999999999</v>
      </c>
      <c r="F300" s="261">
        <f t="shared" si="60"/>
        <v>180.74651353568498</v>
      </c>
      <c r="G300" s="249">
        <f>IFERROR(ROUNDUP(F300*'Customer Base'!$J$5,2),0)</f>
        <v>3018.4700000000003</v>
      </c>
      <c r="H300" s="261">
        <f t="shared" si="61"/>
        <v>170.23954060705495</v>
      </c>
      <c r="I300" s="249">
        <f>IFERROR(ROUNDUP(H300*'Customer Base'!$J$5,2),0)</f>
        <v>2843.01</v>
      </c>
      <c r="J300" s="103" t="str">
        <f t="shared" si="57"/>
        <v/>
      </c>
      <c r="L300" s="103" t="str">
        <f t="shared" si="58"/>
        <v/>
      </c>
      <c r="N300" s="103">
        <v>309</v>
      </c>
      <c r="O300" s="103" t="str">
        <f>IF('Customer Base'!$I$15="MANUAL",IF(B300&lt;&gt;"",C300,""),IF('Customer Base'!$I$15="AUTOMATE",IF(A300&lt;&gt;"",C300,""),""))</f>
        <v/>
      </c>
      <c r="AO300" s="103">
        <f>IF('Customer Base'!$I$15="MANUAL",IFERROR(AM300*B300,""),IF('Customer Base'!$I$15="AUTOMATE",IFERROR(AM300*A300,""),""))</f>
        <v>0</v>
      </c>
      <c r="AV300" s="103">
        <f t="shared" si="59"/>
        <v>0</v>
      </c>
    </row>
    <row r="301" spans="1:48">
      <c r="A301" s="103" t="str">
        <f>IF(AND('Customer Base'!D$34="Yes",A298=1),1,"")</f>
        <v/>
      </c>
      <c r="B301" s="270" t="s">
        <v>1</v>
      </c>
      <c r="C301" s="248" t="s">
        <v>2835</v>
      </c>
      <c r="D301" s="329">
        <v>210.08</v>
      </c>
      <c r="E301" s="329">
        <v>208.32</v>
      </c>
      <c r="F301" s="261">
        <f t="shared" si="60"/>
        <v>172.33798195242002</v>
      </c>
      <c r="G301" s="249">
        <f>IFERROR(ROUNDUP(F301*'Customer Base'!$J$5,2),0)</f>
        <v>2878.05</v>
      </c>
      <c r="H301" s="261">
        <f t="shared" si="61"/>
        <v>170.89417555373254</v>
      </c>
      <c r="I301" s="249">
        <f>IFERROR(ROUNDUP(H301*'Customer Base'!$J$5,2),0)</f>
        <v>2853.94</v>
      </c>
      <c r="J301" s="103" t="str">
        <f t="shared" si="57"/>
        <v/>
      </c>
      <c r="L301" s="103" t="str">
        <f t="shared" si="58"/>
        <v/>
      </c>
      <c r="N301" s="103">
        <v>310</v>
      </c>
      <c r="O301" s="103" t="str">
        <f>IF('Customer Base'!$I$15="MANUAL",IF(B301&lt;&gt;"",C301,""),IF('Customer Base'!$I$15="AUTOMATE",IF(A301&lt;&gt;"",C301,""),""))</f>
        <v/>
      </c>
    </row>
    <row r="302" spans="1:48">
      <c r="A302" s="103" t="str">
        <f>IF(AND('Customer Base'!D$34="Yes",A298=1),1,"")</f>
        <v/>
      </c>
      <c r="B302" s="270" t="s">
        <v>1</v>
      </c>
      <c r="C302" s="248" t="s">
        <v>1031</v>
      </c>
      <c r="D302" s="329">
        <v>15.34</v>
      </c>
      <c r="E302" s="329">
        <v>14.4504</v>
      </c>
      <c r="F302" s="261">
        <f t="shared" si="60"/>
        <v>12.584085315832649</v>
      </c>
      <c r="G302" s="249">
        <f>IFERROR(ROUNDUP(F302*'Customer Base'!$J$5,2),0)</f>
        <v>210.16</v>
      </c>
      <c r="H302" s="261">
        <f t="shared" si="61"/>
        <v>11.85430680885972</v>
      </c>
      <c r="I302" s="249">
        <f>IFERROR(ROUNDUP(H302*'Customer Base'!$J$5,2),0)</f>
        <v>197.97</v>
      </c>
      <c r="J302" s="103" t="str">
        <f t="shared" si="57"/>
        <v/>
      </c>
      <c r="L302" s="103" t="str">
        <f t="shared" si="58"/>
        <v/>
      </c>
      <c r="N302" s="103">
        <v>311</v>
      </c>
      <c r="O302" s="103" t="str">
        <f>IF('Customer Base'!$I$15="MANUAL",IF(B302&lt;&gt;"",C302,""),IF('Customer Base'!$I$15="AUTOMATE",IF(A302&lt;&gt;"",C302,""),""))</f>
        <v/>
      </c>
      <c r="AO302" s="103" t="str">
        <f>IF('Customer Base'!$I$15="MANUAL",IFERROR(AM302*B302,""),IF('Customer Base'!$I$15="AUTOMATE",IFERROR(AM302*A302,""),""))</f>
        <v/>
      </c>
      <c r="AV302" s="103">
        <f t="shared" si="59"/>
        <v>0</v>
      </c>
    </row>
    <row r="303" spans="1:48">
      <c r="C303" s="248" t="s">
        <v>1032</v>
      </c>
      <c r="D303" s="329">
        <v>20.78</v>
      </c>
      <c r="E303" s="329">
        <v>19.57</v>
      </c>
      <c r="F303" s="261">
        <f t="shared" si="60"/>
        <v>17.0467596390484</v>
      </c>
      <c r="G303" s="249">
        <f>IFERROR(ROUNDUP(F303*'Customer Base'!$J$5,2),0)</f>
        <v>284.69</v>
      </c>
      <c r="H303" s="261">
        <f t="shared" si="61"/>
        <v>16.054142739950777</v>
      </c>
      <c r="I303" s="249">
        <f>IFERROR(ROUNDUP(H303*'Customer Base'!$J$5,2),0)</f>
        <v>268.11</v>
      </c>
      <c r="J303" s="103" t="str">
        <f t="shared" si="57"/>
        <v/>
      </c>
      <c r="L303" s="103" t="str">
        <f t="shared" si="58"/>
        <v/>
      </c>
      <c r="N303" s="103">
        <v>312</v>
      </c>
      <c r="O303" s="103" t="str">
        <f>IF('Customer Base'!$I$15="MANUAL",IF(B303&lt;&gt;"",C303,""),IF('Customer Base'!$I$15="AUTOMATE",IF(A303&lt;&gt;"",C303,""),""))</f>
        <v/>
      </c>
      <c r="AO303" s="103">
        <f>IF('Customer Base'!$I$15="MANUAL",IFERROR(AM303*B303,""),IF('Customer Base'!$I$15="AUTOMATE",IFERROR(AM303*A303,""),""))</f>
        <v>0</v>
      </c>
      <c r="AV303" s="103">
        <f t="shared" si="59"/>
        <v>0</v>
      </c>
    </row>
    <row r="304" spans="1:48">
      <c r="C304" s="248" t="s">
        <v>2733</v>
      </c>
      <c r="D304" s="329">
        <v>17.170000000000002</v>
      </c>
      <c r="E304" s="329">
        <v>16.167999999999999</v>
      </c>
      <c r="F304" s="261">
        <f t="shared" si="60"/>
        <v>14.085315832649714</v>
      </c>
      <c r="G304" s="249">
        <f>IFERROR(ROUNDUP(F304*'Customer Base'!$J$5,2),0)</f>
        <v>235.23</v>
      </c>
      <c r="H304" s="261">
        <f t="shared" si="61"/>
        <v>13.263330598851516</v>
      </c>
      <c r="I304" s="249">
        <f>IFERROR(ROUNDUP(H304*'Customer Base'!$J$5,2),0)</f>
        <v>221.5</v>
      </c>
      <c r="J304" s="103" t="str">
        <f t="shared" si="57"/>
        <v/>
      </c>
      <c r="L304" s="103" t="str">
        <f t="shared" si="58"/>
        <v/>
      </c>
      <c r="N304" s="103">
        <v>313</v>
      </c>
      <c r="O304" s="103" t="str">
        <f>IF('Customer Base'!$I$15="MANUAL",IF(B304&lt;&gt;"",C304,""),IF('Customer Base'!$I$15="AUTOMATE",IF(A304&lt;&gt;"",C304,""),""))</f>
        <v/>
      </c>
      <c r="AO304" s="103">
        <f>IF('Customer Base'!$I$15="MANUAL",IFERROR(AM304*B304,""),IF('Customer Base'!$I$15="AUTOMATE",IFERROR(AM304*A304,""),""))</f>
        <v>0</v>
      </c>
      <c r="AV304" s="103">
        <f t="shared" si="59"/>
        <v>0</v>
      </c>
    </row>
    <row r="305" spans="3:48">
      <c r="C305" s="248" t="s">
        <v>1549</v>
      </c>
      <c r="D305" s="329">
        <v>438.86</v>
      </c>
      <c r="E305" s="329">
        <v>413.34300000000002</v>
      </c>
      <c r="F305" s="261">
        <f t="shared" si="60"/>
        <v>360.01640689089419</v>
      </c>
      <c r="G305" s="249">
        <f>IFERROR(ROUNDUP(F305*'Customer Base'!$J$5,2),0)</f>
        <v>6012.2800000000007</v>
      </c>
      <c r="H305" s="261">
        <f t="shared" si="61"/>
        <v>339.0836751435603</v>
      </c>
      <c r="I305" s="249">
        <f>IFERROR(ROUNDUP(H305*'Customer Base'!$J$5,2),0)</f>
        <v>5662.7</v>
      </c>
      <c r="J305" s="103" t="str">
        <f t="shared" si="57"/>
        <v/>
      </c>
      <c r="L305" s="103" t="str">
        <f t="shared" si="58"/>
        <v/>
      </c>
      <c r="N305" s="103">
        <v>314</v>
      </c>
      <c r="O305" s="103" t="str">
        <f>IF('Customer Base'!$I$15="MANUAL",IF(B305&lt;&gt;"",C305,""),IF('Customer Base'!$I$15="AUTOMATE",IF(A305&lt;&gt;"",C305,""),""))</f>
        <v/>
      </c>
      <c r="AO305" s="103">
        <f>IF('Customer Base'!$I$15="MANUAL",IFERROR(AM305*B305,""),IF('Customer Base'!$I$15="AUTOMATE",IFERROR(AM305*A305,""),""))</f>
        <v>0</v>
      </c>
      <c r="AV305" s="103">
        <f t="shared" si="59"/>
        <v>0</v>
      </c>
    </row>
    <row r="306" spans="3:48">
      <c r="C306" s="248" t="s">
        <v>2734</v>
      </c>
      <c r="D306" s="329">
        <v>570.70000000000005</v>
      </c>
      <c r="E306" s="329">
        <v>537.51599999999996</v>
      </c>
      <c r="F306" s="261">
        <f t="shared" si="60"/>
        <v>468.17063166529942</v>
      </c>
      <c r="G306" s="249">
        <f>IFERROR(ROUNDUP(F306*'Customer Base'!$J$5,2),0)</f>
        <v>7818.45</v>
      </c>
      <c r="H306" s="261">
        <f t="shared" si="61"/>
        <v>440.94831829368331</v>
      </c>
      <c r="I306" s="249">
        <f>IFERROR(ROUNDUP(H306*'Customer Base'!$J$5,2),0)</f>
        <v>7363.84</v>
      </c>
      <c r="J306" s="103" t="str">
        <f t="shared" si="57"/>
        <v/>
      </c>
      <c r="L306" s="103" t="str">
        <f t="shared" si="58"/>
        <v/>
      </c>
      <c r="N306" s="103">
        <v>315</v>
      </c>
      <c r="O306" s="103" t="str">
        <f>IF('Customer Base'!$I$15="MANUAL",IF(B306&lt;&gt;"",C306,""),IF('Customer Base'!$I$15="AUTOMATE",IF(A306&lt;&gt;"",C306,""),""))</f>
        <v/>
      </c>
      <c r="AO306" s="103">
        <f>IF('Customer Base'!$I$15="MANUAL",IFERROR(AM306*B306,""),IF('Customer Base'!$I$15="AUTOMATE",IFERROR(AM306*A306,""),""))</f>
        <v>0</v>
      </c>
      <c r="AV306" s="103">
        <f t="shared" si="59"/>
        <v>0</v>
      </c>
    </row>
    <row r="307" spans="3:48">
      <c r="C307" s="248" t="s">
        <v>889</v>
      </c>
      <c r="D307" s="329">
        <v>248.33</v>
      </c>
      <c r="E307" s="329">
        <v>233.89599999999999</v>
      </c>
      <c r="F307" s="261">
        <f t="shared" si="60"/>
        <v>203.71616078753075</v>
      </c>
      <c r="G307" s="249">
        <f>IFERROR(ROUNDUP(F307*'Customer Base'!$J$5,2),0)</f>
        <v>3402.0600000000004</v>
      </c>
      <c r="H307" s="261">
        <f t="shared" si="61"/>
        <v>191.87530762920423</v>
      </c>
      <c r="I307" s="249">
        <f>IFERROR(ROUNDUP(H307*'Customer Base'!$J$5,2),0)</f>
        <v>3204.32</v>
      </c>
      <c r="J307" s="103" t="str">
        <f t="shared" si="57"/>
        <v/>
      </c>
      <c r="L307" s="103" t="str">
        <f t="shared" si="58"/>
        <v/>
      </c>
      <c r="N307" s="103">
        <v>316</v>
      </c>
      <c r="O307" s="103" t="str">
        <f>IF('Customer Base'!$I$15="MANUAL",IF(B307&lt;&gt;"",C307,""),IF('Customer Base'!$I$15="AUTOMATE",IF(A307&lt;&gt;"",C307,""),""))</f>
        <v/>
      </c>
      <c r="AO307" s="103">
        <f>IF('Customer Base'!$I$15="MANUAL",IFERROR(AM307*B307,""),IF('Customer Base'!$I$15="AUTOMATE",IFERROR(AM307*A307,""),""))</f>
        <v>0</v>
      </c>
      <c r="AV307" s="103">
        <f t="shared" si="59"/>
        <v>0</v>
      </c>
    </row>
    <row r="308" spans="3:48">
      <c r="C308" s="248" t="s">
        <v>890</v>
      </c>
      <c r="D308" s="329">
        <v>22.57</v>
      </c>
      <c r="E308" s="329">
        <v>21.254000000000001</v>
      </c>
      <c r="F308" s="261">
        <f t="shared" si="60"/>
        <v>18.515176374077111</v>
      </c>
      <c r="G308" s="249">
        <f>IFERROR(ROUNDUP(F308*'Customer Base'!$J$5,2),0)</f>
        <v>309.20999999999998</v>
      </c>
      <c r="H308" s="261">
        <f t="shared" si="61"/>
        <v>17.435602953240362</v>
      </c>
      <c r="I308" s="249">
        <f>IFERROR(ROUNDUP(H308*'Customer Base'!$J$5,2),0)</f>
        <v>291.18</v>
      </c>
      <c r="J308" s="103" t="str">
        <f t="shared" si="57"/>
        <v/>
      </c>
      <c r="L308" s="103" t="str">
        <f t="shared" si="58"/>
        <v/>
      </c>
      <c r="N308" s="103">
        <v>317</v>
      </c>
      <c r="O308" s="103" t="str">
        <f>IF('Customer Base'!$I$15="MANUAL",IF(B308&lt;&gt;"",C308,""),IF('Customer Base'!$I$15="AUTOMATE",IF(A308&lt;&gt;"",C308,""),""))</f>
        <v/>
      </c>
      <c r="AO308" s="103">
        <f>IF('Customer Base'!$I$15="MANUAL",IFERROR(AM308*B308,""),IF('Customer Base'!$I$15="AUTOMATE",IFERROR(AM308*A308,""),""))</f>
        <v>0</v>
      </c>
      <c r="AV308" s="103">
        <f t="shared" si="59"/>
        <v>0</v>
      </c>
    </row>
    <row r="309" spans="3:48">
      <c r="C309" s="248" t="s">
        <v>2735</v>
      </c>
      <c r="D309" s="329">
        <v>134.54</v>
      </c>
      <c r="E309" s="329">
        <v>126.71599999999999</v>
      </c>
      <c r="F309" s="261">
        <f t="shared" si="60"/>
        <v>110.36915504511893</v>
      </c>
      <c r="G309" s="249">
        <f>IFERROR(ROUNDUP(F309*'Customer Base'!$J$5,2),0)</f>
        <v>1843.17</v>
      </c>
      <c r="H309" s="261">
        <f t="shared" si="61"/>
        <v>103.95077932731746</v>
      </c>
      <c r="I309" s="249">
        <f>IFERROR(ROUNDUP(H309*'Customer Base'!$J$5,2),0)</f>
        <v>1735.98</v>
      </c>
      <c r="J309" s="103" t="str">
        <f t="shared" si="57"/>
        <v/>
      </c>
      <c r="L309" s="103" t="str">
        <f t="shared" si="58"/>
        <v/>
      </c>
      <c r="N309" s="103">
        <v>318</v>
      </c>
      <c r="O309" s="103" t="str">
        <f>IF('Customer Base'!$I$15="MANUAL",IF(B309&lt;&gt;"",C309,""),IF('Customer Base'!$I$15="AUTOMATE",IF(A309&lt;&gt;"",C309,""),""))</f>
        <v/>
      </c>
      <c r="AO309" s="103">
        <f>IF('Customer Base'!$I$15="MANUAL",IFERROR(AM309*B309,""),IF('Customer Base'!$I$15="AUTOMATE",IFERROR(AM309*A309,""),""))</f>
        <v>0</v>
      </c>
      <c r="AV309" s="103">
        <f t="shared" si="59"/>
        <v>0</v>
      </c>
    </row>
    <row r="310" spans="3:48">
      <c r="C310" s="248" t="s">
        <v>896</v>
      </c>
      <c r="D310" s="329">
        <v>35.909999999999997</v>
      </c>
      <c r="E310" s="329">
        <v>32.319000000000003</v>
      </c>
      <c r="F310" s="261">
        <f t="shared" si="60"/>
        <v>29.4585726004922</v>
      </c>
      <c r="G310" s="249">
        <f>IFERROR(ROUNDUP(F310*'Customer Base'!$J$5,2),0)</f>
        <v>491.96</v>
      </c>
      <c r="H310" s="261">
        <f t="shared" si="61"/>
        <v>26.512715340442988</v>
      </c>
      <c r="I310" s="249">
        <f>IFERROR(ROUNDUP(H310*'Customer Base'!$J$5,2),0)</f>
        <v>442.77</v>
      </c>
      <c r="J310" s="103" t="str">
        <f t="shared" si="57"/>
        <v/>
      </c>
      <c r="L310" s="103" t="str">
        <f t="shared" si="58"/>
        <v/>
      </c>
      <c r="N310" s="103">
        <v>319</v>
      </c>
      <c r="O310" s="103" t="str">
        <f>IF('Customer Base'!$I$15="MANUAL",IF(B310&lt;&gt;"",C310,""),IF('Customer Base'!$I$15="AUTOMATE",IF(A310&lt;&gt;"",C310,""),""))</f>
        <v/>
      </c>
      <c r="AO310" s="103">
        <f>IF('Customer Base'!$I$15="MANUAL",IFERROR(AM310*B310,""),IF('Customer Base'!$I$15="AUTOMATE",IFERROR(AM310*A310,""),""))</f>
        <v>0</v>
      </c>
      <c r="AV310" s="103">
        <f t="shared" si="59"/>
        <v>0</v>
      </c>
    </row>
    <row r="311" spans="3:48">
      <c r="C311" s="248" t="s">
        <v>1625</v>
      </c>
      <c r="D311" s="329">
        <v>24.57</v>
      </c>
      <c r="E311" s="329">
        <v>22.113</v>
      </c>
      <c r="F311" s="261">
        <f t="shared" ref="F311:F376" si="62">$D311/1.219</f>
        <v>20.155865463494667</v>
      </c>
      <c r="G311" s="249">
        <f>IFERROR(ROUNDUP(F311*'Customer Base'!$J$5,2),0)</f>
        <v>336.61</v>
      </c>
      <c r="H311" s="261">
        <f t="shared" ref="H311:H376" si="63">$E311/1.219</f>
        <v>18.140278917145199</v>
      </c>
      <c r="I311" s="249">
        <f>IFERROR(ROUNDUP(H311*'Customer Base'!$J$5,2),0)</f>
        <v>302.95</v>
      </c>
      <c r="J311" s="103" t="str">
        <f t="shared" si="57"/>
        <v/>
      </c>
      <c r="L311" s="103" t="str">
        <f t="shared" si="58"/>
        <v/>
      </c>
      <c r="N311" s="103">
        <v>320</v>
      </c>
      <c r="O311" s="103" t="str">
        <f>IF('Customer Base'!$I$15="MANUAL",IF(B311&lt;&gt;"",C311,""),IF('Customer Base'!$I$15="AUTOMATE",IF(A311&lt;&gt;"",C311,""),""))</f>
        <v/>
      </c>
      <c r="AO311" s="103">
        <f>IF('Customer Base'!$I$15="MANUAL",IFERROR(AM311*B311,""),IF('Customer Base'!$I$15="AUTOMATE",IFERROR(AM311*A311,""),""))</f>
        <v>0</v>
      </c>
      <c r="AV311" s="103">
        <f t="shared" si="59"/>
        <v>0</v>
      </c>
    </row>
    <row r="312" spans="3:48">
      <c r="C312" s="248" t="s">
        <v>897</v>
      </c>
      <c r="D312" s="329">
        <v>39.69</v>
      </c>
      <c r="E312" s="329">
        <v>35.720999999999997</v>
      </c>
      <c r="F312" s="261">
        <f t="shared" si="62"/>
        <v>32.559474979491384</v>
      </c>
      <c r="G312" s="249">
        <f>IFERROR(ROUNDUP(F312*'Customer Base'!$J$5,2),0)</f>
        <v>543.75</v>
      </c>
      <c r="H312" s="261">
        <f t="shared" si="63"/>
        <v>29.303527481542243</v>
      </c>
      <c r="I312" s="249">
        <f>IFERROR(ROUNDUP(H312*'Customer Base'!$J$5,2),0)</f>
        <v>489.37</v>
      </c>
      <c r="J312" s="103" t="str">
        <f t="shared" si="57"/>
        <v/>
      </c>
      <c r="L312" s="103" t="str">
        <f t="shared" si="58"/>
        <v/>
      </c>
      <c r="N312" s="103">
        <v>321</v>
      </c>
      <c r="O312" s="103" t="str">
        <f>IF('Customer Base'!$I$15="MANUAL",IF(B312&lt;&gt;"",C312,""),IF('Customer Base'!$I$15="AUTOMATE",IF(A312&lt;&gt;"",C312,""),""))</f>
        <v/>
      </c>
      <c r="AO312" s="103">
        <f>IF('Customer Base'!$I$15="MANUAL",IFERROR(AM312*B312,""),IF('Customer Base'!$I$15="AUTOMATE",IFERROR(AM312*A312,""),""))</f>
        <v>0</v>
      </c>
      <c r="AV312" s="103">
        <f t="shared" si="59"/>
        <v>0</v>
      </c>
    </row>
    <row r="313" spans="3:48">
      <c r="C313" s="226"/>
      <c r="D313" s="324"/>
      <c r="E313" s="324"/>
      <c r="F313" s="256">
        <f t="shared" si="62"/>
        <v>0</v>
      </c>
      <c r="H313" s="256">
        <f t="shared" si="63"/>
        <v>0</v>
      </c>
      <c r="I313" s="224"/>
      <c r="J313" s="103" t="str">
        <f t="shared" si="57"/>
        <v/>
      </c>
      <c r="L313" s="103" t="str">
        <f t="shared" si="58"/>
        <v/>
      </c>
      <c r="N313" s="103">
        <v>322</v>
      </c>
      <c r="O313" s="103" t="str">
        <f>IF('Customer Base'!$I$15="MANUAL",IF(B313&lt;&gt;"",C313,""),IF('Customer Base'!$I$15="AUTOMATE",IF(A313&lt;&gt;"",C313,""),""))</f>
        <v/>
      </c>
      <c r="AO313" s="103">
        <f>IF('Customer Base'!$I$15="MANUAL",IFERROR(AM313*B313,""),IF('Customer Base'!$I$15="AUTOMATE",IFERROR(AM313*A313,""),""))</f>
        <v>0</v>
      </c>
      <c r="AV313" s="103">
        <f t="shared" si="59"/>
        <v>0</v>
      </c>
    </row>
    <row r="314" spans="3:48">
      <c r="C314" s="244" t="s">
        <v>2737</v>
      </c>
      <c r="D314" s="326">
        <v>173.38</v>
      </c>
      <c r="E314" s="326">
        <v>163.29599999999999</v>
      </c>
      <c r="F314" s="258">
        <f t="shared" si="62"/>
        <v>142.23133716160785</v>
      </c>
      <c r="G314" s="245">
        <f>IFERROR(ROUNDUP(F314*'Customer Base'!$J$5,2),0)</f>
        <v>2375.2700000000004</v>
      </c>
      <c r="H314" s="258">
        <f t="shared" si="63"/>
        <v>133.95898277276456</v>
      </c>
      <c r="I314" s="245">
        <f>IFERROR(ROUNDUP(H314*'Customer Base'!$J$5,2),0)</f>
        <v>2237.1200000000003</v>
      </c>
      <c r="J314" s="103" t="str">
        <f t="shared" si="57"/>
        <v/>
      </c>
      <c r="L314" s="103" t="str">
        <f t="shared" si="58"/>
        <v/>
      </c>
      <c r="N314" s="103">
        <v>323</v>
      </c>
      <c r="O314" s="103" t="str">
        <f>IF('Customer Base'!$I$15="MANUAL",IF(B314&lt;&gt;"",C314,""),IF('Customer Base'!$I$15="AUTOMATE",IF(A314&lt;&gt;"",C314,""),""))</f>
        <v/>
      </c>
      <c r="AO314" s="103">
        <f>IF('Customer Base'!$I$15="MANUAL",IFERROR(AM314*B314,""),IF('Customer Base'!$I$15="AUTOMATE",IFERROR(AM314*A314,""),""))</f>
        <v>0</v>
      </c>
      <c r="AV314" s="103">
        <f t="shared" si="59"/>
        <v>0</v>
      </c>
    </row>
    <row r="315" spans="3:48">
      <c r="C315" s="244" t="s">
        <v>892</v>
      </c>
      <c r="D315" s="326">
        <v>56.9</v>
      </c>
      <c r="E315" s="326">
        <v>53.59</v>
      </c>
      <c r="F315" s="258">
        <f t="shared" si="62"/>
        <v>46.677604593929445</v>
      </c>
      <c r="G315" s="245">
        <f>IFERROR(ROUNDUP(F315*'Customer Base'!$J$5,2),0)</f>
        <v>779.52</v>
      </c>
      <c r="H315" s="258">
        <f t="shared" si="63"/>
        <v>43.962264150943398</v>
      </c>
      <c r="I315" s="245">
        <f>IFERROR(ROUNDUP(H315*'Customer Base'!$J$5,2),0)</f>
        <v>734.17</v>
      </c>
      <c r="J315" s="103" t="str">
        <f t="shared" si="57"/>
        <v/>
      </c>
      <c r="L315" s="103" t="str">
        <f t="shared" si="58"/>
        <v/>
      </c>
      <c r="N315" s="103">
        <v>324</v>
      </c>
      <c r="O315" s="103" t="str">
        <f>IF('Customer Base'!$I$15="MANUAL",IF(B315&lt;&gt;"",C315,""),IF('Customer Base'!$I$15="AUTOMATE",IF(A315&lt;&gt;"",C315,""),""))</f>
        <v/>
      </c>
      <c r="AO315" s="103">
        <f>IF('Customer Base'!$I$15="MANUAL",IFERROR(AM315*B315,""),IF('Customer Base'!$I$15="AUTOMATE",IFERROR(AM315*A315,""),""))</f>
        <v>0</v>
      </c>
      <c r="AV315" s="103">
        <f t="shared" si="59"/>
        <v>0</v>
      </c>
    </row>
    <row r="316" spans="3:48">
      <c r="C316" s="244" t="s">
        <v>893</v>
      </c>
      <c r="D316" s="326">
        <v>100.24</v>
      </c>
      <c r="E316" s="326">
        <v>94.414000000000001</v>
      </c>
      <c r="F316" s="258">
        <f t="shared" si="62"/>
        <v>82.231337161607868</v>
      </c>
      <c r="G316" s="245">
        <f>IFERROR(ROUNDUP(F316*'Customer Base'!$J$5,2),0)</f>
        <v>1373.27</v>
      </c>
      <c r="H316" s="258">
        <f t="shared" si="63"/>
        <v>77.452009844134537</v>
      </c>
      <c r="I316" s="245">
        <f>IFERROR(ROUNDUP(H316*'Customer Base'!$J$5,2),0)</f>
        <v>1293.45</v>
      </c>
      <c r="J316" s="103" t="str">
        <f t="shared" si="57"/>
        <v/>
      </c>
      <c r="L316" s="103" t="str">
        <f t="shared" si="58"/>
        <v/>
      </c>
      <c r="N316" s="103">
        <v>325</v>
      </c>
      <c r="O316" s="103" t="str">
        <f>IF('Customer Base'!$I$15="MANUAL",IF(B316&lt;&gt;"",C316,""),IF('Customer Base'!$I$15="AUTOMATE",IF(A316&lt;&gt;"",C316,""),""))</f>
        <v/>
      </c>
      <c r="AO316" s="103">
        <f>IF('Customer Base'!$I$15="MANUAL",IFERROR(AM316*B316,""),IF('Customer Base'!$I$15="AUTOMATE",IFERROR(AM316*A316,""),""))</f>
        <v>0</v>
      </c>
      <c r="AV316" s="103">
        <f t="shared" si="59"/>
        <v>0</v>
      </c>
    </row>
    <row r="317" spans="3:48">
      <c r="C317" s="244" t="s">
        <v>2736</v>
      </c>
      <c r="D317" s="326">
        <v>133.63999999999999</v>
      </c>
      <c r="E317" s="326">
        <v>125.874</v>
      </c>
      <c r="F317" s="258">
        <f t="shared" si="62"/>
        <v>109.63084495488103</v>
      </c>
      <c r="G317" s="245">
        <f>IFERROR(ROUNDUP(F317*'Customer Base'!$J$5,2),0)</f>
        <v>1830.84</v>
      </c>
      <c r="H317" s="258">
        <f t="shared" si="63"/>
        <v>103.26004922067267</v>
      </c>
      <c r="I317" s="245">
        <f>IFERROR(ROUNDUP(H317*'Customer Base'!$J$5,2),0)</f>
        <v>1724.45</v>
      </c>
      <c r="J317" s="103" t="str">
        <f t="shared" si="57"/>
        <v/>
      </c>
      <c r="L317" s="103" t="str">
        <f t="shared" si="58"/>
        <v/>
      </c>
      <c r="N317" s="103">
        <v>326</v>
      </c>
      <c r="O317" s="103" t="str">
        <f>IF('Customer Base'!$I$15="MANUAL",IF(B317&lt;&gt;"",C317,""),IF('Customer Base'!$I$15="AUTOMATE",IF(A317&lt;&gt;"",C317,""),""))</f>
        <v/>
      </c>
      <c r="AO317" s="103">
        <f>IF('Customer Base'!$I$15="MANUAL",IFERROR(AM317*B317,""),IF('Customer Base'!$I$15="AUTOMATE",IFERROR(AM317*A317,""),""))</f>
        <v>0</v>
      </c>
    </row>
    <row r="318" spans="3:48">
      <c r="C318" s="244" t="s">
        <v>891</v>
      </c>
      <c r="D318" s="326">
        <v>146.29</v>
      </c>
      <c r="E318" s="326">
        <v>137.78100000000001</v>
      </c>
      <c r="F318" s="258">
        <f t="shared" si="62"/>
        <v>120.00820344544708</v>
      </c>
      <c r="G318" s="245">
        <f>IFERROR(ROUNDUP(F318*'Customer Base'!$J$5,2),0)</f>
        <v>2004.14</v>
      </c>
      <c r="H318" s="258">
        <f t="shared" si="63"/>
        <v>113.02789171452009</v>
      </c>
      <c r="I318" s="245">
        <f>IFERROR(ROUNDUP(H318*'Customer Base'!$J$5,2),0)</f>
        <v>1887.57</v>
      </c>
      <c r="J318" s="103" t="str">
        <f t="shared" si="57"/>
        <v/>
      </c>
      <c r="L318" s="103" t="str">
        <f t="shared" si="58"/>
        <v/>
      </c>
      <c r="N318" s="103">
        <v>327</v>
      </c>
      <c r="O318" s="103" t="str">
        <f>IF('Customer Base'!$I$15="MANUAL",IF(B318&lt;&gt;"",C318,""),IF('Customer Base'!$I$15="AUTOMATE",IF(A318&lt;&gt;"",C318,""),""))</f>
        <v/>
      </c>
      <c r="AO318" s="103">
        <f>IF('Customer Base'!$I$15="MANUAL",IFERROR(AM318*B318,""),IF('Customer Base'!$I$15="AUTOMATE",IFERROR(AM318*A318,""),""))</f>
        <v>0</v>
      </c>
      <c r="AV318" s="103">
        <f t="shared" si="59"/>
        <v>0</v>
      </c>
    </row>
    <row r="319" spans="3:48">
      <c r="C319" s="226"/>
      <c r="D319" s="324"/>
      <c r="E319" s="324"/>
      <c r="F319" s="256"/>
      <c r="H319" s="256"/>
      <c r="I319" s="224"/>
      <c r="J319" s="103" t="str">
        <f t="shared" si="57"/>
        <v/>
      </c>
      <c r="L319" s="103" t="str">
        <f t="shared" si="58"/>
        <v/>
      </c>
      <c r="N319" s="103">
        <v>328</v>
      </c>
      <c r="O319" s="103" t="str">
        <f>IF('Customer Base'!$I$15="MANUAL",IF(B319&lt;&gt;"",C319,""),IF('Customer Base'!$I$15="AUTOMATE",IF(A319&lt;&gt;"",C319,""),""))</f>
        <v/>
      </c>
      <c r="AO319" s="103">
        <f>IF('Customer Base'!$I$15="MANUAL",IFERROR(AM319*B319,""),IF('Customer Base'!$I$15="AUTOMATE",IFERROR(AM319*A319,""),""))</f>
        <v>0</v>
      </c>
      <c r="AV319" s="103">
        <f t="shared" si="59"/>
        <v>0</v>
      </c>
    </row>
    <row r="320" spans="3:48">
      <c r="C320" s="246" t="s">
        <v>1895</v>
      </c>
      <c r="D320" s="322"/>
      <c r="E320" s="322"/>
      <c r="F320" s="252">
        <f t="shared" si="62"/>
        <v>0</v>
      </c>
      <c r="G320" s="234"/>
      <c r="H320" s="252">
        <f t="shared" si="63"/>
        <v>0</v>
      </c>
      <c r="I320" s="234"/>
      <c r="J320" s="103" t="str">
        <f t="shared" si="57"/>
        <v/>
      </c>
      <c r="L320" s="103" t="str">
        <f t="shared" si="58"/>
        <v/>
      </c>
      <c r="N320" s="103">
        <v>329</v>
      </c>
      <c r="O320" s="103" t="str">
        <f>IF('Customer Base'!$I$15="MANUAL",IF(B320&lt;&gt;"",C320,""),IF('Customer Base'!$I$15="AUTOMATE",IF(A320&lt;&gt;"",C320,""),""))</f>
        <v/>
      </c>
      <c r="AO320" s="103">
        <f>IF('Customer Base'!$I$15="MANUAL",IFERROR(AM320*B320,""),IF('Customer Base'!$I$15="AUTOMATE",IFERROR(AM320*A320,""),""))</f>
        <v>0</v>
      </c>
      <c r="AV320" s="103">
        <f t="shared" si="59"/>
        <v>0</v>
      </c>
    </row>
    <row r="321" spans="1:48">
      <c r="C321" s="237" t="s">
        <v>948</v>
      </c>
      <c r="D321" s="267">
        <v>163.43</v>
      </c>
      <c r="E321" s="267">
        <v>153.93199999999999</v>
      </c>
      <c r="F321" s="238">
        <f t="shared" si="62"/>
        <v>134.06890894175552</v>
      </c>
      <c r="G321" s="238">
        <f>IFERROR(ROUNDUP(F321*'Customer Base'!$J$5,2),0)</f>
        <v>2238.96</v>
      </c>
      <c r="H321" s="238">
        <f t="shared" si="63"/>
        <v>126.27727645611155</v>
      </c>
      <c r="I321" s="238">
        <f>IFERROR(ROUNDUP(H321*'Customer Base'!$J$5,2),0)</f>
        <v>2108.84</v>
      </c>
      <c r="J321" s="103" t="str">
        <f t="shared" si="57"/>
        <v/>
      </c>
      <c r="L321" s="103" t="str">
        <f t="shared" si="58"/>
        <v/>
      </c>
      <c r="N321" s="103">
        <v>330</v>
      </c>
      <c r="O321" s="103" t="str">
        <f>IF('Customer Base'!$I$15="MANUAL",IF(B321&lt;&gt;"",C321,""),IF('Customer Base'!$I$15="AUTOMATE",IF(A321&lt;&gt;"",C321,""),""))</f>
        <v/>
      </c>
      <c r="AO321" s="103">
        <f>IF('Customer Base'!$I$15="MANUAL",IFERROR(AM321*B321,""),IF('Customer Base'!$I$15="AUTOMATE",IFERROR(AM321*A321,""),""))</f>
        <v>0</v>
      </c>
      <c r="AV321" s="103">
        <f t="shared" si="59"/>
        <v>0</v>
      </c>
    </row>
    <row r="322" spans="1:48">
      <c r="A322" s="103" t="str">
        <f>IF(AND('Customer Base'!D$19="Lithium",SUMPRODUCT(A$6:A$132,AW$6:AW$132)&gt;600,SUMPRODUCT(A$6:A$132,AW$6:AW$132)&lt;=1000),1,IF(SUMPRODUCT(A$6:A$132,AW$6:AW$132)&gt;1000,ROUNDUP(SUMPRODUCT(A$6:A$132,AW$6:AW$132)/1000,0),""))</f>
        <v/>
      </c>
      <c r="B322" s="270" t="s">
        <v>1</v>
      </c>
      <c r="C322" s="237" t="s">
        <v>2756</v>
      </c>
      <c r="D322" s="267">
        <v>223.94</v>
      </c>
      <c r="E322" s="267">
        <v>210.92400000000001</v>
      </c>
      <c r="F322" s="238">
        <f t="shared" si="62"/>
        <v>183.70795734208366</v>
      </c>
      <c r="G322" s="238">
        <f>IFERROR(ROUNDUP(F322*'Customer Base'!$J$5,2),0)</f>
        <v>3067.9300000000003</v>
      </c>
      <c r="H322" s="238">
        <f t="shared" si="63"/>
        <v>173.03035274815423</v>
      </c>
      <c r="I322" s="238">
        <f>IFERROR(ROUNDUP(H322*'Customer Base'!$J$5,2),0)</f>
        <v>2889.61</v>
      </c>
      <c r="J322" s="103" t="str">
        <f t="shared" si="57"/>
        <v/>
      </c>
      <c r="L322" s="103" t="str">
        <f t="shared" si="58"/>
        <v/>
      </c>
      <c r="N322" s="103">
        <v>331</v>
      </c>
      <c r="O322" s="103" t="str">
        <f>IF('Customer Base'!$I$15="MANUAL",IF(B322&lt;&gt;"",C322,""),IF('Customer Base'!$I$15="AUTOMATE",IF(A322&lt;&gt;"",C322,""),""))</f>
        <v/>
      </c>
      <c r="AO322" s="103" t="str">
        <f>IF('Customer Base'!$I$15="MANUAL",IFERROR(AM322*B322,""),IF('Customer Base'!$I$15="AUTOMATE",IFERROR(AM322*A322,""),""))</f>
        <v/>
      </c>
      <c r="AV322" s="103">
        <f t="shared" si="59"/>
        <v>0</v>
      </c>
    </row>
    <row r="323" spans="1:48">
      <c r="A323" s="103">
        <f>IF(AND('Customer Base'!D$19="Lithium",SUMPRODUCT(A$6:A$132,AW$6:AW$132)&gt;0,SUMPRODUCT(A$6:A$132,AW$6:AW$132)&lt;=150),2,"")</f>
        <v>2</v>
      </c>
      <c r="B323" s="270">
        <v>2</v>
      </c>
      <c r="C323" s="237" t="s">
        <v>2757</v>
      </c>
      <c r="D323" s="267">
        <v>18.95</v>
      </c>
      <c r="E323" s="267">
        <v>17.852</v>
      </c>
      <c r="F323" s="238">
        <f t="shared" si="62"/>
        <v>15.545529122231336</v>
      </c>
      <c r="G323" s="238">
        <f>IFERROR(ROUNDUP(F323*'Customer Base'!$J$5,2),0)</f>
        <v>259.62</v>
      </c>
      <c r="H323" s="238">
        <f t="shared" si="63"/>
        <v>14.644790812141098</v>
      </c>
      <c r="I323" s="238">
        <f>IFERROR(ROUNDUP(H323*'Customer Base'!$J$5,2),0)</f>
        <v>244.57</v>
      </c>
      <c r="J323" s="103" t="str">
        <f t="shared" si="57"/>
        <v/>
      </c>
      <c r="L323" s="103" t="str">
        <f t="shared" si="58"/>
        <v/>
      </c>
      <c r="N323" s="103">
        <v>332</v>
      </c>
      <c r="O323" s="103" t="str">
        <f>IF('Customer Base'!$I$15="MANUAL",IF(B323&lt;&gt;"",C323,""),IF('Customer Base'!$I$15="AUTOMATE",IF(A323&lt;&gt;"",C323,""),""))</f>
        <v>Victron Solar Busbar 150A 2P with 10 screws +cover</v>
      </c>
      <c r="AO323" s="103">
        <f>IF('Customer Base'!$I$15="MANUAL",IFERROR(AM323*B323,""),IF('Customer Base'!$I$15="AUTOMATE",IFERROR(AM323*A323,""),""))</f>
        <v>0</v>
      </c>
      <c r="AV323" s="103">
        <f t="shared" si="59"/>
        <v>0</v>
      </c>
    </row>
    <row r="324" spans="1:48">
      <c r="C324" s="237" t="s">
        <v>2758</v>
      </c>
      <c r="D324" s="267">
        <v>28.896000000000001</v>
      </c>
      <c r="E324" s="267">
        <v>27.216000000000001</v>
      </c>
      <c r="F324" s="238">
        <f t="shared" si="62"/>
        <v>23.70467596390484</v>
      </c>
      <c r="G324" s="238">
        <f>IFERROR(ROUNDUP(F324*'Customer Base'!$J$5,2),0)</f>
        <v>395.87</v>
      </c>
      <c r="H324" s="238">
        <f t="shared" si="63"/>
        <v>22.326497128794092</v>
      </c>
      <c r="I324" s="238">
        <f>IFERROR(ROUNDUP(H324*'Customer Base'!$J$5,2),0)</f>
        <v>372.86</v>
      </c>
      <c r="J324" s="103" t="str">
        <f t="shared" si="57"/>
        <v/>
      </c>
      <c r="L324" s="103" t="str">
        <f t="shared" si="58"/>
        <v/>
      </c>
      <c r="N324" s="103">
        <v>333</v>
      </c>
      <c r="O324" s="103" t="str">
        <f>IF('Customer Base'!$I$15="MANUAL",IF(B324&lt;&gt;"",C324,""),IF('Customer Base'!$I$15="AUTOMATE",IF(A324&lt;&gt;"",C324,""),""))</f>
        <v/>
      </c>
      <c r="AO324" s="103">
        <f>IF('Customer Base'!$I$15="MANUAL",IFERROR(AM324*B324,""),IF('Customer Base'!$I$15="AUTOMATE",IFERROR(AM324*A324,""),""))</f>
        <v>0</v>
      </c>
      <c r="AV324" s="103">
        <f t="shared" si="59"/>
        <v>0</v>
      </c>
    </row>
    <row r="325" spans="1:48">
      <c r="C325" s="237" t="s">
        <v>2759</v>
      </c>
      <c r="D325" s="267">
        <v>18.95</v>
      </c>
      <c r="E325" s="267">
        <v>17.852</v>
      </c>
      <c r="F325" s="238">
        <f t="shared" si="62"/>
        <v>15.545529122231336</v>
      </c>
      <c r="G325" s="238">
        <f>IFERROR(ROUNDUP(F325*'Customer Base'!$J$5,2),0)</f>
        <v>259.62</v>
      </c>
      <c r="H325" s="238">
        <f t="shared" si="63"/>
        <v>14.644790812141098</v>
      </c>
      <c r="I325" s="238">
        <f>IFERROR(ROUNDUP(H325*'Customer Base'!$J$5,2),0)</f>
        <v>244.57</v>
      </c>
      <c r="J325" s="103" t="str">
        <f t="shared" si="57"/>
        <v/>
      </c>
      <c r="L325" s="103" t="str">
        <f t="shared" si="58"/>
        <v/>
      </c>
      <c r="N325" s="103">
        <v>334</v>
      </c>
      <c r="O325" s="103" t="str">
        <f>IF('Customer Base'!$I$15="MANUAL",IF(B325&lt;&gt;"",C325,""),IF('Customer Base'!$I$15="AUTOMATE",IF(A325&lt;&gt;"",C325,""),""))</f>
        <v/>
      </c>
      <c r="AO325" s="103">
        <f>IF('Customer Base'!$I$15="MANUAL",IFERROR(AM325*B325,""),IF('Customer Base'!$I$15="AUTOMATE",IFERROR(AM325*A325,""),""))</f>
        <v>0</v>
      </c>
    </row>
    <row r="326" spans="1:48">
      <c r="C326" s="237" t="s">
        <v>998</v>
      </c>
      <c r="D326" s="267">
        <v>28</v>
      </c>
      <c r="E326" s="267">
        <v>26.373999999999999</v>
      </c>
      <c r="F326" s="238">
        <f t="shared" si="62"/>
        <v>22.969647251845775</v>
      </c>
      <c r="G326" s="238">
        <f>IFERROR(ROUNDUP(F326*'Customer Base'!$J$5,2),0)</f>
        <v>383.59999999999997</v>
      </c>
      <c r="H326" s="238">
        <f t="shared" si="63"/>
        <v>21.635767022149299</v>
      </c>
      <c r="I326" s="238">
        <f>IFERROR(ROUNDUP(H326*'Customer Base'!$J$5,2),0)</f>
        <v>361.32</v>
      </c>
      <c r="J326" s="103" t="str">
        <f t="shared" si="57"/>
        <v/>
      </c>
      <c r="L326" s="103" t="str">
        <f t="shared" si="58"/>
        <v/>
      </c>
      <c r="N326" s="103">
        <v>335</v>
      </c>
      <c r="O326" s="103" t="str">
        <f>IF('Customer Base'!$I$15="MANUAL",IF(B326&lt;&gt;"",C326,""),IF('Customer Base'!$I$15="AUTOMATE",IF(A326&lt;&gt;"",C326,""),""))</f>
        <v/>
      </c>
      <c r="AO326" s="103">
        <f>IF('Customer Base'!$I$15="MANUAL",IFERROR(AM326*B326,""),IF('Customer Base'!$I$15="AUTOMATE",IFERROR(AM326*A326,""),""))</f>
        <v>0</v>
      </c>
    </row>
    <row r="327" spans="1:48">
      <c r="A327" s="103" t="str">
        <f>IF(AND('Customer Base'!D$19="Lithium",SUMPRODUCT(A$6:A$132,AW$6:AW$132)&gt;150,SUMPRODUCT(A$6:A$132,AW$6:AW$132)&lt;=250),2,"")</f>
        <v/>
      </c>
      <c r="B327" s="270" t="s">
        <v>1</v>
      </c>
      <c r="C327" s="237" t="s">
        <v>2760</v>
      </c>
      <c r="D327" s="267">
        <v>44.24</v>
      </c>
      <c r="E327" s="267">
        <v>41.67</v>
      </c>
      <c r="F327" s="238">
        <f t="shared" si="62"/>
        <v>36.292042657916326</v>
      </c>
      <c r="G327" s="238">
        <f>IFERROR(ROUNDUP(F327*'Customer Base'!$J$5,2),0)</f>
        <v>606.08000000000004</v>
      </c>
      <c r="H327" s="238">
        <f t="shared" si="63"/>
        <v>34.183757178014766</v>
      </c>
      <c r="I327" s="238">
        <f>IFERROR(ROUNDUP(H327*'Customer Base'!$J$5,2),0)</f>
        <v>570.87</v>
      </c>
      <c r="J327" s="103" t="str">
        <f t="shared" si="57"/>
        <v/>
      </c>
      <c r="L327" s="103" t="str">
        <f t="shared" si="58"/>
        <v/>
      </c>
      <c r="N327" s="103">
        <v>336</v>
      </c>
      <c r="O327" s="103" t="str">
        <f>IF('Customer Base'!$I$15="MANUAL",IF(B327&lt;&gt;"",C327,""),IF('Customer Base'!$I$15="AUTOMATE",IF(A327&lt;&gt;"",C327,""),""))</f>
        <v/>
      </c>
      <c r="AO327" s="103" t="str">
        <f>IF('Customer Base'!$I$15="MANUAL",IFERROR(AM327*B327,""),IF('Customer Base'!$I$15="AUTOMATE",IFERROR(AM327*A327,""),""))</f>
        <v/>
      </c>
      <c r="AV327" s="103">
        <f t="shared" si="59"/>
        <v>0</v>
      </c>
    </row>
    <row r="328" spans="1:48">
      <c r="C328" s="237" t="s">
        <v>2761</v>
      </c>
      <c r="D328" s="267">
        <v>50.57</v>
      </c>
      <c r="E328" s="267">
        <v>47.628</v>
      </c>
      <c r="F328" s="238">
        <f t="shared" si="62"/>
        <v>41.484823625922886</v>
      </c>
      <c r="G328" s="238">
        <f>IFERROR(ROUNDUP(F328*'Customer Base'!$J$5,2),0)</f>
        <v>692.8</v>
      </c>
      <c r="H328" s="238">
        <f t="shared" si="63"/>
        <v>39.071369975389658</v>
      </c>
      <c r="I328" s="238">
        <f>IFERROR(ROUNDUP(H328*'Customer Base'!$J$5,2),0)</f>
        <v>652.5</v>
      </c>
      <c r="J328" s="103" t="str">
        <f t="shared" si="57"/>
        <v/>
      </c>
      <c r="L328" s="103" t="str">
        <f t="shared" si="58"/>
        <v/>
      </c>
      <c r="N328" s="103">
        <v>337</v>
      </c>
      <c r="O328" s="103" t="str">
        <f>IF('Customer Base'!$I$15="MANUAL",IF(B328&lt;&gt;"",C328,""),IF('Customer Base'!$I$15="AUTOMATE",IF(A328&lt;&gt;"",C328,""),""))</f>
        <v/>
      </c>
      <c r="AO328" s="103">
        <f>IF('Customer Base'!$I$15="MANUAL",IFERROR(AM328*B328,""),IF('Customer Base'!$I$15="AUTOMATE",IFERROR(AM328*A328,""),""))</f>
        <v>0</v>
      </c>
    </row>
    <row r="329" spans="1:48">
      <c r="C329" s="237" t="s">
        <v>2762</v>
      </c>
      <c r="D329" s="267">
        <v>57.79</v>
      </c>
      <c r="E329" s="267">
        <v>54.432000000000002</v>
      </c>
      <c r="F329" s="238">
        <f t="shared" si="62"/>
        <v>47.40771123872026</v>
      </c>
      <c r="G329" s="238">
        <f>IFERROR(ROUNDUP(F329*'Customer Base'!$J$5,2),0)</f>
        <v>791.71</v>
      </c>
      <c r="H329" s="238">
        <f t="shared" si="63"/>
        <v>44.652994257588183</v>
      </c>
      <c r="I329" s="238">
        <f>IFERROR(ROUNDUP(H329*'Customer Base'!$J$5,2),0)</f>
        <v>745.71</v>
      </c>
      <c r="J329" s="103" t="str">
        <f t="shared" si="57"/>
        <v/>
      </c>
      <c r="L329" s="103" t="str">
        <f t="shared" si="58"/>
        <v/>
      </c>
      <c r="N329" s="103">
        <v>338</v>
      </c>
      <c r="O329" s="103" t="str">
        <f>IF('Customer Base'!$I$15="MANUAL",IF(B329&lt;&gt;"",C329,""),IF('Customer Base'!$I$15="AUTOMATE",IF(A329&lt;&gt;"",C329,""),""))</f>
        <v/>
      </c>
      <c r="AO329" s="103">
        <f>IF('Customer Base'!$I$15="MANUAL",IFERROR(AM329*B329,""),IF('Customer Base'!$I$15="AUTOMATE",IFERROR(AM329*A329,""),""))</f>
        <v>0</v>
      </c>
    </row>
    <row r="330" spans="1:48">
      <c r="C330" s="237" t="s">
        <v>2763</v>
      </c>
      <c r="D330" s="267">
        <v>62.3</v>
      </c>
      <c r="E330" s="267">
        <v>58.676000000000002</v>
      </c>
      <c r="F330" s="238">
        <f t="shared" si="62"/>
        <v>51.107465135356847</v>
      </c>
      <c r="G330" s="238">
        <f>IFERROR(ROUNDUP(F330*'Customer Base'!$J$5,2),0)</f>
        <v>853.5</v>
      </c>
      <c r="H330" s="238">
        <f t="shared" si="63"/>
        <v>48.134536505332235</v>
      </c>
      <c r="I330" s="238">
        <f>IFERROR(ROUNDUP(H330*'Customer Base'!$J$5,2),0)</f>
        <v>803.85</v>
      </c>
      <c r="J330" s="103" t="str">
        <f t="shared" si="57"/>
        <v/>
      </c>
      <c r="L330" s="103" t="str">
        <f t="shared" si="58"/>
        <v/>
      </c>
      <c r="N330" s="103">
        <v>339</v>
      </c>
      <c r="O330" s="103" t="str">
        <f>IF('Customer Base'!$I$15="MANUAL",IF(B330&lt;&gt;"",C330,""),IF('Customer Base'!$I$15="AUTOMATE",IF(A330&lt;&gt;"",C330,""),""))</f>
        <v/>
      </c>
      <c r="AO330" s="103">
        <f>IF('Customer Base'!$I$15="MANUAL",IFERROR(AM330*B330,""),IF('Customer Base'!$I$15="AUTOMATE",IFERROR(AM330*A330,""),""))</f>
        <v>0</v>
      </c>
    </row>
    <row r="331" spans="1:48">
      <c r="A331" s="103" t="str">
        <f>IF(AND('Customer Base'!D$19="Lithium",SUMPRODUCT(A$6:A$132,AW$6:AW$132)&gt;250,SUMPRODUCT(A$6:A$132,AW$6:AW$132)&lt;=600),2,"")</f>
        <v/>
      </c>
      <c r="B331" s="270" t="s">
        <v>1</v>
      </c>
      <c r="C331" s="237" t="s">
        <v>999</v>
      </c>
      <c r="D331" s="267">
        <v>131.84</v>
      </c>
      <c r="E331" s="267">
        <v>124.173</v>
      </c>
      <c r="F331" s="238">
        <f t="shared" si="62"/>
        <v>108.15422477440525</v>
      </c>
      <c r="G331" s="238">
        <f>IFERROR(ROUNDUP(F331*'Customer Base'!$J$5,2),0)</f>
        <v>1806.18</v>
      </c>
      <c r="H331" s="238">
        <f t="shared" si="63"/>
        <v>101.86464315012304</v>
      </c>
      <c r="I331" s="238">
        <f>IFERROR(ROUNDUP(H331*'Customer Base'!$J$5,2),0)</f>
        <v>1701.14</v>
      </c>
      <c r="J331" s="103" t="str">
        <f t="shared" si="57"/>
        <v/>
      </c>
      <c r="L331" s="103" t="str">
        <f t="shared" si="58"/>
        <v/>
      </c>
      <c r="N331" s="103">
        <v>340</v>
      </c>
      <c r="O331" s="103" t="str">
        <f>IF('Customer Base'!$I$15="MANUAL",IF(B331&lt;&gt;"",C331,""),IF('Customer Base'!$I$15="AUTOMATE",IF(A331&lt;&gt;"",C331,""),""))</f>
        <v/>
      </c>
      <c r="AO331" s="103" t="str">
        <f>IF('Customer Base'!$I$15="MANUAL",IFERROR(AM331*B331,""),IF('Customer Base'!$I$15="AUTOMATE",IFERROR(AM331*A331,""),""))</f>
        <v/>
      </c>
      <c r="AV331" s="103">
        <f t="shared" si="59"/>
        <v>0</v>
      </c>
    </row>
    <row r="332" spans="1:48">
      <c r="C332" s="237" t="s">
        <v>1000</v>
      </c>
      <c r="D332" s="267">
        <v>204.99</v>
      </c>
      <c r="E332" s="267">
        <v>193.072</v>
      </c>
      <c r="F332" s="238">
        <f t="shared" si="62"/>
        <v>168.16242821985233</v>
      </c>
      <c r="G332" s="238">
        <f>IFERROR(ROUNDUP(F332*'Customer Base'!$J$5,2),0)</f>
        <v>2808.32</v>
      </c>
      <c r="H332" s="238">
        <f t="shared" si="63"/>
        <v>158.38556193601312</v>
      </c>
      <c r="I332" s="238">
        <f>IFERROR(ROUNDUP(H332*'Customer Base'!$J$5,2),0)</f>
        <v>2645.0400000000004</v>
      </c>
      <c r="J332" s="103" t="str">
        <f t="shared" si="57"/>
        <v/>
      </c>
      <c r="L332" s="103" t="str">
        <f t="shared" si="58"/>
        <v/>
      </c>
      <c r="N332" s="103">
        <v>341</v>
      </c>
      <c r="O332" s="103" t="str">
        <f>IF('Customer Base'!$I$15="MANUAL",IF(B332&lt;&gt;"",C332,""),IF('Customer Base'!$I$15="AUTOMATE",IF(A332&lt;&gt;"",C332,""),""))</f>
        <v/>
      </c>
      <c r="AO332" s="103">
        <f>IF('Customer Base'!$I$15="MANUAL",IFERROR(AM332*B332,""),IF('Customer Base'!$I$15="AUTOMATE",IFERROR(AM332*A332,""),""))</f>
        <v>0</v>
      </c>
      <c r="AV332" s="103">
        <f t="shared" si="59"/>
        <v>0</v>
      </c>
    </row>
    <row r="333" spans="1:48">
      <c r="C333" s="237" t="s">
        <v>1063</v>
      </c>
      <c r="D333" s="267">
        <v>35.229999999999997</v>
      </c>
      <c r="E333" s="267">
        <v>33.177999999999997</v>
      </c>
      <c r="F333" s="238">
        <f t="shared" si="62"/>
        <v>28.900738310090233</v>
      </c>
      <c r="G333" s="238">
        <f>IFERROR(ROUNDUP(F333*'Customer Base'!$J$5,2),0)</f>
        <v>482.65</v>
      </c>
      <c r="H333" s="238">
        <f t="shared" si="63"/>
        <v>27.217391304347821</v>
      </c>
      <c r="I333" s="238">
        <f>IFERROR(ROUNDUP(H333*'Customer Base'!$J$5,2),0)</f>
        <v>454.53999999999996</v>
      </c>
      <c r="J333" s="103" t="str">
        <f t="shared" si="57"/>
        <v/>
      </c>
      <c r="L333" s="103" t="str">
        <f t="shared" si="58"/>
        <v/>
      </c>
      <c r="N333" s="103">
        <v>342</v>
      </c>
      <c r="O333" s="103" t="str">
        <f>IF('Customer Base'!$I$15="MANUAL",IF(B333&lt;&gt;"",C333,""),IF('Customer Base'!$I$15="AUTOMATE",IF(A333&lt;&gt;"",C333,""),""))</f>
        <v/>
      </c>
      <c r="AO333" s="103">
        <f>IF('Customer Base'!$I$15="MANUAL",IFERROR(AM333*B333,""),IF('Customer Base'!$I$15="AUTOMATE",IFERROR(AM333*A333,""),""))</f>
        <v>0</v>
      </c>
      <c r="AV333" s="103">
        <f t="shared" si="59"/>
        <v>0</v>
      </c>
    </row>
    <row r="334" spans="1:48">
      <c r="D334" s="319"/>
      <c r="E334" s="319"/>
      <c r="F334" s="224">
        <f t="shared" si="62"/>
        <v>0</v>
      </c>
      <c r="G334" s="224">
        <f>IFERROR(ROUNDUP(F334*'Customer Base'!$J$5,2),0)</f>
        <v>0</v>
      </c>
      <c r="H334" s="224">
        <f t="shared" si="63"/>
        <v>0</v>
      </c>
      <c r="I334" s="224">
        <f>IFERROR(ROUNDUP(H334*'Customer Base'!$J$5,2),0)</f>
        <v>0</v>
      </c>
      <c r="J334" s="103" t="str">
        <f t="shared" si="57"/>
        <v/>
      </c>
      <c r="L334" s="103" t="str">
        <f t="shared" si="58"/>
        <v/>
      </c>
      <c r="N334" s="103">
        <v>343</v>
      </c>
      <c r="O334" s="103" t="str">
        <f>IF('Customer Base'!$I$15="MANUAL",IF(B334&lt;&gt;"",C334,""),IF('Customer Base'!$I$15="AUTOMATE",IF(A334&lt;&gt;"",C334,""),""))</f>
        <v/>
      </c>
      <c r="AO334" s="103">
        <f>IF('Customer Base'!$I$15="MANUAL",IFERROR(AM334*B334,""),IF('Customer Base'!$I$15="AUTOMATE",IFERROR(AM334*A334,""),""))</f>
        <v>0</v>
      </c>
      <c r="AV334" s="103">
        <f t="shared" si="59"/>
        <v>0</v>
      </c>
    </row>
    <row r="335" spans="1:48">
      <c r="A335" s="103">
        <f ca="1">IFERROR(IF(AND('Customer Base'!D$13="Victron",'Customer Base'!D$7&lt;&gt;"Backup",'Client List'!$EE$474&lt;&gt;""),IF(IF('Client List'!IM474=2,'Client List'!IK474,0)+IF('Client List'!EE474=2,'Client List'!EC474,0)=0,"",IF('Client List'!IM474=2,'Client List'!IK474,0)+IF('Client List'!EE474=2,'Client List'!EC474,0)),""),"")</f>
        <v>1</v>
      </c>
      <c r="B335" s="270">
        <v>1</v>
      </c>
      <c r="C335" s="237" t="s">
        <v>1043</v>
      </c>
      <c r="D335" s="267">
        <v>120.4</v>
      </c>
      <c r="E335" s="267">
        <v>113.4</v>
      </c>
      <c r="F335" s="238">
        <f t="shared" si="62"/>
        <v>98.769483182936838</v>
      </c>
      <c r="G335" s="238">
        <f>IFERROR(ROUNDUP(F335*'Customer Base'!$J$5,2),0)</f>
        <v>1649.46</v>
      </c>
      <c r="H335" s="238">
        <f t="shared" si="63"/>
        <v>93.027071369975388</v>
      </c>
      <c r="I335" s="238">
        <f>IFERROR(ROUNDUP(H335*'Customer Base'!$J$5,2),0)</f>
        <v>1553.56</v>
      </c>
      <c r="J335" s="103" t="str">
        <f t="shared" si="57"/>
        <v/>
      </c>
      <c r="L335" s="103" t="str">
        <f t="shared" si="58"/>
        <v/>
      </c>
      <c r="N335" s="103">
        <v>344</v>
      </c>
      <c r="O335" s="103" t="str">
        <f>IF('Customer Base'!$I$15="MANUAL",IF(B335&lt;&gt;"",C335,""),IF('Customer Base'!$I$15="AUTOMATE",IF(A335&lt;&gt;"",C335,""),""))</f>
        <v>Solar DC Combiner BHS 2/1</v>
      </c>
      <c r="AO335" s="103">
        <f>IF('Customer Base'!$I$15="MANUAL",IFERROR(AM335*B335,""),IF('Customer Base'!$I$15="AUTOMATE",IFERROR(AM335*A335,""),""))</f>
        <v>0</v>
      </c>
      <c r="AV335" s="103">
        <f t="shared" si="59"/>
        <v>0</v>
      </c>
    </row>
    <row r="336" spans="1:48">
      <c r="A336" s="103" t="str">
        <f ca="1">IFERROR(IF(AND('Customer Base'!D$13="Victron",'Customer Base'!D$7&lt;&gt;"Backup",'Client List'!$EE$474&lt;&gt;""),IF(IF('Client List'!IM474=3,'Client List'!IK474,0)+IF('Client List'!EE474=3,'Client List'!EC474,0)=0,"",IF('Client List'!IM474=3,'Client List'!IK474,0)+IF('Client List'!EE474=3,'Client List'!EC474,0)),""),"")</f>
        <v/>
      </c>
      <c r="B336" s="270" t="s">
        <v>1</v>
      </c>
      <c r="C336" s="237" t="s">
        <v>1044</v>
      </c>
      <c r="D336" s="267">
        <v>126.42</v>
      </c>
      <c r="E336" s="267">
        <v>119.07</v>
      </c>
      <c r="F336" s="238">
        <f t="shared" si="62"/>
        <v>103.70795734208367</v>
      </c>
      <c r="G336" s="238">
        <f>IFERROR(ROUNDUP(F336*'Customer Base'!$J$5,2),0)</f>
        <v>1731.93</v>
      </c>
      <c r="H336" s="238">
        <f t="shared" si="63"/>
        <v>97.678424938474151</v>
      </c>
      <c r="I336" s="238">
        <f>IFERROR(ROUNDUP(H336*'Customer Base'!$J$5,2),0)</f>
        <v>1631.23</v>
      </c>
      <c r="J336" s="103" t="str">
        <f t="shared" si="57"/>
        <v/>
      </c>
      <c r="L336" s="103" t="str">
        <f t="shared" si="58"/>
        <v/>
      </c>
      <c r="N336" s="103">
        <v>345</v>
      </c>
      <c r="O336" s="103" t="str">
        <f>IF('Customer Base'!$I$15="MANUAL",IF(B336&lt;&gt;"",C336,""),IF('Customer Base'!$I$15="AUTOMATE",IF(A336&lt;&gt;"",C336,""),""))</f>
        <v/>
      </c>
      <c r="AO336" s="103" t="str">
        <f>IF('Customer Base'!$I$15="MANUAL",IFERROR(AM336*B336,""),IF('Customer Base'!$I$15="AUTOMATE",IFERROR(AM336*A336,""),""))</f>
        <v/>
      </c>
      <c r="AV336" s="103">
        <f t="shared" si="59"/>
        <v>0</v>
      </c>
    </row>
    <row r="337" spans="1:48">
      <c r="A337" s="103" t="str">
        <f ca="1">IFERROR(IF(AND('Customer Base'!D$13="Victron",'Customer Base'!D$7&lt;&gt;"Backup",'Client List'!$EE$474&lt;&gt;""),IF(IF('Client List'!IM474=4,'Client List'!IK474,0)+IF('Client List'!EE474=4,'Client List'!EC474,0)=0,"",IF('Client List'!IM474=4,'Client List'!IK474,0)+IF('Client List'!EE474=4,'Client List'!EC474,0)),""),"")</f>
        <v/>
      </c>
      <c r="B337" s="270" t="s">
        <v>1</v>
      </c>
      <c r="C337" s="237" t="s">
        <v>1045</v>
      </c>
      <c r="D337" s="267">
        <v>163.4</v>
      </c>
      <c r="E337" s="267">
        <v>153.9</v>
      </c>
      <c r="F337" s="238">
        <f t="shared" si="62"/>
        <v>134.04429860541427</v>
      </c>
      <c r="G337" s="238">
        <f>IFERROR(ROUNDUP(F337*'Customer Base'!$J$5,2),0)</f>
        <v>2238.5400000000004</v>
      </c>
      <c r="H337" s="238">
        <f t="shared" si="63"/>
        <v>126.25102543068088</v>
      </c>
      <c r="I337" s="238">
        <f>IFERROR(ROUNDUP(H337*'Customer Base'!$J$5,2),0)</f>
        <v>2108.4</v>
      </c>
      <c r="J337" s="103" t="str">
        <f t="shared" ref="J337:J400" si="64">IF(D337&lt;&gt;"",IF(D337&lt;E337,"lkdfjk",""),"")</f>
        <v/>
      </c>
      <c r="L337" s="103" t="str">
        <f t="shared" ref="L337:L400" si="65">IF(H337&gt;F337,"lkkajdfkj","")</f>
        <v/>
      </c>
      <c r="N337" s="103">
        <v>346</v>
      </c>
      <c r="O337" s="103" t="str">
        <f>IF('Customer Base'!$I$15="MANUAL",IF(B337&lt;&gt;"",C337,""),IF('Customer Base'!$I$15="AUTOMATE",IF(A337&lt;&gt;"",C337,""),""))</f>
        <v/>
      </c>
      <c r="AO337" s="103" t="str">
        <f>IF('Customer Base'!$I$15="MANUAL",IFERROR(AM337*B337,""),IF('Customer Base'!$I$15="AUTOMATE",IFERROR(AM337*A337,""),""))</f>
        <v/>
      </c>
      <c r="AV337" s="103">
        <f t="shared" si="59"/>
        <v>0</v>
      </c>
    </row>
    <row r="338" spans="1:48">
      <c r="C338" s="237" t="s">
        <v>1046</v>
      </c>
      <c r="D338" s="267">
        <v>206.4</v>
      </c>
      <c r="E338" s="267">
        <v>194.4</v>
      </c>
      <c r="F338" s="238">
        <f t="shared" si="62"/>
        <v>169.31911402789171</v>
      </c>
      <c r="G338" s="238">
        <f>IFERROR(ROUNDUP(F338*'Customer Base'!$J$5,2),0)</f>
        <v>2827.63</v>
      </c>
      <c r="H338" s="238">
        <f t="shared" si="63"/>
        <v>159.47497949138636</v>
      </c>
      <c r="I338" s="238">
        <f>IFERROR(ROUNDUP(H338*'Customer Base'!$J$5,2),0)</f>
        <v>2663.2400000000002</v>
      </c>
      <c r="J338" s="103" t="str">
        <f t="shared" si="64"/>
        <v/>
      </c>
      <c r="L338" s="103" t="str">
        <f t="shared" si="65"/>
        <v/>
      </c>
      <c r="N338" s="103">
        <v>347</v>
      </c>
      <c r="O338" s="103" t="str">
        <f>IF('Customer Base'!$I$15="MANUAL",IF(B338&lt;&gt;"",C338,""),IF('Customer Base'!$I$15="AUTOMATE",IF(A338&lt;&gt;"",C338,""),""))</f>
        <v/>
      </c>
      <c r="AO338" s="103">
        <f>IF('Customer Base'!$I$15="MANUAL",IFERROR(AM338*B338,""),IF('Customer Base'!$I$15="AUTOMATE",IFERROR(AM338*A338,""),""))</f>
        <v>0</v>
      </c>
      <c r="AV338" s="103">
        <f t="shared" ref="AV338:AV399" si="66">IF(AU338&lt;&gt;"",AU338,AT338)</f>
        <v>0</v>
      </c>
    </row>
    <row r="339" spans="1:48">
      <c r="C339" s="237" t="s">
        <v>1047</v>
      </c>
      <c r="D339" s="267">
        <v>240.8</v>
      </c>
      <c r="E339" s="267">
        <v>226.8</v>
      </c>
      <c r="F339" s="238">
        <f t="shared" si="62"/>
        <v>197.53896636587368</v>
      </c>
      <c r="G339" s="238">
        <f>IFERROR(ROUNDUP(F339*'Customer Base'!$J$5,2),0)</f>
        <v>3298.9100000000003</v>
      </c>
      <c r="H339" s="238">
        <f t="shared" si="63"/>
        <v>186.05414273995078</v>
      </c>
      <c r="I339" s="238">
        <f>IFERROR(ROUNDUP(H339*'Customer Base'!$J$5,2),0)</f>
        <v>3107.11</v>
      </c>
      <c r="J339" s="103" t="str">
        <f t="shared" si="64"/>
        <v/>
      </c>
      <c r="L339" s="103" t="str">
        <f t="shared" si="65"/>
        <v/>
      </c>
      <c r="N339" s="103">
        <v>348</v>
      </c>
      <c r="O339" s="103" t="str">
        <f>IF('Customer Base'!$I$15="MANUAL",IF(B339&lt;&gt;"",C339,""),IF('Customer Base'!$I$15="AUTOMATE",IF(A339&lt;&gt;"",C339,""),""))</f>
        <v/>
      </c>
      <c r="AO339" s="103">
        <f>IF('Customer Base'!$I$15="MANUAL",IFERROR(AM339*B339,""),IF('Customer Base'!$I$15="AUTOMATE",IFERROR(AM339*A339,""),""))</f>
        <v>0</v>
      </c>
      <c r="AV339" s="103">
        <f t="shared" si="66"/>
        <v>0</v>
      </c>
    </row>
    <row r="340" spans="1:48">
      <c r="C340" s="237" t="s">
        <v>1048</v>
      </c>
      <c r="D340" s="267">
        <v>239.08</v>
      </c>
      <c r="E340" s="267">
        <v>225.18</v>
      </c>
      <c r="F340" s="238">
        <f t="shared" si="62"/>
        <v>196.12797374897457</v>
      </c>
      <c r="G340" s="238">
        <f>IFERROR(ROUNDUP(F340*'Customer Base'!$J$5,2),0)</f>
        <v>3275.34</v>
      </c>
      <c r="H340" s="238">
        <f t="shared" si="63"/>
        <v>184.72518457752255</v>
      </c>
      <c r="I340" s="238">
        <f>IFERROR(ROUNDUP(H340*'Customer Base'!$J$5,2),0)</f>
        <v>3084.92</v>
      </c>
      <c r="J340" s="103" t="str">
        <f t="shared" si="64"/>
        <v/>
      </c>
      <c r="L340" s="103" t="str">
        <f t="shared" si="65"/>
        <v/>
      </c>
      <c r="N340" s="103">
        <v>349</v>
      </c>
      <c r="O340" s="103" t="str">
        <f>IF('Customer Base'!$I$15="MANUAL",IF(B340&lt;&gt;"",C340,""),IF('Customer Base'!$I$15="AUTOMATE",IF(A340&lt;&gt;"",C340,""),""))</f>
        <v/>
      </c>
      <c r="AO340" s="103">
        <f>IF('Customer Base'!$I$15="MANUAL",IFERROR(AM340*B340,""),IF('Customer Base'!$I$15="AUTOMATE",IFERROR(AM340*A340,""),""))</f>
        <v>0</v>
      </c>
      <c r="AV340" s="103">
        <f t="shared" si="66"/>
        <v>0</v>
      </c>
    </row>
    <row r="341" spans="1:48">
      <c r="C341" s="237" t="s">
        <v>1049</v>
      </c>
      <c r="D341" s="267">
        <v>233.92</v>
      </c>
      <c r="E341" s="267">
        <v>220.32</v>
      </c>
      <c r="F341" s="238">
        <f t="shared" si="62"/>
        <v>191.89499589827724</v>
      </c>
      <c r="G341" s="238">
        <f>IFERROR(ROUNDUP(F341*'Customer Base'!$J$5,2),0)</f>
        <v>3204.65</v>
      </c>
      <c r="H341" s="238">
        <f t="shared" si="63"/>
        <v>180.73831009023789</v>
      </c>
      <c r="I341" s="238">
        <f>IFERROR(ROUNDUP(H341*'Customer Base'!$J$5,2),0)</f>
        <v>3018.3300000000004</v>
      </c>
      <c r="J341" s="103" t="str">
        <f t="shared" si="64"/>
        <v/>
      </c>
      <c r="L341" s="103" t="str">
        <f t="shared" si="65"/>
        <v/>
      </c>
      <c r="N341" s="103">
        <v>350</v>
      </c>
      <c r="O341" s="103" t="str">
        <f>IF('Customer Base'!$I$15="MANUAL",IF(B341&lt;&gt;"",C341,""),IF('Customer Base'!$I$15="AUTOMATE",IF(A341&lt;&gt;"",C341,""),""))</f>
        <v/>
      </c>
      <c r="AO341" s="103">
        <f>IF('Customer Base'!$I$15="MANUAL",IFERROR(AM341*B341,""),IF('Customer Base'!$I$15="AUTOMATE",IFERROR(AM341*A341,""),""))</f>
        <v>0</v>
      </c>
      <c r="AV341" s="103">
        <f t="shared" si="66"/>
        <v>0</v>
      </c>
    </row>
    <row r="342" spans="1:48">
      <c r="C342" s="237" t="s">
        <v>1050</v>
      </c>
      <c r="D342" s="267">
        <v>460.96</v>
      </c>
      <c r="E342" s="267">
        <v>434.16</v>
      </c>
      <c r="F342" s="238">
        <f t="shared" si="62"/>
        <v>378.14602132895811</v>
      </c>
      <c r="G342" s="238">
        <f>IFERROR(ROUNDUP(F342*'Customer Base'!$J$5,2),0)</f>
        <v>6315.04</v>
      </c>
      <c r="H342" s="238">
        <f t="shared" si="63"/>
        <v>356.16078753076289</v>
      </c>
      <c r="I342" s="238">
        <f>IFERROR(ROUNDUP(H342*'Customer Base'!$J$5,2),0)</f>
        <v>5947.89</v>
      </c>
      <c r="J342" s="103" t="str">
        <f t="shared" si="64"/>
        <v/>
      </c>
      <c r="L342" s="103" t="str">
        <f t="shared" si="65"/>
        <v/>
      </c>
      <c r="N342" s="103">
        <v>351</v>
      </c>
      <c r="O342" s="103" t="str">
        <f>IF('Customer Base'!$I$15="MANUAL",IF(B342&lt;&gt;"",C342,""),IF('Customer Base'!$I$15="AUTOMATE",IF(A342&lt;&gt;"",C342,""),""))</f>
        <v/>
      </c>
      <c r="AO342" s="103">
        <f>IF('Customer Base'!$I$15="MANUAL",IFERROR(AM342*B342,""),IF('Customer Base'!$I$15="AUTOMATE",IFERROR(AM342*A342,""),""))</f>
        <v>0</v>
      </c>
      <c r="AV342" s="103">
        <f t="shared" si="66"/>
        <v>0</v>
      </c>
    </row>
    <row r="343" spans="1:48">
      <c r="D343" s="319"/>
      <c r="E343" s="319"/>
      <c r="F343" s="224">
        <f t="shared" si="62"/>
        <v>0</v>
      </c>
      <c r="G343" s="224">
        <f>IFERROR(ROUNDUP(F343*'Customer Base'!$J$5,2),0)</f>
        <v>0</v>
      </c>
      <c r="H343" s="224">
        <f t="shared" si="63"/>
        <v>0</v>
      </c>
      <c r="I343" s="224">
        <f>IFERROR(ROUNDUP(H343*'Customer Base'!$J$5,2),0)</f>
        <v>0</v>
      </c>
      <c r="J343" s="103" t="str">
        <f t="shared" si="64"/>
        <v/>
      </c>
      <c r="L343" s="103" t="str">
        <f t="shared" si="65"/>
        <v/>
      </c>
      <c r="N343" s="103">
        <v>352</v>
      </c>
      <c r="O343" s="103" t="str">
        <f>IF('Customer Base'!$I$15="MANUAL",IF(B343&lt;&gt;"",C343,""),IF('Customer Base'!$I$15="AUTOMATE",IF(A343&lt;&gt;"",C343,""),""))</f>
        <v/>
      </c>
      <c r="AO343" s="103">
        <f>IF('Customer Base'!$I$15="MANUAL",IFERROR(AM343*B343,""),IF('Customer Base'!$I$15="AUTOMATE",IFERROR(AM343*A343,""),""))</f>
        <v>0</v>
      </c>
      <c r="AV343" s="103">
        <f t="shared" si="66"/>
        <v>0</v>
      </c>
    </row>
    <row r="344" spans="1:48">
      <c r="C344" s="237" t="s">
        <v>1051</v>
      </c>
      <c r="D344" s="267">
        <v>344</v>
      </c>
      <c r="E344" s="267">
        <v>324</v>
      </c>
      <c r="F344" s="238">
        <f t="shared" si="62"/>
        <v>282.19852337981951</v>
      </c>
      <c r="G344" s="238">
        <f>IFERROR(ROUNDUP(F344*'Customer Base'!$J$5,2),0)</f>
        <v>4712.72</v>
      </c>
      <c r="H344" s="238">
        <f t="shared" si="63"/>
        <v>265.79163248564396</v>
      </c>
      <c r="I344" s="238">
        <f>IFERROR(ROUNDUP(H344*'Customer Base'!$J$5,2),0)</f>
        <v>4438.7300000000005</v>
      </c>
      <c r="J344" s="103" t="str">
        <f t="shared" si="64"/>
        <v/>
      </c>
      <c r="L344" s="103" t="str">
        <f t="shared" si="65"/>
        <v/>
      </c>
      <c r="N344" s="103">
        <v>353</v>
      </c>
      <c r="O344" s="103" t="str">
        <f>IF('Customer Base'!$I$15="MANUAL",IF(B344&lt;&gt;"",C344,""),IF('Customer Base'!$I$15="AUTOMATE",IF(A344&lt;&gt;"",C344,""),""))</f>
        <v/>
      </c>
      <c r="AO344" s="103">
        <f>IF('Customer Base'!$I$15="MANUAL",IFERROR(AM344*B344,""),IF('Customer Base'!$I$15="AUTOMATE",IFERROR(AM344*A344,""),""))</f>
        <v>0</v>
      </c>
      <c r="AV344" s="103">
        <f t="shared" si="66"/>
        <v>0</v>
      </c>
    </row>
    <row r="345" spans="1:48">
      <c r="C345" s="237" t="s">
        <v>1052</v>
      </c>
      <c r="D345" s="267">
        <v>354.32</v>
      </c>
      <c r="E345" s="267">
        <v>333.72</v>
      </c>
      <c r="F345" s="238">
        <f t="shared" si="62"/>
        <v>290.6644790812141</v>
      </c>
      <c r="G345" s="238">
        <f>IFERROR(ROUNDUP(F345*'Customer Base'!$J$5,2),0)</f>
        <v>4854.1000000000004</v>
      </c>
      <c r="H345" s="238">
        <f t="shared" si="63"/>
        <v>273.76538146021329</v>
      </c>
      <c r="I345" s="238">
        <f>IFERROR(ROUNDUP(H345*'Customer Base'!$J$5,2),0)</f>
        <v>4571.8900000000003</v>
      </c>
      <c r="J345" s="103" t="str">
        <f t="shared" si="64"/>
        <v/>
      </c>
      <c r="L345" s="103" t="str">
        <f t="shared" si="65"/>
        <v/>
      </c>
      <c r="N345" s="103">
        <v>354</v>
      </c>
      <c r="O345" s="103" t="str">
        <f>IF('Customer Base'!$I$15="MANUAL",IF(B345&lt;&gt;"",C345,""),IF('Customer Base'!$I$15="AUTOMATE",IF(A345&lt;&gt;"",C345,""),""))</f>
        <v/>
      </c>
      <c r="AO345" s="103">
        <f>IF('Customer Base'!$I$15="MANUAL",IFERROR(AM345*B345,""),IF('Customer Base'!$I$15="AUTOMATE",IFERROR(AM345*A345,""),""))</f>
        <v>0</v>
      </c>
      <c r="AV345" s="103">
        <f t="shared" si="66"/>
        <v>0</v>
      </c>
    </row>
    <row r="346" spans="1:48">
      <c r="C346" s="237" t="s">
        <v>1053</v>
      </c>
      <c r="D346" s="267">
        <v>393.88</v>
      </c>
      <c r="E346" s="267">
        <v>370.98</v>
      </c>
      <c r="F346" s="238">
        <f t="shared" si="62"/>
        <v>323.11730926989333</v>
      </c>
      <c r="G346" s="238">
        <f>IFERROR(ROUNDUP(F346*'Customer Base'!$J$5,2),0)</f>
        <v>5396.06</v>
      </c>
      <c r="H346" s="238">
        <f t="shared" si="63"/>
        <v>304.33141919606231</v>
      </c>
      <c r="I346" s="238">
        <f>IFERROR(ROUNDUP(H346*'Customer Base'!$J$5,2),0)</f>
        <v>5082.34</v>
      </c>
      <c r="J346" s="103" t="str">
        <f t="shared" si="64"/>
        <v/>
      </c>
      <c r="L346" s="103" t="str">
        <f t="shared" si="65"/>
        <v/>
      </c>
      <c r="N346" s="103">
        <v>355</v>
      </c>
      <c r="O346" s="103" t="str">
        <f>IF('Customer Base'!$I$15="MANUAL",IF(B346&lt;&gt;"",C346,""),IF('Customer Base'!$I$15="AUTOMATE",IF(A346&lt;&gt;"",C346,""),""))</f>
        <v/>
      </c>
      <c r="AO346" s="103">
        <f>IF('Customer Base'!$I$15="MANUAL",IFERROR(AM346*B346,""),IF('Customer Base'!$I$15="AUTOMATE",IFERROR(AM346*A346,""),""))</f>
        <v>0</v>
      </c>
      <c r="AV346" s="103">
        <f t="shared" si="66"/>
        <v>0</v>
      </c>
    </row>
    <row r="347" spans="1:48">
      <c r="C347" s="237" t="s">
        <v>1054</v>
      </c>
      <c r="D347" s="267">
        <v>474.72</v>
      </c>
      <c r="E347" s="267">
        <v>447.12</v>
      </c>
      <c r="F347" s="238">
        <f t="shared" si="62"/>
        <v>389.43396226415092</v>
      </c>
      <c r="G347" s="238">
        <f>IFERROR(ROUNDUP(F347*'Customer Base'!$J$5,2),0)</f>
        <v>6503.55</v>
      </c>
      <c r="H347" s="238">
        <f t="shared" si="63"/>
        <v>366.79245283018867</v>
      </c>
      <c r="I347" s="238">
        <f>IFERROR(ROUNDUP(H347*'Customer Base'!$J$5,2),0)</f>
        <v>6125.4400000000005</v>
      </c>
      <c r="J347" s="103" t="str">
        <f t="shared" si="64"/>
        <v/>
      </c>
      <c r="L347" s="103" t="str">
        <f t="shared" si="65"/>
        <v/>
      </c>
      <c r="N347" s="103">
        <v>356</v>
      </c>
      <c r="O347" s="103" t="str">
        <f>IF('Customer Base'!$I$15="MANUAL",IF(B347&lt;&gt;"",C347,""),IF('Customer Base'!$I$15="AUTOMATE",IF(A347&lt;&gt;"",C347,""),""))</f>
        <v/>
      </c>
      <c r="AO347" s="103">
        <f>IF('Customer Base'!$I$15="MANUAL",IFERROR(AM347*B347,""),IF('Customer Base'!$I$15="AUTOMATE",IFERROR(AM347*A347,""),""))</f>
        <v>0</v>
      </c>
      <c r="AV347" s="103">
        <f t="shared" si="66"/>
        <v>0</v>
      </c>
    </row>
    <row r="348" spans="1:48">
      <c r="C348" s="237" t="s">
        <v>1055</v>
      </c>
      <c r="D348" s="267">
        <v>1948.76</v>
      </c>
      <c r="E348" s="267">
        <v>1835.46</v>
      </c>
      <c r="F348" s="238">
        <f t="shared" si="62"/>
        <v>1598.6546349466776</v>
      </c>
      <c r="G348" s="238">
        <f>IFERROR(ROUNDUP(F348*'Customer Base'!$J$5,2),0)</f>
        <v>26697.539999999997</v>
      </c>
      <c r="H348" s="238">
        <f t="shared" si="63"/>
        <v>1505.7095980311731</v>
      </c>
      <c r="I348" s="238">
        <f>IFERROR(ROUNDUP(H348*'Customer Base'!$J$5,2),0)</f>
        <v>25145.359999999997</v>
      </c>
      <c r="J348" s="103" t="str">
        <f t="shared" si="64"/>
        <v/>
      </c>
      <c r="L348" s="103" t="str">
        <f t="shared" si="65"/>
        <v/>
      </c>
      <c r="N348" s="103">
        <v>357</v>
      </c>
      <c r="O348" s="103" t="str">
        <f>IF('Customer Base'!$I$15="MANUAL",IF(B348&lt;&gt;"",C348,""),IF('Customer Base'!$I$15="AUTOMATE",IF(A348&lt;&gt;"",C348,""),""))</f>
        <v/>
      </c>
      <c r="AO348" s="103">
        <f>IF('Customer Base'!$I$15="MANUAL",IFERROR(AM348*B348,""),IF('Customer Base'!$I$15="AUTOMATE",IFERROR(AM348*A348,""),""))</f>
        <v>0</v>
      </c>
      <c r="AV348" s="103">
        <f t="shared" si="66"/>
        <v>0</v>
      </c>
    </row>
    <row r="349" spans="1:48">
      <c r="C349" s="237" t="s">
        <v>1056</v>
      </c>
      <c r="D349" s="267">
        <v>1345.04</v>
      </c>
      <c r="E349" s="267">
        <v>1266.8399999999999</v>
      </c>
      <c r="F349" s="238">
        <f t="shared" si="62"/>
        <v>1103.3962264150941</v>
      </c>
      <c r="G349" s="238">
        <f>IFERROR(ROUNDUP(F349*'Customer Base'!$J$5,2),0)</f>
        <v>18426.719999999998</v>
      </c>
      <c r="H349" s="238">
        <f t="shared" si="63"/>
        <v>1039.2452830188679</v>
      </c>
      <c r="I349" s="238">
        <f>IFERROR(ROUNDUP(H349*'Customer Base'!$J$5,2),0)</f>
        <v>17355.399999999998</v>
      </c>
      <c r="J349" s="103" t="str">
        <f t="shared" si="64"/>
        <v/>
      </c>
      <c r="L349" s="103" t="str">
        <f t="shared" si="65"/>
        <v/>
      </c>
      <c r="N349" s="103">
        <v>358</v>
      </c>
      <c r="O349" s="103" t="str">
        <f>IF('Customer Base'!$I$15="MANUAL",IF(B349&lt;&gt;"",C349,""),IF('Customer Base'!$I$15="AUTOMATE",IF(A349&lt;&gt;"",C349,""),""))</f>
        <v/>
      </c>
      <c r="AO349" s="103">
        <f>IF('Customer Base'!$I$15="MANUAL",IFERROR(AM349*B349,""),IF('Customer Base'!$I$15="AUTOMATE",IFERROR(AM349*A349,""),""))</f>
        <v>0</v>
      </c>
      <c r="AV349" s="103">
        <f t="shared" si="66"/>
        <v>0</v>
      </c>
    </row>
    <row r="350" spans="1:48">
      <c r="C350" s="237" t="s">
        <v>1057</v>
      </c>
      <c r="D350" s="267">
        <v>1376</v>
      </c>
      <c r="E350" s="267">
        <v>1296</v>
      </c>
      <c r="F350" s="238">
        <f t="shared" si="62"/>
        <v>1128.794093519278</v>
      </c>
      <c r="G350" s="238">
        <f>IFERROR(ROUNDUP(F350*'Customer Base'!$J$5,2),0)</f>
        <v>18850.87</v>
      </c>
      <c r="H350" s="238">
        <f t="shared" si="63"/>
        <v>1063.1665299425758</v>
      </c>
      <c r="I350" s="238">
        <f>IFERROR(ROUNDUP(H350*'Customer Base'!$J$5,2),0)</f>
        <v>17754.89</v>
      </c>
      <c r="J350" s="103" t="str">
        <f t="shared" si="64"/>
        <v/>
      </c>
      <c r="L350" s="103" t="str">
        <f t="shared" si="65"/>
        <v/>
      </c>
      <c r="N350" s="103">
        <v>359</v>
      </c>
      <c r="O350" s="103" t="str">
        <f>IF('Customer Base'!$I$15="MANUAL",IF(B350&lt;&gt;"",C350,""),IF('Customer Base'!$I$15="AUTOMATE",IF(A350&lt;&gt;"",C350,""),""))</f>
        <v/>
      </c>
      <c r="AO350" s="103">
        <f>IF('Customer Base'!$I$15="MANUAL",IFERROR(AM350*B350,""),IF('Customer Base'!$I$15="AUTOMATE",IFERROR(AM350*A350,""),""))</f>
        <v>0</v>
      </c>
      <c r="AV350" s="103">
        <f t="shared" si="66"/>
        <v>0</v>
      </c>
    </row>
    <row r="351" spans="1:48">
      <c r="C351" s="237" t="s">
        <v>1058</v>
      </c>
      <c r="D351" s="267">
        <v>1869.64</v>
      </c>
      <c r="E351" s="267">
        <v>1760.94</v>
      </c>
      <c r="F351" s="238">
        <f t="shared" si="62"/>
        <v>1533.748974569319</v>
      </c>
      <c r="G351" s="238">
        <f>IFERROR(ROUNDUP(F351*'Customer Base'!$J$5,2),0)</f>
        <v>25613.609999999997</v>
      </c>
      <c r="H351" s="238">
        <f t="shared" si="63"/>
        <v>1444.577522559475</v>
      </c>
      <c r="I351" s="238">
        <f>IFERROR(ROUNDUP(H351*'Customer Base'!$J$5,2),0)</f>
        <v>24124.449999999997</v>
      </c>
      <c r="J351" s="103" t="str">
        <f t="shared" si="64"/>
        <v/>
      </c>
      <c r="L351" s="103" t="str">
        <f t="shared" si="65"/>
        <v/>
      </c>
      <c r="N351" s="103">
        <v>360</v>
      </c>
      <c r="O351" s="103" t="str">
        <f>IF('Customer Base'!$I$15="MANUAL",IF(B351&lt;&gt;"",C351,""),IF('Customer Base'!$I$15="AUTOMATE",IF(A351&lt;&gt;"",C351,""),""))</f>
        <v/>
      </c>
      <c r="AO351" s="103">
        <f>IF('Customer Base'!$I$15="MANUAL",IFERROR(AM351*B351,""),IF('Customer Base'!$I$15="AUTOMATE",IFERROR(AM351*A351,""),""))</f>
        <v>0</v>
      </c>
      <c r="AV351" s="103">
        <f t="shared" si="66"/>
        <v>0</v>
      </c>
    </row>
    <row r="352" spans="1:48">
      <c r="C352" s="237" t="s">
        <v>1059</v>
      </c>
      <c r="D352" s="267">
        <v>1862.76</v>
      </c>
      <c r="E352" s="267">
        <v>1754.46</v>
      </c>
      <c r="F352" s="238">
        <f t="shared" si="62"/>
        <v>1528.1050041017227</v>
      </c>
      <c r="G352" s="238">
        <f>IFERROR(ROUNDUP(F352*'Customer Base'!$J$5,2),0)</f>
        <v>25519.359999999997</v>
      </c>
      <c r="H352" s="238">
        <f t="shared" si="63"/>
        <v>1439.261689909762</v>
      </c>
      <c r="I352" s="238">
        <f>IFERROR(ROUNDUP(H352*'Customer Base'!$J$5,2),0)</f>
        <v>24035.679999999997</v>
      </c>
      <c r="J352" s="103" t="str">
        <f t="shared" si="64"/>
        <v/>
      </c>
      <c r="L352" s="103" t="str">
        <f t="shared" si="65"/>
        <v/>
      </c>
      <c r="N352" s="103">
        <v>361</v>
      </c>
      <c r="O352" s="103" t="str">
        <f>IF('Customer Base'!$I$15="MANUAL",IF(B352&lt;&gt;"",C352,""),IF('Customer Base'!$I$15="AUTOMATE",IF(A352&lt;&gt;"",C352,""),""))</f>
        <v/>
      </c>
      <c r="AO352" s="103">
        <f>IF('Customer Base'!$I$15="MANUAL",IFERROR(AM352*B352,""),IF('Customer Base'!$I$15="AUTOMATE",IFERROR(AM352*A352,""),""))</f>
        <v>0</v>
      </c>
      <c r="AV352" s="103">
        <f t="shared" si="66"/>
        <v>0</v>
      </c>
    </row>
    <row r="353" spans="1:48">
      <c r="C353" s="237" t="s">
        <v>1060</v>
      </c>
      <c r="D353" s="267">
        <v>2008.96</v>
      </c>
      <c r="E353" s="267">
        <v>1892.16</v>
      </c>
      <c r="F353" s="238">
        <f t="shared" si="62"/>
        <v>1648.0393765381459</v>
      </c>
      <c r="G353" s="238">
        <f>IFERROR(ROUNDUP(F353*'Customer Base'!$J$5,2),0)</f>
        <v>27522.26</v>
      </c>
      <c r="H353" s="238">
        <f t="shared" si="63"/>
        <v>1552.2231337161606</v>
      </c>
      <c r="I353" s="238">
        <f>IFERROR(ROUNDUP(H353*'Customer Base'!$J$5,2),0)</f>
        <v>25922.129999999997</v>
      </c>
      <c r="J353" s="103" t="str">
        <f t="shared" si="64"/>
        <v/>
      </c>
      <c r="L353" s="103" t="str">
        <f t="shared" si="65"/>
        <v/>
      </c>
      <c r="N353" s="103">
        <v>362</v>
      </c>
      <c r="O353" s="103" t="str">
        <f>IF('Customer Base'!$I$15="MANUAL",IF(B353&lt;&gt;"",C353,""),IF('Customer Base'!$I$15="AUTOMATE",IF(A353&lt;&gt;"",C353,""),""))</f>
        <v/>
      </c>
      <c r="AO353" s="103">
        <f>IF('Customer Base'!$I$15="MANUAL",IFERROR(AM353*B353,""),IF('Customer Base'!$I$15="AUTOMATE",IFERROR(AM353*A353,""),""))</f>
        <v>0</v>
      </c>
      <c r="AV353" s="103">
        <f t="shared" si="66"/>
        <v>0</v>
      </c>
    </row>
    <row r="354" spans="1:48">
      <c r="C354" s="237" t="s">
        <v>1061</v>
      </c>
      <c r="D354" s="267">
        <v>68.8</v>
      </c>
      <c r="E354" s="267">
        <v>64.8</v>
      </c>
      <c r="F354" s="238">
        <f t="shared" si="62"/>
        <v>56.439704675963895</v>
      </c>
      <c r="G354" s="238">
        <f>IFERROR(ROUNDUP(F354*'Customer Base'!$J$5,2),0)</f>
        <v>942.55</v>
      </c>
      <c r="H354" s="238">
        <f t="shared" si="63"/>
        <v>53.15832649712879</v>
      </c>
      <c r="I354" s="238">
        <f>IFERROR(ROUNDUP(H354*'Customer Base'!$J$5,2),0)</f>
        <v>887.75</v>
      </c>
      <c r="J354" s="103" t="str">
        <f t="shared" si="64"/>
        <v/>
      </c>
      <c r="L354" s="103" t="str">
        <f t="shared" si="65"/>
        <v/>
      </c>
      <c r="N354" s="103">
        <v>363</v>
      </c>
      <c r="O354" s="103" t="str">
        <f>IF('Customer Base'!$I$15="MANUAL",IF(B354&lt;&gt;"",C354,""),IF('Customer Base'!$I$15="AUTOMATE",IF(A354&lt;&gt;"",C354,""),""))</f>
        <v/>
      </c>
      <c r="AO354" s="103">
        <f>IF('Customer Base'!$I$15="MANUAL",IFERROR(AM354*B354,""),IF('Customer Base'!$I$15="AUTOMATE",IFERROR(AM354*A354,""),""))</f>
        <v>0</v>
      </c>
      <c r="AV354" s="103">
        <f t="shared" si="66"/>
        <v>0</v>
      </c>
    </row>
    <row r="355" spans="1:48">
      <c r="C355" s="237" t="s">
        <v>1062</v>
      </c>
      <c r="D355" s="267">
        <v>72.239999999999995</v>
      </c>
      <c r="E355" s="267">
        <v>68.040000000000006</v>
      </c>
      <c r="F355" s="238">
        <f t="shared" si="62"/>
        <v>59.26168990976209</v>
      </c>
      <c r="G355" s="238">
        <f>IFERROR(ROUNDUP(F355*'Customer Base'!$J$5,2),0)</f>
        <v>989.68</v>
      </c>
      <c r="H355" s="238">
        <f t="shared" si="63"/>
        <v>55.816242821985234</v>
      </c>
      <c r="I355" s="238">
        <f>IFERROR(ROUNDUP(H355*'Customer Base'!$J$5,2),0)</f>
        <v>932.14</v>
      </c>
      <c r="J355" s="103" t="str">
        <f t="shared" si="64"/>
        <v/>
      </c>
      <c r="L355" s="103" t="str">
        <f t="shared" si="65"/>
        <v/>
      </c>
      <c r="N355" s="103">
        <v>364</v>
      </c>
      <c r="O355" s="103" t="str">
        <f>IF('Customer Base'!$I$15="MANUAL",IF(B355&lt;&gt;"",C355,""),IF('Customer Base'!$I$15="AUTOMATE",IF(A355&lt;&gt;"",C355,""),""))</f>
        <v/>
      </c>
      <c r="AO355" s="103">
        <f>IF('Customer Base'!$I$15="MANUAL",IFERROR(AM355*B355,""),IF('Customer Base'!$I$15="AUTOMATE",IFERROR(AM355*A355,""),""))</f>
        <v>0</v>
      </c>
      <c r="AV355" s="103">
        <f t="shared" si="66"/>
        <v>0</v>
      </c>
    </row>
    <row r="356" spans="1:48">
      <c r="D356" s="319"/>
      <c r="E356" s="319"/>
      <c r="F356" s="224">
        <f t="shared" si="62"/>
        <v>0</v>
      </c>
      <c r="G356" s="224">
        <f>IFERROR(ROUNDUP(F356*'Customer Base'!$J$5,2),0)</f>
        <v>0</v>
      </c>
      <c r="H356" s="224">
        <f t="shared" si="63"/>
        <v>0</v>
      </c>
      <c r="I356" s="224">
        <f>IFERROR(ROUNDUP(H356*'Customer Base'!$J$5,2),0)</f>
        <v>0</v>
      </c>
      <c r="J356" s="103" t="str">
        <f t="shared" si="64"/>
        <v/>
      </c>
      <c r="L356" s="103" t="str">
        <f t="shared" si="65"/>
        <v/>
      </c>
      <c r="N356" s="103">
        <v>365</v>
      </c>
      <c r="O356" s="103" t="str">
        <f>IF('Customer Base'!$I$15="MANUAL",IF(B356&lt;&gt;"",C356,""),IF('Customer Base'!$I$15="AUTOMATE",IF(A356&lt;&gt;"",C356,""),""))</f>
        <v/>
      </c>
      <c r="AO356" s="103">
        <f>IF('Customer Base'!$I$15="MANUAL",IFERROR(AM356*B356,""),IF('Customer Base'!$I$15="AUTOMATE",IFERROR(AM356*A356,""),""))</f>
        <v>0</v>
      </c>
      <c r="AV356" s="103">
        <f t="shared" si="66"/>
        <v>0</v>
      </c>
    </row>
    <row r="357" spans="1:48">
      <c r="A357" s="103">
        <f>IF('Customer Base'!D$9=1,1,"")</f>
        <v>1</v>
      </c>
      <c r="B357" s="270">
        <v>1</v>
      </c>
      <c r="C357" s="237" t="s">
        <v>1029</v>
      </c>
      <c r="D357" s="267">
        <v>48.85</v>
      </c>
      <c r="E357" s="267">
        <v>46.008000000000003</v>
      </c>
      <c r="F357" s="238">
        <f t="shared" si="62"/>
        <v>40.073831009023792</v>
      </c>
      <c r="G357" s="238">
        <f>IFERROR(ROUNDUP(F357*'Customer Base'!$J$5,2),0)</f>
        <v>669.24</v>
      </c>
      <c r="H357" s="238">
        <f t="shared" si="63"/>
        <v>37.742411812961443</v>
      </c>
      <c r="I357" s="238">
        <f>IFERROR(ROUNDUP(H357*'Customer Base'!$J$5,2),0)</f>
        <v>630.29999999999995</v>
      </c>
      <c r="J357" s="103" t="str">
        <f t="shared" si="64"/>
        <v/>
      </c>
      <c r="L357" s="103" t="str">
        <f t="shared" si="65"/>
        <v/>
      </c>
      <c r="N357" s="103">
        <v>366</v>
      </c>
      <c r="O357" s="103" t="str">
        <f>IF('Customer Base'!$I$15="MANUAL",IF(B357&lt;&gt;"",C357,""),IF('Customer Base'!$I$15="AUTOMATE",IF(A357&lt;&gt;"",C357,""),""))</f>
        <v>Citel AC Surge Protection Device DAC50VGS-11-275/G VAC 1-Phase</v>
      </c>
      <c r="AO357" s="103">
        <f>IF('Customer Base'!$I$15="MANUAL",IFERROR(AM357*B357,""),IF('Customer Base'!$I$15="AUTOMATE",IFERROR(AM357*A357,""),""))</f>
        <v>0</v>
      </c>
      <c r="AV357" s="103">
        <f t="shared" si="66"/>
        <v>0</v>
      </c>
    </row>
    <row r="358" spans="1:48">
      <c r="A358" s="103" t="str">
        <f>IF('Customer Base'!D$9=3,1,"")</f>
        <v/>
      </c>
      <c r="B358" s="270" t="s">
        <v>1</v>
      </c>
      <c r="C358" s="237" t="s">
        <v>1030</v>
      </c>
      <c r="D358" s="267">
        <v>92.03</v>
      </c>
      <c r="E358" s="267">
        <v>86.686000000000007</v>
      </c>
      <c r="F358" s="238">
        <f t="shared" si="62"/>
        <v>75.496308449548806</v>
      </c>
      <c r="G358" s="238">
        <f>IFERROR(ROUNDUP(F358*'Customer Base'!$J$5,2),0)</f>
        <v>1260.79</v>
      </c>
      <c r="H358" s="238">
        <f t="shared" si="63"/>
        <v>71.112387202625101</v>
      </c>
      <c r="I358" s="238">
        <f>IFERROR(ROUNDUP(H358*'Customer Base'!$J$5,2),0)</f>
        <v>1187.58</v>
      </c>
      <c r="J358" s="103" t="str">
        <f t="shared" si="64"/>
        <v/>
      </c>
      <c r="L358" s="103" t="str">
        <f t="shared" si="65"/>
        <v/>
      </c>
      <c r="N358" s="103">
        <v>367</v>
      </c>
      <c r="O358" s="103" t="str">
        <f>IF('Customer Base'!$I$15="MANUAL",IF(B358&lt;&gt;"",C358,""),IF('Customer Base'!$I$15="AUTOMATE",IF(A358&lt;&gt;"",C358,""),""))</f>
        <v/>
      </c>
      <c r="AO358" s="103" t="str">
        <f>IF('Customer Base'!$I$15="MANUAL",IFERROR(AM358*B358,""),IF('Customer Base'!$I$15="AUTOMATE",IFERROR(AM358*A358,""),""))</f>
        <v/>
      </c>
      <c r="AV358" s="103">
        <f t="shared" si="66"/>
        <v>0</v>
      </c>
    </row>
    <row r="359" spans="1:48">
      <c r="D359" s="319"/>
      <c r="E359" s="319"/>
      <c r="F359" s="224">
        <f t="shared" si="62"/>
        <v>0</v>
      </c>
      <c r="G359" s="224">
        <f>IFERROR(ROUNDUP(F359*'Customer Base'!$J$5,2),0)</f>
        <v>0</v>
      </c>
      <c r="H359" s="224">
        <f t="shared" si="63"/>
        <v>0</v>
      </c>
      <c r="I359" s="224">
        <f>IFERROR(ROUNDUP(H359*'Customer Base'!$J$5,2),0)</f>
        <v>0</v>
      </c>
      <c r="J359" s="103" t="str">
        <f t="shared" si="64"/>
        <v/>
      </c>
      <c r="L359" s="103" t="str">
        <f t="shared" si="65"/>
        <v/>
      </c>
      <c r="N359" s="103">
        <v>368</v>
      </c>
      <c r="O359" s="103" t="str">
        <f>IF('Customer Base'!$I$15="MANUAL",IF(B359&lt;&gt;"",C359,""),IF('Customer Base'!$I$15="AUTOMATE",IF(A359&lt;&gt;"",C359,""),""))</f>
        <v/>
      </c>
      <c r="AO359" s="103">
        <f>IF('Customer Base'!$I$15="MANUAL",IFERROR(AM359*B359,""),IF('Customer Base'!$I$15="AUTOMATE",IFERROR(AM359*A359,""),""))</f>
        <v>0</v>
      </c>
      <c r="AV359" s="103">
        <f t="shared" si="66"/>
        <v>0</v>
      </c>
    </row>
    <row r="360" spans="1:48">
      <c r="A360" s="103" t="str">
        <f>IFERROR(IF(AND(OR(AND('Customer Base'!D$13&lt;&gt;"Victron",'Customer Base'!D7="Hybrid"),'Customer Base'!D7="Mini-Grid",'Customer Base'!D7="Grid-Tied"),(SUMPRODUCT(A242:A254,AQ242:AQ254)/SUM(A6:A132))&lt;600,'Customer Base'!D7&lt;&gt;"Backup"),IF('Customer Base'!D13&lt;&gt;"Victron",'Customer Base'!D15,IF(AND('Customer Base'!D7="Mini-Grid",'Customer Base'!F13&lt;&gt;""),'Customer Base'!F15,"")),""),"")</f>
        <v/>
      </c>
      <c r="B360" s="270" t="s">
        <v>1</v>
      </c>
      <c r="C360" s="237" t="s">
        <v>2730</v>
      </c>
      <c r="D360" s="267">
        <v>63.86</v>
      </c>
      <c r="E360" s="267">
        <v>60.151000000000003</v>
      </c>
      <c r="F360" s="238">
        <f t="shared" si="62"/>
        <v>52.387202625102539</v>
      </c>
      <c r="G360" s="238">
        <f>IFERROR(ROUNDUP(F360*'Customer Base'!$J$5,2),0)</f>
        <v>874.87</v>
      </c>
      <c r="H360" s="238">
        <f t="shared" si="63"/>
        <v>49.344544708777683</v>
      </c>
      <c r="I360" s="238">
        <f>IFERROR(ROUNDUP(H360*'Customer Base'!$J$5,2),0)</f>
        <v>824.06</v>
      </c>
      <c r="J360" s="103" t="str">
        <f t="shared" si="64"/>
        <v/>
      </c>
      <c r="L360" s="103" t="str">
        <f t="shared" si="65"/>
        <v/>
      </c>
      <c r="N360" s="103">
        <v>369</v>
      </c>
      <c r="O360" s="103" t="str">
        <f>IF('Customer Base'!$I$15="MANUAL",IF(B360&lt;&gt;"",C360,""),IF('Customer Base'!$I$15="AUTOMATE",IF(A360&lt;&gt;"",C360,""),""))</f>
        <v/>
      </c>
      <c r="AO360" s="103" t="str">
        <f>IF('Customer Base'!$I$15="MANUAL",IFERROR(AM360*B360,""),IF('Customer Base'!$I$15="AUTOMATE",IFERROR(AM360*A360,""),""))</f>
        <v/>
      </c>
      <c r="AV360" s="103">
        <f t="shared" si="66"/>
        <v>0</v>
      </c>
    </row>
    <row r="361" spans="1:48">
      <c r="A361" s="103" t="str">
        <f>IFERROR(IF(AND(OR(AND('Customer Base'!D$13&lt;&gt;"Victron",'Customer Base'!D7="Hybrid"),'Customer Base'!D7="Mini-Grid",'Customer Base'!D7="Grid-Tied"),(SUMPRODUCT(A242:A254,AQ242:AQ254)/SUM(A6:A132))&gt;600),IF('Customer Base'!D13&lt;&gt;"Victron",'Customer Base'!D15,IF(AND('Customer Base'!D7="Mini-Grid",'Customer Base'!F13&lt;&gt;""),'Customer Base'!F15,"")),""),"")</f>
        <v/>
      </c>
      <c r="B361" s="270" t="s">
        <v>1</v>
      </c>
      <c r="C361" s="237" t="s">
        <v>946</v>
      </c>
      <c r="D361" s="267">
        <v>104.51</v>
      </c>
      <c r="E361" s="267">
        <v>98.430999999999997</v>
      </c>
      <c r="F361" s="238">
        <f t="shared" si="62"/>
        <v>85.734208367514356</v>
      </c>
      <c r="G361" s="238">
        <f>IFERROR(ROUNDUP(F361*'Customer Base'!$J$5,2),0)</f>
        <v>1431.77</v>
      </c>
      <c r="H361" s="238">
        <f t="shared" si="63"/>
        <v>80.747333880229689</v>
      </c>
      <c r="I361" s="238">
        <f>IFERROR(ROUNDUP(H361*'Customer Base'!$J$5,2),0)</f>
        <v>1348.49</v>
      </c>
      <c r="J361" s="103" t="str">
        <f t="shared" si="64"/>
        <v/>
      </c>
      <c r="L361" s="103" t="str">
        <f t="shared" si="65"/>
        <v/>
      </c>
      <c r="N361" s="103">
        <v>370</v>
      </c>
      <c r="O361" s="103" t="str">
        <f>IF('Customer Base'!$I$15="MANUAL",IF(B361&lt;&gt;"",C361,""),IF('Customer Base'!$I$15="AUTOMATE",IF(A361&lt;&gt;"",C361,""),""))</f>
        <v/>
      </c>
      <c r="AO361" s="103" t="str">
        <f>IF('Customer Base'!$I$15="MANUAL",IFERROR(AM361*B361,""),IF('Customer Base'!$I$15="AUTOMATE",IFERROR(AM361*A361,""),""))</f>
        <v/>
      </c>
      <c r="AV361" s="103">
        <f t="shared" si="66"/>
        <v>0</v>
      </c>
    </row>
    <row r="362" spans="1:48">
      <c r="C362" s="237" t="s">
        <v>947</v>
      </c>
      <c r="D362" s="267">
        <v>113.31</v>
      </c>
      <c r="E362" s="267">
        <v>106.726</v>
      </c>
      <c r="F362" s="238">
        <f t="shared" si="62"/>
        <v>92.953240360951597</v>
      </c>
      <c r="G362" s="238">
        <f>IFERROR(ROUNDUP(F362*'Customer Base'!$J$5,2),0)</f>
        <v>1552.32</v>
      </c>
      <c r="H362" s="238">
        <f t="shared" si="63"/>
        <v>87.552091878588996</v>
      </c>
      <c r="I362" s="238">
        <f>IFERROR(ROUNDUP(H362*'Customer Base'!$J$5,2),0)</f>
        <v>1462.12</v>
      </c>
      <c r="J362" s="103" t="str">
        <f t="shared" si="64"/>
        <v/>
      </c>
      <c r="L362" s="103" t="str">
        <f t="shared" si="65"/>
        <v/>
      </c>
      <c r="N362" s="103">
        <v>371</v>
      </c>
      <c r="O362" s="103" t="str">
        <f>IF('Customer Base'!$I$15="MANUAL",IF(B362&lt;&gt;"",C362,""),IF('Customer Base'!$I$15="AUTOMATE",IF(A362&lt;&gt;"",C362,""),""))</f>
        <v/>
      </c>
      <c r="AO362" s="103">
        <f>IF('Customer Base'!$I$15="MANUAL",IFERROR(AM362*B362,""),IF('Customer Base'!$I$15="AUTOMATE",IFERROR(AM362*A362,""),""))</f>
        <v>0</v>
      </c>
      <c r="AV362" s="103">
        <f t="shared" si="66"/>
        <v>0</v>
      </c>
    </row>
    <row r="363" spans="1:48">
      <c r="C363" s="237" t="s">
        <v>2729</v>
      </c>
      <c r="D363" s="267">
        <v>37.58</v>
      </c>
      <c r="E363" s="267">
        <v>35.396999999999998</v>
      </c>
      <c r="F363" s="238">
        <f t="shared" si="62"/>
        <v>30.828547990155862</v>
      </c>
      <c r="G363" s="238">
        <f>IFERROR(ROUNDUP(F363*'Customer Base'!$J$5,2),0)</f>
        <v>514.84</v>
      </c>
      <c r="H363" s="238">
        <f t="shared" si="63"/>
        <v>29.037735849056599</v>
      </c>
      <c r="I363" s="238">
        <f>IFERROR(ROUNDUP(H363*'Customer Base'!$J$5,2),0)</f>
        <v>484.94</v>
      </c>
      <c r="J363" s="103" t="str">
        <f t="shared" si="64"/>
        <v/>
      </c>
      <c r="L363" s="103" t="str">
        <f t="shared" si="65"/>
        <v/>
      </c>
      <c r="N363" s="103">
        <v>372</v>
      </c>
      <c r="O363" s="103" t="str">
        <f>IF('Customer Base'!$I$15="MANUAL",IF(B363&lt;&gt;"",C363,""),IF('Customer Base'!$I$15="AUTOMATE",IF(A363&lt;&gt;"",C363,""),""))</f>
        <v/>
      </c>
      <c r="AO363" s="103">
        <f>IF('Customer Base'!$I$15="MANUAL",IFERROR(AM363*B363,""),IF('Customer Base'!$I$15="AUTOMATE",IFERROR(AM363*A363,""),""))</f>
        <v>0</v>
      </c>
      <c r="AV363" s="103">
        <f t="shared" si="66"/>
        <v>0</v>
      </c>
    </row>
    <row r="364" spans="1:48">
      <c r="D364" s="319"/>
      <c r="E364" s="319"/>
      <c r="I364" s="224"/>
      <c r="J364" s="103" t="str">
        <f t="shared" si="64"/>
        <v/>
      </c>
      <c r="L364" s="103" t="str">
        <f t="shared" si="65"/>
        <v/>
      </c>
      <c r="N364" s="103">
        <v>373</v>
      </c>
      <c r="O364" s="103" t="str">
        <f>IF('Customer Base'!$I$15="MANUAL",IF(B364&lt;&gt;"",C364,""),IF('Customer Base'!$I$15="AUTOMATE",IF(A364&lt;&gt;"",C364,""),""))</f>
        <v/>
      </c>
      <c r="AO364" s="103">
        <f>IF('Customer Base'!$I$15="MANUAL",IFERROR(AM364*B364,""),IF('Customer Base'!$I$15="AUTOMATE",IFERROR(AM364*A364,""),""))</f>
        <v>0</v>
      </c>
      <c r="AV364" s="103">
        <f t="shared" si="66"/>
        <v>0</v>
      </c>
    </row>
    <row r="365" spans="1:48">
      <c r="C365" s="246" t="s">
        <v>1897</v>
      </c>
      <c r="D365" s="322"/>
      <c r="E365" s="322"/>
      <c r="F365" s="252">
        <f t="shared" si="62"/>
        <v>0</v>
      </c>
      <c r="G365" s="234">
        <f>IFERROR(ROUNDUP(F365*'Customer Base'!$J$5,2),0)</f>
        <v>0</v>
      </c>
      <c r="H365" s="252">
        <f t="shared" si="63"/>
        <v>0</v>
      </c>
      <c r="I365" s="234">
        <f>IFERROR(ROUNDUP(H365*'Customer Base'!$J$5,2),0)</f>
        <v>0</v>
      </c>
      <c r="J365" s="103" t="str">
        <f t="shared" si="64"/>
        <v/>
      </c>
      <c r="L365" s="103" t="str">
        <f t="shared" si="65"/>
        <v/>
      </c>
      <c r="N365" s="103">
        <v>374</v>
      </c>
      <c r="O365" s="103" t="str">
        <f>IF('Customer Base'!$I$15="MANUAL",IF(B365&lt;&gt;"",C365,""),IF('Customer Base'!$I$15="AUTOMATE",IF(A365&lt;&gt;"",C365,""),""))</f>
        <v/>
      </c>
      <c r="AO365" s="103">
        <f>IF('Customer Base'!$I$15="MANUAL",IFERROR(AM365*B365,""),IF('Customer Base'!$I$15="AUTOMATE",IFERROR(AM365*A365,""),""))</f>
        <v>0</v>
      </c>
      <c r="AV365" s="103">
        <f t="shared" si="66"/>
        <v>0</v>
      </c>
    </row>
    <row r="366" spans="1:48">
      <c r="A366" s="103">
        <f ca="1">IFERROR(IF(IF('CABLE SIZING TOOL'!E$104*100&lt;=3,'Customer Base'!D$31*L$1*2,0)+IF(AND('Customer Base'!D7="Mini-Grid",'CABLE SIZING TOOL'!K$104*100&lt;=3),'Customer Base'!D$31*L$5*2,0)+IF(AND('Customer Base'!D$13="Victron",'Customer Base'!D$7&lt;&gt;"Backup"),IF(Items!L$1=1,0,Items!L$1*10),0)=0,"",IF('CABLE SIZING TOOL'!E$104*100&lt;=3,'Customer Base'!D$31*L$1*2,0)+IF(AND('Customer Base'!D7="Mini-Grid",'CABLE SIZING TOOL'!K$104*100&lt;=3),'Customer Base'!D$31*L$5*2,0)+IF(AND('Customer Base'!D$13="Victron",'Customer Base'!D$7&lt;&gt;"Backup"),IF(Items!L$1=1,0,Items!L$1*10),0)),"")</f>
        <v>20</v>
      </c>
      <c r="B366" s="270">
        <v>20</v>
      </c>
      <c r="C366" s="253" t="s">
        <v>1134</v>
      </c>
      <c r="D366" s="325">
        <v>1.02</v>
      </c>
      <c r="E366" s="325">
        <v>0.93500000000000005</v>
      </c>
      <c r="F366" s="255">
        <f t="shared" si="62"/>
        <v>0.83675143560295318</v>
      </c>
      <c r="G366" s="255">
        <f>IFERROR(ROUNDUP(F366*'Customer Base'!$J$5,2),0)</f>
        <v>13.98</v>
      </c>
      <c r="H366" s="255">
        <f t="shared" si="63"/>
        <v>0.76702214930270718</v>
      </c>
      <c r="I366" s="255">
        <f>IFERROR(ROUNDUP(H366*'Customer Base'!$J$5,2),0)</f>
        <v>12.81</v>
      </c>
      <c r="J366" s="103" t="str">
        <f t="shared" si="64"/>
        <v/>
      </c>
      <c r="L366" s="103" t="str">
        <f t="shared" si="65"/>
        <v/>
      </c>
      <c r="N366" s="103">
        <v>375</v>
      </c>
      <c r="O366" s="103" t="str">
        <f>IF('Customer Base'!$I$15="MANUAL",IF(B366&lt;&gt;"",C366,""),IF('Customer Base'!$I$15="AUTOMATE",IF(A366&lt;&gt;"",C366,""),""))</f>
        <v>Hikra Sol DC Solar cable 1x4mm2 1500V H1Z2Z2</v>
      </c>
      <c r="AO366" s="103">
        <f>IF('Customer Base'!$I$15="MANUAL",IFERROR(AM366*B366,""),IF('Customer Base'!$I$15="AUTOMATE",IFERROR(AM366*A366,""),""))</f>
        <v>0</v>
      </c>
      <c r="AV366" s="103">
        <f t="shared" si="66"/>
        <v>0</v>
      </c>
    </row>
    <row r="367" spans="1:48">
      <c r="A367" s="242">
        <f ca="1">IF(IFERROR(IF(AND('CABLE SIZING TOOL'!E$104*100&gt;3,'CABLE SIZING TOOL'!F$104*100&lt;=3),'Customer Base'!D$31*(IF(AND('Customer Base'!D7&lt;&gt;"Backup",'Customer Base'!D7&lt;&gt;"Grid-Tied",SUM(Items!A257:A289)&gt;0),SUM(Items!A257:A289),L$1)*2),0)+IF(AND('Customer Base'!D7="Mini-Grid",'CABLE SIZING TOOL'!K$104*100&gt;3,'CABLE SIZING TOOL'!L$104*100&lt;=3),'Customer Base'!D$31*L$5*2,0),"")=0,"",IFERROR(IF(AND('CABLE SIZING TOOL'!E$104*100&gt;3,'CABLE SIZING TOOL'!F$104*100&lt;=3),'Customer Base'!D$31*(IF(AND('Customer Base'!D7&lt;&gt;"Backup",'Customer Base'!D7&lt;&gt;"Grid-Tied",SUM(Items!A257:A289)&gt;0),SUM(Items!A257:A289),L$1)*2),0)+IF(AND('Customer Base'!D7="Mini-Grid",'CABLE SIZING TOOL'!K$104*100&gt;3,'CABLE SIZING TOOL'!L$104*100&lt;=3),'Customer Base'!D$31*L$5*2,0),""))</f>
        <v>80</v>
      </c>
      <c r="B367" s="270">
        <v>80</v>
      </c>
      <c r="C367" s="253" t="s">
        <v>1135</v>
      </c>
      <c r="D367" s="325">
        <v>1.36</v>
      </c>
      <c r="E367" s="325">
        <v>1.2529999999999999</v>
      </c>
      <c r="F367" s="255">
        <f t="shared" si="62"/>
        <v>1.1156685808039377</v>
      </c>
      <c r="G367" s="255">
        <f>IFERROR(ROUNDUP(F367*'Customer Base'!$J$5,2),0)</f>
        <v>18.64</v>
      </c>
      <c r="H367" s="255">
        <f t="shared" si="63"/>
        <v>1.0278917145200983</v>
      </c>
      <c r="I367" s="255">
        <f>IFERROR(ROUNDUP(H367*'Customer Base'!$J$5,2),0)</f>
        <v>17.170000000000002</v>
      </c>
      <c r="J367" s="103" t="str">
        <f t="shared" si="64"/>
        <v/>
      </c>
      <c r="L367" s="103" t="str">
        <f t="shared" si="65"/>
        <v/>
      </c>
      <c r="N367" s="103">
        <v>376</v>
      </c>
      <c r="O367" s="103" t="str">
        <f>IF('Customer Base'!$I$15="MANUAL",IF(B367&lt;&gt;"",C367,""),IF('Customer Base'!$I$15="AUTOMATE",IF(A367&lt;&gt;"",C367,""),""))</f>
        <v>Hikra Sol DC Solar cable 1x6mm2 1500V H1Z2Z2</v>
      </c>
      <c r="AO367" s="103">
        <f>IF('Customer Base'!$I$15="MANUAL",IFERROR(AM367*B367,""),IF('Customer Base'!$I$15="AUTOMATE",IFERROR(AM367*A367,""),""))</f>
        <v>0</v>
      </c>
      <c r="AV367" s="103">
        <f t="shared" si="66"/>
        <v>0</v>
      </c>
    </row>
    <row r="368" spans="1:48">
      <c r="A368" s="103" t="str">
        <f ca="1">IFERROR(IF(AND('CABLE SIZING TOOL'!E$104*100&gt;3,'CABLE SIZING TOOL'!F$104*100&gt;3,'CABLE SIZING TOOL'!G$104*100&lt;=3),'Customer Base'!D$31*(IF(AND('Customer Base'!D7&lt;&gt;"Backup",'Customer Base'!D7&lt;&gt;"Grid-Tied",SUM(Items!A257:A289)&gt;0),SUM(Items!A257:A289),L$1)*2),""),"")</f>
        <v/>
      </c>
      <c r="B368" s="270" t="s">
        <v>1</v>
      </c>
      <c r="C368" s="253" t="s">
        <v>1136</v>
      </c>
      <c r="D368" s="325">
        <v>2.35</v>
      </c>
      <c r="E368" s="325">
        <v>2.1589999999999998</v>
      </c>
      <c r="F368" s="255">
        <f t="shared" si="62"/>
        <v>1.9278096800656275</v>
      </c>
      <c r="G368" s="255">
        <f>IFERROR(ROUNDUP(F368*'Customer Base'!$J$5,2),0)</f>
        <v>32.199999999999996</v>
      </c>
      <c r="H368" s="255">
        <f t="shared" si="63"/>
        <v>1.7711238720262508</v>
      </c>
      <c r="I368" s="255">
        <f>IFERROR(ROUNDUP(H368*'Customer Base'!$J$5,2),0)</f>
        <v>29.580000000000002</v>
      </c>
      <c r="J368" s="103" t="str">
        <f t="shared" si="64"/>
        <v/>
      </c>
      <c r="L368" s="103" t="str">
        <f t="shared" si="65"/>
        <v/>
      </c>
      <c r="N368" s="103">
        <v>377</v>
      </c>
      <c r="O368" s="103" t="str">
        <f>IF('Customer Base'!$I$15="MANUAL",IF(B368&lt;&gt;"",C368,""),IF('Customer Base'!$I$15="AUTOMATE",IF(A368&lt;&gt;"",C368,""),""))</f>
        <v/>
      </c>
      <c r="AO368" s="103" t="str">
        <f>IF('Customer Base'!$I$15="MANUAL",IFERROR(AM368*B368,""),IF('Customer Base'!$I$15="AUTOMATE",IFERROR(AM368*A368,""),""))</f>
        <v/>
      </c>
      <c r="AV368" s="103">
        <f t="shared" si="66"/>
        <v>0</v>
      </c>
    </row>
    <row r="369" spans="1:48">
      <c r="A369" s="103">
        <f ca="1">IFERROR(IF(AND('Customer Base'!D$20="BYD",'Customer Base'!E$20=5,'Customer Base'!D7&lt;&gt;"Grid-Tied"),'Customer Base'!J$8+IF(AND('CABLE SIZING TOOL'!E$104*100&gt;3,'CABLE SIZING TOOL'!F$104*100&gt;=3,'CABLE SIZING TOOL'!G$104*100&gt;3,'CABLE SIZING TOOL'!H$104*100&lt;=3),'Customer Base'!D$31*(IF(AND('Customer Base'!D7&lt;&gt;"Backup",'Customer Base'!D7&lt;&gt;"Grid-Tied",SUM(Items!A257:A289)&gt;0),SUM(Items!A257:A289),L$1)*2),IF(AND('CABLE SIZING TOOL'!E$104*100&gt;3,'CABLE SIZING TOOL'!F$104*100&gt;3,'CABLE SIZING TOOL'!G$104*100&gt;3,'CABLE SIZING TOOL'!H$104*100&lt;=3),'Customer Base'!D$31*(IF(AND('Customer Base'!D7&lt;&gt;"Backup",'Customer Base'!D7&lt;&gt;"Grid-Tied",SUM(Items!A257:A289)&gt;0),SUM(Items!A257:A289),L$1)*2))),""),"")</f>
        <v>10</v>
      </c>
      <c r="B369" s="270">
        <v>60</v>
      </c>
      <c r="C369" s="253" t="s">
        <v>1142</v>
      </c>
      <c r="D369" s="325">
        <v>4.53</v>
      </c>
      <c r="E369" s="325">
        <v>4.165</v>
      </c>
      <c r="F369" s="255">
        <f t="shared" si="62"/>
        <v>3.7161607875307627</v>
      </c>
      <c r="G369" s="255">
        <f>IFERROR(ROUNDUP(F369*'Customer Base'!$J$5,2),0)</f>
        <v>62.059999999999995</v>
      </c>
      <c r="H369" s="255">
        <f t="shared" si="63"/>
        <v>3.416735028712059</v>
      </c>
      <c r="I369" s="255">
        <f>IFERROR(ROUNDUP(H369*'Customer Base'!$J$5,2),0)</f>
        <v>57.059999999999995</v>
      </c>
      <c r="J369" s="103" t="str">
        <f t="shared" si="64"/>
        <v/>
      </c>
      <c r="L369" s="103" t="str">
        <f t="shared" si="65"/>
        <v/>
      </c>
      <c r="N369" s="103">
        <v>378</v>
      </c>
      <c r="O369" s="103" t="str">
        <f>IF('Customer Base'!$I$15="MANUAL",IF(B369&lt;&gt;"",C369,""),IF('Customer Base'!$I$15="AUTOMATE",IF(A369&lt;&gt;"",C369,""),""))</f>
        <v>Hikra Sol DC Solar cable 1x16mm2 1500V H1Z2Z2</v>
      </c>
      <c r="AO369" s="103">
        <f>IF('Customer Base'!$I$15="MANUAL",IFERROR(AM369*B369,""),IF('Customer Base'!$I$15="AUTOMATE",IFERROR(AM369*A369,""),""))</f>
        <v>0</v>
      </c>
      <c r="AV369" s="103">
        <f t="shared" si="66"/>
        <v>0</v>
      </c>
    </row>
    <row r="370" spans="1:48">
      <c r="A370" s="103">
        <f ca="1">IF(AND('Customer Base'!D13="Victron",'Customer Base'!D7&lt;&gt;"Backup",SUMPRODUCT(A6:A66,AP6:AP66)=0),5*SUM(A257:A289)+IF('CABLE SIZING TOOL'!I$45&lt;=25,5*'Customer Base'!D$15,0),IF('CABLE SIZING TOOL'!I$45&lt;=25,5*'Customer Base'!D$15,""))</f>
        <v>15</v>
      </c>
      <c r="B370" s="270">
        <v>15</v>
      </c>
      <c r="C370" s="253" t="s">
        <v>1143</v>
      </c>
      <c r="D370" s="325">
        <v>8.25</v>
      </c>
      <c r="E370" s="325">
        <v>7.5819999999999999</v>
      </c>
      <c r="F370" s="255">
        <f t="shared" si="62"/>
        <v>6.7678424938474153</v>
      </c>
      <c r="G370" s="255">
        <f>IFERROR(ROUNDUP(F370*'Customer Base'!$J$5,2),0)</f>
        <v>113.03</v>
      </c>
      <c r="H370" s="255">
        <f t="shared" si="63"/>
        <v>6.2198523379819521</v>
      </c>
      <c r="I370" s="255">
        <f>IFERROR(ROUNDUP(H370*'Customer Base'!$J$5,2),0)</f>
        <v>103.88000000000001</v>
      </c>
      <c r="J370" s="103" t="str">
        <f t="shared" si="64"/>
        <v/>
      </c>
      <c r="L370" s="103" t="str">
        <f t="shared" si="65"/>
        <v/>
      </c>
      <c r="N370" s="103">
        <v>379</v>
      </c>
      <c r="O370" s="103" t="str">
        <f>IF('Customer Base'!$I$15="MANUAL",IF(B370&lt;&gt;"",C370,""),IF('Customer Base'!$I$15="AUTOMATE",IF(A370&lt;&gt;"",C370,""),""))</f>
        <v>Hikra Sol DC Solar cable 1x25mm2 1500V H1Z2Z2</v>
      </c>
      <c r="AO370" s="103">
        <f>IF('Customer Base'!$I$15="MANUAL",IFERROR(AM370*B370,""),IF('Customer Base'!$I$15="AUTOMATE",IFERROR(AM370*A370,""),""))</f>
        <v>0</v>
      </c>
      <c r="AV370" s="103">
        <f t="shared" si="66"/>
        <v>0</v>
      </c>
    </row>
    <row r="371" spans="1:48">
      <c r="A371" s="103" t="str">
        <f>IF('CABLE SIZING TOOL'!I$45=35,5*'Customer Base'!D$15,"")</f>
        <v/>
      </c>
      <c r="B371" s="270" t="s">
        <v>1</v>
      </c>
      <c r="C371" s="253" t="s">
        <v>1144</v>
      </c>
      <c r="D371" s="325">
        <v>12.75</v>
      </c>
      <c r="E371" s="325">
        <v>11.712999999999999</v>
      </c>
      <c r="F371" s="255">
        <f t="shared" si="62"/>
        <v>10.459392945036916</v>
      </c>
      <c r="G371" s="255">
        <f>IFERROR(ROUNDUP(F371*'Customer Base'!$J$5,2),0)</f>
        <v>174.67999999999998</v>
      </c>
      <c r="H371" s="255">
        <f t="shared" si="63"/>
        <v>9.6086956521739122</v>
      </c>
      <c r="I371" s="255">
        <f>IFERROR(ROUNDUP(H371*'Customer Base'!$J$5,2),0)</f>
        <v>160.47</v>
      </c>
      <c r="J371" s="103" t="str">
        <f t="shared" si="64"/>
        <v/>
      </c>
      <c r="L371" s="103" t="str">
        <f t="shared" si="65"/>
        <v/>
      </c>
      <c r="N371" s="103">
        <v>380</v>
      </c>
      <c r="O371" s="103" t="str">
        <f>IF('Customer Base'!$I$15="MANUAL",IF(B371&lt;&gt;"",C371,""),IF('Customer Base'!$I$15="AUTOMATE",IF(A371&lt;&gt;"",C371,""),""))</f>
        <v/>
      </c>
      <c r="AO371" s="103" t="str">
        <f>IF('Customer Base'!$I$15="MANUAL",IFERROR(AM371*B371,""),IF('Customer Base'!$I$15="AUTOMATE",IFERROR(AM371*A371,""),""))</f>
        <v/>
      </c>
      <c r="AV371" s="103">
        <f t="shared" si="66"/>
        <v>0</v>
      </c>
    </row>
    <row r="372" spans="1:48">
      <c r="A372" s="103" t="str">
        <f>IF('CABLE SIZING TOOL'!I$45=50,5*'Customer Base'!D$15,"")</f>
        <v/>
      </c>
      <c r="B372" s="270" t="s">
        <v>1</v>
      </c>
      <c r="C372" s="253" t="s">
        <v>1145</v>
      </c>
      <c r="D372" s="325">
        <v>23.85</v>
      </c>
      <c r="E372" s="325">
        <v>21.913</v>
      </c>
      <c r="F372" s="255">
        <f t="shared" si="62"/>
        <v>19.565217391304348</v>
      </c>
      <c r="G372" s="255">
        <f>IFERROR(ROUNDUP(F372*'Customer Base'!$J$5,2),0)</f>
        <v>326.74</v>
      </c>
      <c r="H372" s="255">
        <f t="shared" si="63"/>
        <v>17.976210008203445</v>
      </c>
      <c r="I372" s="255">
        <f>IFERROR(ROUNDUP(H372*'Customer Base'!$J$5,2),0)</f>
        <v>300.20999999999998</v>
      </c>
      <c r="J372" s="103" t="str">
        <f t="shared" si="64"/>
        <v/>
      </c>
      <c r="L372" s="103" t="str">
        <f t="shared" si="65"/>
        <v/>
      </c>
      <c r="N372" s="103">
        <v>381</v>
      </c>
      <c r="O372" s="103" t="str">
        <f>IF('Customer Base'!$I$15="MANUAL",IF(B372&lt;&gt;"",C372,""),IF('Customer Base'!$I$15="AUTOMATE",IF(A372&lt;&gt;"",C372,""),""))</f>
        <v/>
      </c>
      <c r="AO372" s="103" t="str">
        <f>IF('Customer Base'!$I$15="MANUAL",IFERROR(AM372*B372,""),IF('Customer Base'!$I$15="AUTOMATE",IFERROR(AM372*A372,""),""))</f>
        <v/>
      </c>
      <c r="AV372" s="103">
        <f t="shared" si="66"/>
        <v>0</v>
      </c>
    </row>
    <row r="373" spans="1:48">
      <c r="A373" s="103" t="str">
        <f>IF('CABLE SIZING TOOL'!I$45=70,5*'Customer Base'!D$15,"")</f>
        <v/>
      </c>
      <c r="B373" s="270" t="s">
        <v>1</v>
      </c>
      <c r="C373" s="253" t="s">
        <v>1146</v>
      </c>
      <c r="D373" s="325">
        <v>30.64</v>
      </c>
      <c r="E373" s="325">
        <v>28.152000000000001</v>
      </c>
      <c r="F373" s="255">
        <f t="shared" si="62"/>
        <v>25.135356849876946</v>
      </c>
      <c r="G373" s="255">
        <f>IFERROR(ROUNDUP(F373*'Customer Base'!$J$5,2),0)</f>
        <v>419.77</v>
      </c>
      <c r="H373" s="255">
        <f t="shared" si="63"/>
        <v>23.09433962264151</v>
      </c>
      <c r="I373" s="255">
        <f>IFERROR(ROUNDUP(H373*'Customer Base'!$J$5,2),0)</f>
        <v>385.68</v>
      </c>
      <c r="J373" s="103" t="str">
        <f t="shared" si="64"/>
        <v/>
      </c>
      <c r="L373" s="103" t="str">
        <f t="shared" si="65"/>
        <v/>
      </c>
      <c r="N373" s="103">
        <v>382</v>
      </c>
      <c r="O373" s="103" t="str">
        <f>IF('Customer Base'!$I$15="MANUAL",IF(B373&lt;&gt;"",C373,""),IF('Customer Base'!$I$15="AUTOMATE",IF(A373&lt;&gt;"",C373,""),""))</f>
        <v/>
      </c>
      <c r="AO373" s="103" t="str">
        <f>IF('Customer Base'!$I$15="MANUAL",IFERROR(AM373*B373,""),IF('Customer Base'!$I$15="AUTOMATE",IFERROR(AM373*A373,""),""))</f>
        <v/>
      </c>
      <c r="AV373" s="103">
        <f t="shared" si="66"/>
        <v>0</v>
      </c>
    </row>
    <row r="374" spans="1:48">
      <c r="A374" s="103" t="str">
        <f>IF('CABLE SIZING TOOL'!I$45=95,5*'Customer Base'!D$15,"")</f>
        <v/>
      </c>
      <c r="B374" s="270" t="s">
        <v>1</v>
      </c>
      <c r="C374" s="253" t="s">
        <v>1147</v>
      </c>
      <c r="D374" s="325">
        <v>41.27</v>
      </c>
      <c r="E374" s="325">
        <v>37.927</v>
      </c>
      <c r="F374" s="255">
        <f t="shared" si="62"/>
        <v>33.855619360131257</v>
      </c>
      <c r="G374" s="255">
        <f>IFERROR(ROUNDUP(F374*'Customer Base'!$J$5,2),0)</f>
        <v>565.39</v>
      </c>
      <c r="H374" s="255">
        <f t="shared" si="63"/>
        <v>31.113207547169807</v>
      </c>
      <c r="I374" s="255">
        <f>IFERROR(ROUNDUP(H374*'Customer Base'!$J$5,2),0)</f>
        <v>519.6</v>
      </c>
      <c r="J374" s="103" t="str">
        <f t="shared" si="64"/>
        <v/>
      </c>
      <c r="L374" s="103" t="str">
        <f t="shared" si="65"/>
        <v/>
      </c>
      <c r="N374" s="103">
        <v>383</v>
      </c>
      <c r="O374" s="103" t="str">
        <f>IF('Customer Base'!$I$15="MANUAL",IF(B374&lt;&gt;"",C374,""),IF('Customer Base'!$I$15="AUTOMATE",IF(A374&lt;&gt;"",C374,""),""))</f>
        <v/>
      </c>
      <c r="AO374" s="103" t="str">
        <f>IF('Customer Base'!$I$15="MANUAL",IFERROR(AM374*B374,""),IF('Customer Base'!$I$15="AUTOMATE",IFERROR(AM374*A374,""),""))</f>
        <v/>
      </c>
      <c r="AV374" s="103">
        <f t="shared" si="66"/>
        <v>0</v>
      </c>
    </row>
    <row r="375" spans="1:48">
      <c r="D375" s="319"/>
      <c r="E375" s="319"/>
      <c r="F375" s="224">
        <f t="shared" si="62"/>
        <v>0</v>
      </c>
      <c r="H375" s="224">
        <f t="shared" si="63"/>
        <v>0</v>
      </c>
      <c r="I375" s="224"/>
      <c r="J375" s="103" t="str">
        <f t="shared" si="64"/>
        <v/>
      </c>
      <c r="L375" s="103" t="str">
        <f t="shared" si="65"/>
        <v/>
      </c>
      <c r="N375" s="103">
        <v>384</v>
      </c>
      <c r="O375" s="103" t="str">
        <f>IF('Customer Base'!$I$15="MANUAL",IF(B375&lt;&gt;"",C375,""),IF('Customer Base'!$I$15="AUTOMATE",IF(A375&lt;&gt;"",C375,""),""))</f>
        <v/>
      </c>
      <c r="AO375" s="103">
        <f>IF('Customer Base'!$I$15="MANUAL",IFERROR(AM375*B375,""),IF('Customer Base'!$I$15="AUTOMATE",IFERROR(AM375*A375,""),""))</f>
        <v>0</v>
      </c>
      <c r="AV375" s="103">
        <f t="shared" si="66"/>
        <v>0</v>
      </c>
    </row>
    <row r="376" spans="1:48">
      <c r="A376" s="103">
        <f>IF(IF(OR('CABLE SIZING TOOL'!D$45&lt;=4,'CABLE SIZING TOOL'!J$45&lt;=4),IF('CABLE SIZING TOOL'!D$45&lt;=4,'Customer Base'!D$32*'Customer Base'!D$15,0)+IF('CABLE SIZING TOOL'!J$45&lt;=4,IF(AND('Customer Base'!D$15=1,'Customer Base'!D$9=1),0,IF(OR('Customer Base'!D$15&gt;1,'Customer Base'!D$9=3),ROUNDUP('Customer Base'!D$32*0.5,0),0))),"")=0,"",IF(OR('CABLE SIZING TOOL'!D$45&lt;=4,'CABLE SIZING TOOL'!J$45&lt;=4),IF('CABLE SIZING TOOL'!D$45&lt;=4,'Customer Base'!D$32*'Customer Base'!D$15,0)+IF('CABLE SIZING TOOL'!J$45&lt;=4,IF(AND('Customer Base'!D$15=1,'Customer Base'!D$9=1),0,IF(OR('Customer Base'!D$15&gt;1,'Customer Base'!D$9=3),ROUNDUP('Customer Base'!D$32*0.5,0),0))),""))</f>
        <v>10</v>
      </c>
      <c r="B376" s="270">
        <v>10</v>
      </c>
      <c r="C376" s="253" t="s">
        <v>1139</v>
      </c>
      <c r="D376" s="325">
        <v>10.51</v>
      </c>
      <c r="E376" s="325">
        <v>9.6560000000000006</v>
      </c>
      <c r="F376" s="255">
        <f t="shared" si="62"/>
        <v>8.6218211648892531</v>
      </c>
      <c r="G376" s="255">
        <f>IFERROR(ROUNDUP(F376*'Customer Base'!$J$5,2),0)</f>
        <v>143.98999999999998</v>
      </c>
      <c r="H376" s="255">
        <f t="shared" si="63"/>
        <v>7.9212469237079572</v>
      </c>
      <c r="I376" s="255">
        <f>IFERROR(ROUNDUP(H376*'Customer Base'!$J$5,2),0)</f>
        <v>132.29</v>
      </c>
      <c r="J376" s="103" t="str">
        <f t="shared" si="64"/>
        <v/>
      </c>
      <c r="L376" s="103" t="str">
        <f t="shared" si="65"/>
        <v/>
      </c>
      <c r="N376" s="103">
        <v>385</v>
      </c>
      <c r="O376" s="103" t="str">
        <f>IF('Customer Base'!$I$15="MANUAL",IF(B376&lt;&gt;"",C376,""),IF('Customer Base'!$I$15="AUTOMATE",IF(A376&lt;&gt;"",C376,""),""))</f>
        <v>Top Cable AC solar cable 5x4mm2 RV-K 0.6/1KV</v>
      </c>
      <c r="AO376" s="103">
        <f>IF('Customer Base'!$I$15="MANUAL",IFERROR(AM376*B376,""),IF('Customer Base'!$I$15="AUTOMATE",IFERROR(AM376*A376,""),""))</f>
        <v>0</v>
      </c>
      <c r="AV376" s="103">
        <f t="shared" si="66"/>
        <v>0</v>
      </c>
    </row>
    <row r="377" spans="1:48">
      <c r="A377" s="103" t="str">
        <f>IF(IF(OR('CABLE SIZING TOOL'!D$45=6,'CABLE SIZING TOOL'!J$45=6),IF('CABLE SIZING TOOL'!D$45=6,'Customer Base'!D$32*'Customer Base'!D$15,0)+IF('CABLE SIZING TOOL'!J$45=6,IF(AND('Customer Base'!D$15=1,'Customer Base'!D$9=1),0,IF(OR('Customer Base'!D$15&gt;1,'Customer Base'!D$9=3),ROUNDUP('Customer Base'!D$32*0.5,0),0))),"")=0,"",IF(OR('CABLE SIZING TOOL'!D$45=6,'CABLE SIZING TOOL'!J$45=6),IF('CABLE SIZING TOOL'!D$45=6,'Customer Base'!D$32*'Customer Base'!D$15,0)+IF('CABLE SIZING TOOL'!J$45=6,IF(AND('Customer Base'!D$15=1,'Customer Base'!D$9=1),0,IF(OR('Customer Base'!D$15&gt;1,'Customer Base'!D$9=3),ROUNDUP('Customer Base'!D$32*0.5,0),0))),""))</f>
        <v/>
      </c>
      <c r="B377" s="270" t="s">
        <v>1</v>
      </c>
      <c r="C377" s="253" t="s">
        <v>1140</v>
      </c>
      <c r="D377" s="325">
        <v>15.73</v>
      </c>
      <c r="E377" s="325">
        <v>14.45</v>
      </c>
      <c r="F377" s="255">
        <f t="shared" ref="F377:F399" si="67">$D377/1.219</f>
        <v>12.904019688269072</v>
      </c>
      <c r="G377" s="255">
        <f>IFERROR(ROUNDUP(F377*'Customer Base'!$J$5,2),0)</f>
        <v>215.5</v>
      </c>
      <c r="H377" s="255">
        <f t="shared" ref="H377:H399" si="68">$E377/1.219</f>
        <v>11.853978671041837</v>
      </c>
      <c r="I377" s="255">
        <f>IFERROR(ROUNDUP(H377*'Customer Base'!$J$5,2),0)</f>
        <v>197.97</v>
      </c>
      <c r="J377" s="103" t="str">
        <f t="shared" si="64"/>
        <v/>
      </c>
      <c r="L377" s="103" t="str">
        <f t="shared" si="65"/>
        <v/>
      </c>
      <c r="N377" s="103">
        <v>386</v>
      </c>
      <c r="O377" s="103" t="str">
        <f>IF('Customer Base'!$I$15="MANUAL",IF(B377&lt;&gt;"",C377,""),IF('Customer Base'!$I$15="AUTOMATE",IF(A377&lt;&gt;"",C377,""),""))</f>
        <v/>
      </c>
      <c r="AO377" s="103" t="str">
        <f>IF('Customer Base'!$I$15="MANUAL",IFERROR(AM377*B377,""),IF('Customer Base'!$I$15="AUTOMATE",IFERROR(AM377*A377,""),""))</f>
        <v/>
      </c>
      <c r="AV377" s="103">
        <f t="shared" si="66"/>
        <v>0</v>
      </c>
    </row>
    <row r="378" spans="1:48">
      <c r="A378" s="103" t="str">
        <f>IF(IF(OR('CABLE SIZING TOOL'!D$45=10,'CABLE SIZING TOOL'!J$45=10),IF('CABLE SIZING TOOL'!D$45=10,'Customer Base'!D$32*'Customer Base'!D$15,0)+IF('CABLE SIZING TOOL'!J$45=10,IF(AND('Customer Base'!D$15=1,'Customer Base'!D$9=1),0,IF(OR('Customer Base'!D$15&gt;1,'Customer Base'!D$9=3),ROUNDUP('Customer Base'!D$32*0.5,0),0))),"")=0,"",IF(OR('CABLE SIZING TOOL'!D$45=10,'CABLE SIZING TOOL'!J$45=10),IF('CABLE SIZING TOOL'!D$45=10,'Customer Base'!D$32*'Customer Base'!D$15,0)+IF('CABLE SIZING TOOL'!J$45=10,IF(AND('Customer Base'!D$15=1,'Customer Base'!D$9=1),0,IF(OR('Customer Base'!D$15&gt;1,'Customer Base'!D$9=3),ROUNDUP('Customer Base'!D$32*0.5,0),0))),""))</f>
        <v/>
      </c>
      <c r="B378" s="270" t="s">
        <v>1</v>
      </c>
      <c r="C378" s="253" t="s">
        <v>1141</v>
      </c>
      <c r="D378" s="325">
        <v>23.96</v>
      </c>
      <c r="E378" s="325">
        <v>22.015000000000001</v>
      </c>
      <c r="F378" s="255">
        <f t="shared" si="67"/>
        <v>19.655455291222314</v>
      </c>
      <c r="G378" s="255">
        <f>IFERROR(ROUNDUP(F378*'Customer Base'!$J$5,2),0)</f>
        <v>328.25</v>
      </c>
      <c r="H378" s="255">
        <f t="shared" si="68"/>
        <v>18.059885151763741</v>
      </c>
      <c r="I378" s="255">
        <f>IFERROR(ROUNDUP(H378*'Customer Base'!$J$5,2),0)</f>
        <v>301.61</v>
      </c>
      <c r="J378" s="103" t="str">
        <f t="shared" si="64"/>
        <v/>
      </c>
      <c r="L378" s="103" t="str">
        <f t="shared" si="65"/>
        <v/>
      </c>
      <c r="N378" s="103">
        <v>387</v>
      </c>
      <c r="O378" s="103" t="str">
        <f>IF('Customer Base'!$I$15="MANUAL",IF(B378&lt;&gt;"",C378,""),IF('Customer Base'!$I$15="AUTOMATE",IF(A378&lt;&gt;"",C378,""),""))</f>
        <v/>
      </c>
      <c r="AO378" s="103" t="str">
        <f>IF('Customer Base'!$I$15="MANUAL",IFERROR(AM378*B378,""),IF('Customer Base'!$I$15="AUTOMATE",IFERROR(AM378*A378,""),""))</f>
        <v/>
      </c>
      <c r="AV378" s="103">
        <f t="shared" si="66"/>
        <v>0</v>
      </c>
    </row>
    <row r="379" spans="1:48">
      <c r="A379" s="103" t="str">
        <f>IF(IF(OR('CABLE SIZING TOOL'!D$45=16,'CABLE SIZING TOOL'!J$45=16),IF('CABLE SIZING TOOL'!D$45=16,'Customer Base'!D$32*'Customer Base'!D$15,0)+IF('CABLE SIZING TOOL'!J$45=16,IF(AND('Customer Base'!D$15=1,'Customer Base'!D$9=1),0,IF(OR('Customer Base'!D$15&gt;1,'Customer Base'!D$9=3),ROUNDUP('Customer Base'!D$32*0.5,0),0))),"")=0,"",IF(OR('CABLE SIZING TOOL'!D$45=16,'CABLE SIZING TOOL'!J$45=16),IF('CABLE SIZING TOOL'!D$45=16,'Customer Base'!D$32*'Customer Base'!D$15,0)+IF('CABLE SIZING TOOL'!J$45=16,IF(AND('Customer Base'!D$15=1,'Customer Base'!D$9=1),0,IF(OR('Customer Base'!D$15&gt;1,'Customer Base'!D$9=3),ROUNDUP('Customer Base'!D$32*0.5,0),0))),""))</f>
        <v/>
      </c>
      <c r="B379" s="270" t="s">
        <v>1</v>
      </c>
      <c r="C379" s="253" t="s">
        <v>1137</v>
      </c>
      <c r="D379" s="325">
        <v>25.44</v>
      </c>
      <c r="E379" s="325">
        <v>23.375</v>
      </c>
      <c r="F379" s="255">
        <f t="shared" si="67"/>
        <v>20.869565217391305</v>
      </c>
      <c r="G379" s="255">
        <f>IFERROR(ROUNDUP(F379*'Customer Base'!$J$5,2),0)</f>
        <v>348.53</v>
      </c>
      <c r="H379" s="255">
        <f t="shared" si="68"/>
        <v>19.175553732567678</v>
      </c>
      <c r="I379" s="255">
        <f>IFERROR(ROUNDUP(H379*'Customer Base'!$J$5,2),0)</f>
        <v>320.24</v>
      </c>
      <c r="J379" s="103" t="str">
        <f t="shared" si="64"/>
        <v/>
      </c>
      <c r="L379" s="103" t="str">
        <f t="shared" si="65"/>
        <v/>
      </c>
      <c r="N379" s="103">
        <v>388</v>
      </c>
      <c r="O379" s="103" t="str">
        <f>IF('Customer Base'!$I$15="MANUAL",IF(B379&lt;&gt;"",C379,""),IF('Customer Base'!$I$15="AUTOMATE",IF(A379&lt;&gt;"",C379,""),""))</f>
        <v/>
      </c>
      <c r="AO379" s="103" t="str">
        <f>IF('Customer Base'!$I$15="MANUAL",IFERROR(AM379*B379,""),IF('Customer Base'!$I$15="AUTOMATE",IFERROR(AM379*A379,""),""))</f>
        <v/>
      </c>
      <c r="AV379" s="103">
        <f t="shared" si="66"/>
        <v>0</v>
      </c>
    </row>
    <row r="380" spans="1:48">
      <c r="A380" s="103" t="str">
        <f>IF(IF(OR('CABLE SIZING TOOL'!D$45=25,'CABLE SIZING TOOL'!J$45=25),IF('CABLE SIZING TOOL'!D$45=25,'Customer Base'!D$32*'Customer Base'!D$15,0)+IF('CABLE SIZING TOOL'!J$45=25,IF(AND('Customer Base'!D$15=1,'Customer Base'!D$9=1),0,IF(OR('Customer Base'!D$15&gt;1,'Customer Base'!D$9=3),ROUNDUP('Customer Base'!D$32*0.5,0),0))),"")=0,"",IF(OR('CABLE SIZING TOOL'!D$45=25,'CABLE SIZING TOOL'!J$45=25),IF('CABLE SIZING TOOL'!D$45=25,'Customer Base'!D$32*'Customer Base'!D$15,0)+IF('CABLE SIZING TOOL'!J$45=25,IF(AND('Customer Base'!D$15=1,'Customer Base'!D$9=1),0,IF(OR('Customer Base'!D$15&gt;1,'Customer Base'!D$9=3),ROUNDUP('Customer Base'!D$32*0.5,0),0))),""))</f>
        <v/>
      </c>
      <c r="B380" s="270" t="s">
        <v>1</v>
      </c>
      <c r="C380" s="253" t="s">
        <v>1138</v>
      </c>
      <c r="D380" s="325">
        <v>28.68</v>
      </c>
      <c r="E380" s="325">
        <v>27.13</v>
      </c>
      <c r="F380" s="255">
        <f t="shared" si="67"/>
        <v>23.527481542247742</v>
      </c>
      <c r="G380" s="255">
        <f>IFERROR(ROUNDUP(F380*'Customer Base'!$J$5,2),0)</f>
        <v>392.90999999999997</v>
      </c>
      <c r="H380" s="255">
        <f t="shared" si="68"/>
        <v>22.255947497949137</v>
      </c>
      <c r="I380" s="255">
        <f>IFERROR(ROUNDUP(H380*'Customer Base'!$J$5,2),0)</f>
        <v>371.68</v>
      </c>
      <c r="J380" s="103" t="str">
        <f t="shared" si="64"/>
        <v/>
      </c>
      <c r="L380" s="103" t="str">
        <f t="shared" si="65"/>
        <v/>
      </c>
      <c r="N380" s="103">
        <v>389</v>
      </c>
      <c r="O380" s="103" t="str">
        <f>IF('Customer Base'!$I$15="MANUAL",IF(B380&lt;&gt;"",C380,""),IF('Customer Base'!$I$15="AUTOMATE",IF(A380&lt;&gt;"",C380,""),""))</f>
        <v/>
      </c>
      <c r="AO380" s="103" t="str">
        <f>IF('Customer Base'!$I$15="MANUAL",IFERROR(AM380*B380,""),IF('Customer Base'!$I$15="AUTOMATE",IFERROR(AM380*A380,""),""))</f>
        <v/>
      </c>
      <c r="AV380" s="103">
        <f t="shared" si="66"/>
        <v>0</v>
      </c>
    </row>
    <row r="381" spans="1:48">
      <c r="A381" s="103" t="str">
        <f>IF(IF(OR('CABLE SIZING TOOL'!D$45=35,'CABLE SIZING TOOL'!J$45=35),IF('CABLE SIZING TOOL'!D$45=35,'Customer Base'!D$32*'Customer Base'!D$15,0)+IF('CABLE SIZING TOOL'!J$45=35,IF(AND('Customer Base'!D$15=1,'Customer Base'!D$9=1),0,IF(OR('Customer Base'!D$15&gt;1,'Customer Base'!D$9=3),ROUNDUP('Customer Base'!D$32*0.5,0),0))),"")=0,"",IF(OR('CABLE SIZING TOOL'!D$45=35,'CABLE SIZING TOOL'!J$45=35),IF('CABLE SIZING TOOL'!D$45=35,'Customer Base'!D$32*'Customer Base'!D$15,0)+IF('CABLE SIZING TOOL'!J$45=35,IF(AND('Customer Base'!D$15=1,'Customer Base'!D$9=1),0,IF(OR('Customer Base'!D$15&gt;1,'Customer Base'!D$9=3),ROUNDUP('Customer Base'!D$32*0.5,0),0))),""))</f>
        <v/>
      </c>
      <c r="B381" s="270" t="s">
        <v>1</v>
      </c>
      <c r="C381" s="253" t="s">
        <v>1152</v>
      </c>
      <c r="D381" s="325">
        <v>40</v>
      </c>
      <c r="E381" s="325">
        <v>40</v>
      </c>
      <c r="F381" s="255">
        <f t="shared" si="67"/>
        <v>32.813781788351108</v>
      </c>
      <c r="G381" s="255">
        <f>IFERROR(ROUNDUP(F381*'Customer Base'!$J$5,2),0)</f>
        <v>548</v>
      </c>
      <c r="H381" s="255">
        <f t="shared" si="68"/>
        <v>32.813781788351108</v>
      </c>
      <c r="I381" s="255">
        <f>IFERROR(ROUNDUP(H381*'Customer Base'!$J$5,2),0)</f>
        <v>548</v>
      </c>
      <c r="J381" s="103" t="str">
        <f t="shared" si="64"/>
        <v/>
      </c>
      <c r="L381" s="103" t="str">
        <f t="shared" si="65"/>
        <v/>
      </c>
      <c r="N381" s="103">
        <v>390</v>
      </c>
      <c r="O381" s="103" t="str">
        <f>IF('Customer Base'!$I$15="MANUAL",IF(B381&lt;&gt;"",C381,""),IF('Customer Base'!$I$15="AUTOMATE",IF(A381&lt;&gt;"",C381,""),""))</f>
        <v/>
      </c>
      <c r="AO381" s="103" t="str">
        <f>IF('Customer Base'!$I$15="MANUAL",IFERROR(AM381*B381,""),IF('Customer Base'!$I$15="AUTOMATE",IFERROR(AM381*A381,""),""))</f>
        <v/>
      </c>
      <c r="AV381" s="103">
        <f t="shared" si="66"/>
        <v>0</v>
      </c>
    </row>
    <row r="382" spans="1:48">
      <c r="A382" s="103" t="str">
        <f>IF(IF(OR('CABLE SIZING TOOL'!D$45=50,'CABLE SIZING TOOL'!J$45=50),IF('CABLE SIZING TOOL'!D$45=50,'Customer Base'!D$32*'Customer Base'!D$15,0)+IF('CABLE SIZING TOOL'!J$45=50,IF(AND('Customer Base'!D$15=1,'Customer Base'!D$9=1),0,IF(OR('Customer Base'!D$15&gt;1,'Customer Base'!D$9=3),ROUNDUP('Customer Base'!D$32*0.5,0),0))),"")=0,"",IF(OR('CABLE SIZING TOOL'!D$45=50,'CABLE SIZING TOOL'!J$45=50),IF('CABLE SIZING TOOL'!D$45=50,'Customer Base'!D$32*'Customer Base'!D$15,0)+IF('CABLE SIZING TOOL'!J$45=50,IF(AND('Customer Base'!D$15=1,'Customer Base'!D$9=1),0,IF(OR('Customer Base'!D$15&gt;1,'Customer Base'!D$9=3),ROUNDUP('Customer Base'!D$32*0.5,0),0))),""))</f>
        <v/>
      </c>
      <c r="B382" s="270" t="s">
        <v>1</v>
      </c>
      <c r="C382" s="253" t="s">
        <v>1153</v>
      </c>
      <c r="D382" s="325">
        <v>40</v>
      </c>
      <c r="E382" s="325">
        <v>40</v>
      </c>
      <c r="F382" s="255">
        <f t="shared" si="67"/>
        <v>32.813781788351108</v>
      </c>
      <c r="G382" s="255">
        <f>IFERROR(ROUNDUP(F382*'Customer Base'!$J$5,2),0)</f>
        <v>548</v>
      </c>
      <c r="H382" s="255">
        <f t="shared" si="68"/>
        <v>32.813781788351108</v>
      </c>
      <c r="I382" s="255">
        <f>IFERROR(ROUNDUP(H382*'Customer Base'!$J$5,2),0)</f>
        <v>548</v>
      </c>
      <c r="J382" s="103" t="str">
        <f t="shared" si="64"/>
        <v/>
      </c>
      <c r="L382" s="103" t="str">
        <f t="shared" si="65"/>
        <v/>
      </c>
      <c r="N382" s="103">
        <v>391</v>
      </c>
      <c r="O382" s="103" t="str">
        <f>IF('Customer Base'!$I$15="MANUAL",IF(B382&lt;&gt;"",C382,""),IF('Customer Base'!$I$15="AUTOMATE",IF(A382&lt;&gt;"",C382,""),""))</f>
        <v/>
      </c>
      <c r="AO382" s="103" t="str">
        <f>IF('Customer Base'!$I$15="MANUAL",IFERROR(AM382*B382,""),IF('Customer Base'!$I$15="AUTOMATE",IFERROR(AM382*A382,""),""))</f>
        <v/>
      </c>
      <c r="AV382" s="103">
        <f t="shared" si="66"/>
        <v>0</v>
      </c>
    </row>
    <row r="383" spans="1:48">
      <c r="C383" s="253" t="s">
        <v>1154</v>
      </c>
      <c r="D383" s="325">
        <v>40</v>
      </c>
      <c r="E383" s="325">
        <v>40</v>
      </c>
      <c r="F383" s="255">
        <f t="shared" si="67"/>
        <v>32.813781788351108</v>
      </c>
      <c r="G383" s="255">
        <f>IFERROR(ROUNDUP(F383*'Customer Base'!$J$5,2),0)</f>
        <v>548</v>
      </c>
      <c r="H383" s="255">
        <f t="shared" si="68"/>
        <v>32.813781788351108</v>
      </c>
      <c r="I383" s="255">
        <f>IFERROR(ROUNDUP(H383*'Customer Base'!$J$5,2),0)</f>
        <v>548</v>
      </c>
      <c r="J383" s="103" t="str">
        <f t="shared" si="64"/>
        <v/>
      </c>
      <c r="L383" s="103" t="str">
        <f t="shared" si="65"/>
        <v/>
      </c>
      <c r="N383" s="103">
        <v>392</v>
      </c>
      <c r="O383" s="103" t="str">
        <f>IF('Customer Base'!$I$15="MANUAL",IF(B383&lt;&gt;"",C383,""),IF('Customer Base'!$I$15="AUTOMATE",IF(A383&lt;&gt;"",C383,""),""))</f>
        <v/>
      </c>
      <c r="AO383" s="103">
        <f>IF('Customer Base'!$I$15="MANUAL",IFERROR(AM383*B383,""),IF('Customer Base'!$I$15="AUTOMATE",IFERROR(AM383*A383,""),""))</f>
        <v>0</v>
      </c>
      <c r="AV383" s="103">
        <f t="shared" si="66"/>
        <v>0</v>
      </c>
    </row>
    <row r="384" spans="1:48">
      <c r="A384" s="103" t="str">
        <f>IF(IF(OR('CABLE SIZING TOOL'!D$45=70,'CABLE SIZING TOOL'!J$45=70),IF('CABLE SIZING TOOL'!D$45=70,'Customer Base'!D$32*'Customer Base'!D$15*5,0)+IF('CABLE SIZING TOOL'!J$45=70,IF(AND('Customer Base'!D$15=1,'Customer Base'!D$9=1),0,IF(OR('Customer Base'!D$15&gt;1,'Customer Base'!D$9=3),ROUNDUP('Customer Base'!D$32*0.5*5,0),0))),"")=0,"",IF(OR('CABLE SIZING TOOL'!D$45=70,'CABLE SIZING TOOL'!J$45=70),IF('CABLE SIZING TOOL'!D$45=70,'Customer Base'!D$32*'Customer Base'!D$15*5,0)+IF('CABLE SIZING TOOL'!J$45=70,IF(AND('Customer Base'!D$15=1,'Customer Base'!D$9=1),0,IF(OR('Customer Base'!D$15&gt;1,'Customer Base'!D$9=3),ROUNDUP('Customer Base'!D$32*0.5*5,0),0))),""))</f>
        <v/>
      </c>
      <c r="B384" s="270" t="s">
        <v>1</v>
      </c>
      <c r="C384" s="253" t="s">
        <v>1846</v>
      </c>
      <c r="D384" s="325">
        <v>42</v>
      </c>
      <c r="E384" s="325">
        <v>42</v>
      </c>
      <c r="F384" s="255">
        <f t="shared" si="67"/>
        <v>34.454470877768664</v>
      </c>
      <c r="G384" s="255">
        <f>IFERROR(ROUNDUP(F384*'Customer Base'!$J$5,2),0)</f>
        <v>575.39</v>
      </c>
      <c r="H384" s="255">
        <f t="shared" si="68"/>
        <v>34.454470877768664</v>
      </c>
      <c r="I384" s="255">
        <f>IFERROR(ROUNDUP(H384*'Customer Base'!$J$5,2),0)</f>
        <v>575.39</v>
      </c>
      <c r="J384" s="103" t="str">
        <f t="shared" si="64"/>
        <v/>
      </c>
      <c r="L384" s="103" t="str">
        <f t="shared" si="65"/>
        <v/>
      </c>
      <c r="N384" s="103">
        <v>393</v>
      </c>
      <c r="O384" s="103" t="str">
        <f>IF('Customer Base'!$I$15="MANUAL",IF(B384&lt;&gt;"",C384,""),IF('Customer Base'!$I$15="AUTOMATE",IF(A384&lt;&gt;"",C384,""),""))</f>
        <v/>
      </c>
      <c r="AO384" s="103" t="str">
        <f>IF('Customer Base'!$I$15="MANUAL",IFERROR(AM384*B384,""),IF('Customer Base'!$I$15="AUTOMATE",IFERROR(AM384*A384,""),""))</f>
        <v/>
      </c>
      <c r="AV384" s="103">
        <f t="shared" si="66"/>
        <v>0</v>
      </c>
    </row>
    <row r="385" spans="1:48">
      <c r="A385" s="103" t="str">
        <f>IF(IF(OR('CABLE SIZING TOOL'!D$45=95,'CABLE SIZING TOOL'!J$45=95),IF('CABLE SIZING TOOL'!D$45=95,'Customer Base'!D$32*'Customer Base'!D$15*5,0)+IF('CABLE SIZING TOOL'!J$45=95,IF(AND('Customer Base'!D$15=1,'Customer Base'!D$9=1),0,IF(OR('Customer Base'!D$15&gt;1,'Customer Base'!D$9=3),ROUNDUP('Customer Base'!D$32*0.5*5,0),0))),"")=0,"",IF(OR('CABLE SIZING TOOL'!D$45=95,'CABLE SIZING TOOL'!J$45=95),IF('CABLE SIZING TOOL'!D$45=95,'Customer Base'!D$32*'Customer Base'!D$15*5,0)+IF('CABLE SIZING TOOL'!J$45=95,IF(AND('Customer Base'!D$15=1,'Customer Base'!D$9=1),0,IF(OR('Customer Base'!D$15&gt;1,'Customer Base'!D$9=3),ROUNDUP('Customer Base'!D$32*0.5*5,0),0))),""))</f>
        <v/>
      </c>
      <c r="B385" s="270" t="s">
        <v>1</v>
      </c>
      <c r="C385" s="253" t="s">
        <v>1157</v>
      </c>
      <c r="D385" s="325">
        <v>48.75</v>
      </c>
      <c r="E385" s="325">
        <v>48.75</v>
      </c>
      <c r="F385" s="255">
        <f t="shared" si="67"/>
        <v>39.991796554552913</v>
      </c>
      <c r="G385" s="255">
        <f>IFERROR(ROUNDUP(F385*'Customer Base'!$J$5,2),0)</f>
        <v>667.87</v>
      </c>
      <c r="H385" s="255">
        <f t="shared" si="68"/>
        <v>39.991796554552913</v>
      </c>
      <c r="I385" s="255">
        <f>IFERROR(ROUNDUP(H385*'Customer Base'!$J$5,2),0)</f>
        <v>667.87</v>
      </c>
      <c r="J385" s="103" t="str">
        <f t="shared" si="64"/>
        <v/>
      </c>
      <c r="L385" s="103" t="str">
        <f t="shared" si="65"/>
        <v/>
      </c>
      <c r="N385" s="103">
        <v>394</v>
      </c>
      <c r="O385" s="103" t="str">
        <f>IF('Customer Base'!$I$15="MANUAL",IF(B385&lt;&gt;"",C385,""),IF('Customer Base'!$I$15="AUTOMATE",IF(A385&lt;&gt;"",C385,""),""))</f>
        <v/>
      </c>
      <c r="AO385" s="103" t="str">
        <f>IF('Customer Base'!$I$15="MANUAL",IFERROR(AM385*B385,""),IF('Customer Base'!$I$15="AUTOMATE",IFERROR(AM385*A385,""),""))</f>
        <v/>
      </c>
      <c r="AV385" s="103">
        <f t="shared" si="66"/>
        <v>0</v>
      </c>
    </row>
    <row r="386" spans="1:48">
      <c r="A386" s="103" t="str">
        <f>IF(IF(OR('CABLE SIZING TOOL'!D$45=120,'CABLE SIZING TOOL'!J$45=120),IF('CABLE SIZING TOOL'!D$45=120,'Customer Base'!D$32*'Customer Base'!D$15*5,0)+IF('CABLE SIZING TOOL'!J$45=120,IF(AND('Customer Base'!D$15=1,'Customer Base'!D$9=1),0,IF(OR('Customer Base'!D$15&gt;1,'Customer Base'!D$9=3),ROUNDUP('Customer Base'!D$32*0.5*5,0),0))),"")=0,"",IF(OR('CABLE SIZING TOOL'!D$45=120,'CABLE SIZING TOOL'!J$45=120),IF('CABLE SIZING TOOL'!D$45=120,'Customer Base'!D$32*'Customer Base'!D$15*5,0)+IF('CABLE SIZING TOOL'!J$45=120,IF(AND('Customer Base'!D$15=1,'Customer Base'!D$9=1),0,IF(OR('Customer Base'!D$15&gt;1,'Customer Base'!D$9=3),ROUNDUP('Customer Base'!D$32*0.5*5,0),0))),""))</f>
        <v/>
      </c>
      <c r="B386" s="270" t="s">
        <v>1</v>
      </c>
      <c r="C386" s="253" t="s">
        <v>1279</v>
      </c>
      <c r="D386" s="325">
        <v>65.45</v>
      </c>
      <c r="E386" s="325">
        <v>65.45</v>
      </c>
      <c r="F386" s="255">
        <f t="shared" si="67"/>
        <v>53.691550451189499</v>
      </c>
      <c r="G386" s="255">
        <f>IFERROR(ROUNDUP(F386*'Customer Base'!$J$5,2),0)</f>
        <v>896.65</v>
      </c>
      <c r="H386" s="255">
        <f t="shared" si="68"/>
        <v>53.691550451189499</v>
      </c>
      <c r="I386" s="255">
        <f>IFERROR(ROUNDUP(H386*'Customer Base'!$J$5,2),0)</f>
        <v>896.65</v>
      </c>
      <c r="J386" s="103" t="str">
        <f t="shared" si="64"/>
        <v/>
      </c>
      <c r="L386" s="103" t="str">
        <f t="shared" si="65"/>
        <v/>
      </c>
      <c r="N386" s="103">
        <v>395</v>
      </c>
      <c r="O386" s="103" t="str">
        <f>IF('Customer Base'!$I$15="MANUAL",IF(B386&lt;&gt;"",C386,""),IF('Customer Base'!$I$15="AUTOMATE",IF(A386&lt;&gt;"",C386,""),""))</f>
        <v/>
      </c>
      <c r="AO386" s="103" t="str">
        <f>IF('Customer Base'!$I$15="MANUAL",IFERROR(AM386*B386,""),IF('Customer Base'!$I$15="AUTOMATE",IFERROR(AM386*A386,""),""))</f>
        <v/>
      </c>
      <c r="AV386" s="103">
        <f t="shared" si="66"/>
        <v>0</v>
      </c>
    </row>
    <row r="387" spans="1:48">
      <c r="A387" s="103" t="str">
        <f>IF(IF(OR('CABLE SIZING TOOL'!D$45=150,'CABLE SIZING TOOL'!J$45=150),IF('CABLE SIZING TOOL'!D$45=150,'Customer Base'!D$32*'Customer Base'!D$15*5,0)+IF('CABLE SIZING TOOL'!J$45=150,IF(AND('Customer Base'!D$15=1,'Customer Base'!D$9=1),0,IF(OR('Customer Base'!D$15&gt;1,'Customer Base'!D$9=3),ROUNDUP('Customer Base'!D$32*0.5*5,0),0))),"")=0,"",IF(OR('CABLE SIZING TOOL'!D$45=150,'CABLE SIZING TOOL'!J$45=150),IF('CABLE SIZING TOOL'!D$45=150,'Customer Base'!D$32*'Customer Base'!D$15*5,0)+IF('CABLE SIZING TOOL'!J$45=150,IF(AND('Customer Base'!D$15=1,'Customer Base'!D$9=1),0,IF(OR('Customer Base'!D$15&gt;1,'Customer Base'!D$9=3),ROUNDUP('Customer Base'!D$32*0.5*5,0),0))),""))</f>
        <v/>
      </c>
      <c r="B387" s="270" t="s">
        <v>1</v>
      </c>
      <c r="C387" s="253" t="s">
        <v>1799</v>
      </c>
      <c r="D387" s="325">
        <v>85</v>
      </c>
      <c r="E387" s="325">
        <v>85</v>
      </c>
      <c r="F387" s="255">
        <f t="shared" si="67"/>
        <v>69.729286300246102</v>
      </c>
      <c r="G387" s="255">
        <f>IFERROR(ROUNDUP(F387*'Customer Base'!$J$5,2),0)</f>
        <v>1164.48</v>
      </c>
      <c r="H387" s="255">
        <f t="shared" si="68"/>
        <v>69.729286300246102</v>
      </c>
      <c r="I387" s="255">
        <f>IFERROR(ROUNDUP(H387*'Customer Base'!$J$5,2),0)</f>
        <v>1164.48</v>
      </c>
      <c r="J387" s="103" t="str">
        <f t="shared" si="64"/>
        <v/>
      </c>
      <c r="L387" s="103" t="str">
        <f t="shared" si="65"/>
        <v/>
      </c>
      <c r="N387" s="103">
        <v>396</v>
      </c>
      <c r="O387" s="103" t="str">
        <f>IF('Customer Base'!$I$15="MANUAL",IF(B387&lt;&gt;"",C387,""),IF('Customer Base'!$I$15="AUTOMATE",IF(A387&lt;&gt;"",C387,""),""))</f>
        <v/>
      </c>
      <c r="AO387" s="103" t="str">
        <f>IF('Customer Base'!$I$15="MANUAL",IFERROR(AM387*B387,""),IF('Customer Base'!$I$15="AUTOMATE",IFERROR(AM387*A387,""),""))</f>
        <v/>
      </c>
      <c r="AV387" s="103">
        <f t="shared" si="66"/>
        <v>0</v>
      </c>
    </row>
    <row r="388" spans="1:48">
      <c r="A388" s="103" t="str">
        <f>IF(IF(OR('CABLE SIZING TOOL'!D$45=185,'CABLE SIZING TOOL'!J$45=185),IF('CABLE SIZING TOOL'!D$45=185,'Customer Base'!D$32*'Customer Base'!D$15*5,0)+IF('CABLE SIZING TOOL'!J$45=185,IF(AND('Customer Base'!D$15=1,'Customer Base'!D$9=1),0,IF(OR('Customer Base'!D$15&gt;1,'Customer Base'!D$9=3),ROUNDUP('Customer Base'!D$32*0.5*5,0),0))),"")=0,"",IF(OR('CABLE SIZING TOOL'!D$45=185,'CABLE SIZING TOOL'!J$45=185),IF('CABLE SIZING TOOL'!D$45=185,'Customer Base'!D$32*'Customer Base'!D$15*5,0)+IF('CABLE SIZING TOOL'!J$45=185,IF(AND('Customer Base'!D$15=1,'Customer Base'!D$9=1),0,IF(OR('Customer Base'!D$15&gt;1,'Customer Base'!D$9=3),ROUNDUP('Customer Base'!D$32*0.5*5,0),0))),""))</f>
        <v/>
      </c>
      <c r="B388" s="270" t="s">
        <v>1</v>
      </c>
      <c r="C388" s="253" t="s">
        <v>2605</v>
      </c>
      <c r="D388" s="325">
        <v>100</v>
      </c>
      <c r="E388" s="325">
        <v>100</v>
      </c>
      <c r="F388" s="255">
        <f t="shared" si="67"/>
        <v>82.034454470877762</v>
      </c>
      <c r="G388" s="255">
        <f>IFERROR(ROUNDUP(F388*'Customer Base'!$J$5,2),0)</f>
        <v>1369.98</v>
      </c>
      <c r="H388" s="255">
        <f t="shared" si="68"/>
        <v>82.034454470877762</v>
      </c>
      <c r="I388" s="255">
        <f>IFERROR(ROUNDUP(H388*'Customer Base'!$J$5,2),0)</f>
        <v>1369.98</v>
      </c>
      <c r="J388" s="103" t="str">
        <f t="shared" si="64"/>
        <v/>
      </c>
      <c r="L388" s="103" t="str">
        <f t="shared" si="65"/>
        <v/>
      </c>
      <c r="N388" s="103">
        <v>397</v>
      </c>
      <c r="O388" s="103" t="str">
        <f>IF('Customer Base'!$I$15="MANUAL",IF(B388&lt;&gt;"",C388,""),IF('Customer Base'!$I$15="AUTOMATE",IF(A388&lt;&gt;"",C388,""),""))</f>
        <v/>
      </c>
      <c r="AO388" s="103" t="str">
        <f>IF('Customer Base'!$I$15="MANUAL",IFERROR(AM388*B388,""),IF('Customer Base'!$I$15="AUTOMATE",IFERROR(AM388*A388,""),""))</f>
        <v/>
      </c>
    </row>
    <row r="389" spans="1:48">
      <c r="A389" s="103" t="str">
        <f>IF(IF(OR('CABLE SIZING TOOL'!D$45=240,'CABLE SIZING TOOL'!J$45=240),IF('CABLE SIZING TOOL'!D$45=240,'Customer Base'!D$32*'Customer Base'!D$15*5,0)+IF('CABLE SIZING TOOL'!J$45=240,IF(AND('Customer Base'!D$15=1,'Customer Base'!D$9=1),0,IF(OR('Customer Base'!D$15&gt;1,'Customer Base'!D$9=3),ROUNDUP('Customer Base'!D$32*0.5*5,0),0))),"")=0,"",IF(OR('CABLE SIZING TOOL'!D$45=240,'CABLE SIZING TOOL'!J$45=240),IF('CABLE SIZING TOOL'!D$45=240,'Customer Base'!D$32*'Customer Base'!D$15*5,0)+IF('CABLE SIZING TOOL'!J$45=240,IF(AND('Customer Base'!D$15=1,'Customer Base'!D$9=1),0,IF(OR('Customer Base'!D$15&gt;1,'Customer Base'!D$9=3),ROUNDUP('Customer Base'!D$32*0.5*5,0),0))),""))</f>
        <v/>
      </c>
      <c r="B389" s="270" t="s">
        <v>1</v>
      </c>
      <c r="C389" s="253" t="s">
        <v>1636</v>
      </c>
      <c r="D389" s="325">
        <v>125</v>
      </c>
      <c r="E389" s="325">
        <v>125</v>
      </c>
      <c r="F389" s="255">
        <f t="shared" si="67"/>
        <v>102.54306808859721</v>
      </c>
      <c r="G389" s="255">
        <f>IFERROR(ROUNDUP(F389*'Customer Base'!$J$5,2),0)</f>
        <v>1712.47</v>
      </c>
      <c r="H389" s="255">
        <f t="shared" si="68"/>
        <v>102.54306808859721</v>
      </c>
      <c r="I389" s="255">
        <f>IFERROR(ROUNDUP(H389*'Customer Base'!$J$5,2),0)</f>
        <v>1712.47</v>
      </c>
      <c r="J389" s="103" t="str">
        <f t="shared" si="64"/>
        <v/>
      </c>
      <c r="L389" s="103" t="str">
        <f t="shared" si="65"/>
        <v/>
      </c>
      <c r="N389" s="103">
        <v>398</v>
      </c>
      <c r="O389" s="103" t="str">
        <f>IF('Customer Base'!$I$15="MANUAL",IF(B389&lt;&gt;"",C389,""),IF('Customer Base'!$I$15="AUTOMATE",IF(A389&lt;&gt;"",C389,""),""))</f>
        <v/>
      </c>
      <c r="AO389" s="103" t="str">
        <f>IF('Customer Base'!$I$15="MANUAL",IFERROR(AM389*B389,""),IF('Customer Base'!$I$15="AUTOMATE",IFERROR(AM389*A389,""),""))</f>
        <v/>
      </c>
      <c r="AV389" s="103">
        <f t="shared" si="66"/>
        <v>0</v>
      </c>
    </row>
    <row r="390" spans="1:48">
      <c r="A390" s="103" t="str">
        <f>IF(IF(OR('CABLE SIZING TOOL'!D$45=300,'CABLE SIZING TOOL'!J$45=300),IF('CABLE SIZING TOOL'!D$45=300,'Customer Base'!D$32*'Customer Base'!D$15*5,0)+IF('CABLE SIZING TOOL'!J$45=300,IF(AND('Customer Base'!D$15=1,'Customer Base'!D$9=1),0,IF(OR('Customer Base'!D$15&gt;1,'Customer Base'!D$9=3),ROUNDUP('Customer Base'!D$32*0.5*5,0),0))),"")=0,"",IF(OR('CABLE SIZING TOOL'!D$45=300,'CABLE SIZING TOOL'!J$45=300),IF('CABLE SIZING TOOL'!D$45=300,'Customer Base'!D$32*'Customer Base'!D$15*5,0)+IF('CABLE SIZING TOOL'!J$45=300,IF(AND('Customer Base'!D$15=1,'Customer Base'!D$9=1),0,IF(OR('Customer Base'!D$15&gt;1,'Customer Base'!D$9=3),ROUNDUP('Customer Base'!D$32*0.5*5,0),0))),""))</f>
        <v/>
      </c>
      <c r="B390" s="270" t="s">
        <v>1</v>
      </c>
      <c r="C390" s="253" t="s">
        <v>1158</v>
      </c>
      <c r="D390" s="325">
        <v>140</v>
      </c>
      <c r="E390" s="325">
        <v>140</v>
      </c>
      <c r="F390" s="255">
        <f t="shared" si="67"/>
        <v>114.84823625922887</v>
      </c>
      <c r="G390" s="255">
        <f>IFERROR(ROUNDUP(F390*'Customer Base'!$J$5,2),0)</f>
        <v>1917.97</v>
      </c>
      <c r="H390" s="255">
        <f t="shared" si="68"/>
        <v>114.84823625922887</v>
      </c>
      <c r="I390" s="255">
        <f>IFERROR(ROUNDUP(H390*'Customer Base'!$J$5,2),0)</f>
        <v>1917.97</v>
      </c>
      <c r="J390" s="103" t="str">
        <f t="shared" si="64"/>
        <v/>
      </c>
      <c r="L390" s="103" t="str">
        <f t="shared" si="65"/>
        <v/>
      </c>
      <c r="N390" s="103">
        <v>399</v>
      </c>
      <c r="O390" s="103" t="str">
        <f>IF('Customer Base'!$I$15="MANUAL",IF(B390&lt;&gt;"",C390,""),IF('Customer Base'!$I$15="AUTOMATE",IF(A390&lt;&gt;"",C390,""),""))</f>
        <v/>
      </c>
      <c r="AO390" s="103" t="str">
        <f>IF('Customer Base'!$I$15="MANUAL",IFERROR(AM390*B390,""),IF('Customer Base'!$I$15="AUTOMATE",IFERROR(AM390*A390,""),""))</f>
        <v/>
      </c>
    </row>
    <row r="391" spans="1:48">
      <c r="A391" s="103" t="str">
        <f>IF(IF(OR('CABLE SIZING TOOL'!D$45=400,'CABLE SIZING TOOL'!J$45=400),IF('CABLE SIZING TOOL'!D$45=400,'Customer Base'!D$32*'Customer Base'!D$15*5,0)+IF('CABLE SIZING TOOL'!J$45=400,IF(AND('Customer Base'!D$15=1,'Customer Base'!D$9=1),0,IF(OR('Customer Base'!D$15&gt;1,'Customer Base'!D$9=3),ROUNDUP('Customer Base'!D$32*0.5*5,0),0))),"")=0,"",IF(OR('CABLE SIZING TOOL'!D$45=400,'CABLE SIZING TOOL'!J$45=400),IF('CABLE SIZING TOOL'!D$45=400,'Customer Base'!D$32*'Customer Base'!D$15*5,0)+IF('CABLE SIZING TOOL'!J$45=400,IF(AND('Customer Base'!D$15=1,'Customer Base'!D$9=1),0,IF(OR('Customer Base'!D$15&gt;1,'Customer Base'!D$9=3),ROUNDUP('Customer Base'!D$32*0.5*5,0),0))),""))</f>
        <v/>
      </c>
      <c r="B391" s="270" t="s">
        <v>1</v>
      </c>
      <c r="C391" s="253" t="s">
        <v>2606</v>
      </c>
      <c r="D391" s="325">
        <v>160</v>
      </c>
      <c r="E391" s="325">
        <v>160</v>
      </c>
      <c r="F391" s="255">
        <f t="shared" si="67"/>
        <v>131.25512715340443</v>
      </c>
      <c r="G391" s="255">
        <f>IFERROR(ROUNDUP(F391*'Customer Base'!$J$5,2),0)</f>
        <v>2191.9700000000003</v>
      </c>
      <c r="H391" s="255">
        <f t="shared" si="68"/>
        <v>131.25512715340443</v>
      </c>
      <c r="I391" s="255">
        <f>IFERROR(ROUNDUP(H391*'Customer Base'!$J$5,2),0)</f>
        <v>2191.9700000000003</v>
      </c>
      <c r="J391" s="103" t="str">
        <f t="shared" si="64"/>
        <v/>
      </c>
      <c r="L391" s="103" t="str">
        <f t="shared" si="65"/>
        <v/>
      </c>
      <c r="N391" s="103">
        <v>400</v>
      </c>
      <c r="O391" s="103" t="str">
        <f>IF('Customer Base'!$I$15="MANUAL",IF(B391&lt;&gt;"",C391,""),IF('Customer Base'!$I$15="AUTOMATE",IF(A391&lt;&gt;"",C391,""),""))</f>
        <v/>
      </c>
      <c r="AO391" s="103" t="str">
        <f>IF('Customer Base'!$I$15="MANUAL",IFERROR(AM391*B391,""),IF('Customer Base'!$I$15="AUTOMATE",IFERROR(AM391*A391,""),""))</f>
        <v/>
      </c>
    </row>
    <row r="392" spans="1:48">
      <c r="A392" s="103" t="str">
        <f>IF(IF(OR('CABLE SIZING TOOL'!D$45=500,'CABLE SIZING TOOL'!J$45=500),IF('CABLE SIZING TOOL'!D$45=500,'Customer Base'!D$32*'Customer Base'!D$15*5,0)+IF('CABLE SIZING TOOL'!J$45=500,IF(AND('Customer Base'!D$15=1,'Customer Base'!D$9=1),0,IF(OR('Customer Base'!D$15&gt;1,'Customer Base'!D$9=3),ROUNDUP('Customer Base'!D$32*0.5*5,0),0))),"")=0,"",IF(OR('CABLE SIZING TOOL'!D$45=500,'CABLE SIZING TOOL'!J$45=500),IF('CABLE SIZING TOOL'!D$45=500,'Customer Base'!D$32*'Customer Base'!D$15*5,0)+IF('CABLE SIZING TOOL'!J$45=500,IF(AND('Customer Base'!D$15=1,'Customer Base'!D$9=1),0,IF(OR('Customer Base'!D$15&gt;1,'Customer Base'!D$9=3),ROUNDUP('Customer Base'!D$32*0.5*5,0),0))),""))</f>
        <v/>
      </c>
      <c r="B392" s="270" t="s">
        <v>1</v>
      </c>
      <c r="C392" s="253" t="s">
        <v>2607</v>
      </c>
      <c r="D392" s="325">
        <v>180</v>
      </c>
      <c r="E392" s="325">
        <v>180</v>
      </c>
      <c r="F392" s="255">
        <f t="shared" si="67"/>
        <v>147.66201804757998</v>
      </c>
      <c r="G392" s="255">
        <f>IFERROR(ROUNDUP(F392*'Customer Base'!$J$5,2),0)</f>
        <v>2465.96</v>
      </c>
      <c r="H392" s="255">
        <f t="shared" si="68"/>
        <v>147.66201804757998</v>
      </c>
      <c r="I392" s="255">
        <f>IFERROR(ROUNDUP(H392*'Customer Base'!$J$5,2),0)</f>
        <v>2465.96</v>
      </c>
      <c r="J392" s="103" t="str">
        <f t="shared" si="64"/>
        <v/>
      </c>
      <c r="L392" s="103" t="str">
        <f t="shared" si="65"/>
        <v/>
      </c>
      <c r="N392" s="103">
        <v>401</v>
      </c>
      <c r="O392" s="103" t="str">
        <f>IF('Customer Base'!$I$15="MANUAL",IF(B392&lt;&gt;"",C392,""),IF('Customer Base'!$I$15="AUTOMATE",IF(A392&lt;&gt;"",C392,""),""))</f>
        <v/>
      </c>
      <c r="AO392" s="103" t="str">
        <f>IF('Customer Base'!$I$15="MANUAL",IFERROR(AM392*B392,""),IF('Customer Base'!$I$15="AUTOMATE",IFERROR(AM392*A392,""),""))</f>
        <v/>
      </c>
      <c r="AV392" s="103">
        <f t="shared" si="66"/>
        <v>0</v>
      </c>
    </row>
    <row r="393" spans="1:48">
      <c r="D393" s="319"/>
      <c r="E393" s="319"/>
      <c r="F393" s="224">
        <f t="shared" si="67"/>
        <v>0</v>
      </c>
      <c r="G393" s="224">
        <f>IFERROR(ROUNDUP(F393*'Customer Base'!$J$5,2),0)</f>
        <v>0</v>
      </c>
      <c r="H393" s="224">
        <f t="shared" si="68"/>
        <v>0</v>
      </c>
      <c r="I393" s="224"/>
      <c r="J393" s="103" t="str">
        <f t="shared" si="64"/>
        <v/>
      </c>
      <c r="L393" s="103" t="str">
        <f t="shared" si="65"/>
        <v/>
      </c>
      <c r="N393" s="103">
        <v>402</v>
      </c>
      <c r="O393" s="103" t="str">
        <f>IF('Customer Base'!$I$15="MANUAL",IF(B393&lt;&gt;"",C393,""),IF('Customer Base'!$I$15="AUTOMATE",IF(A393&lt;&gt;"",C393,""),""))</f>
        <v/>
      </c>
      <c r="AO393" s="103">
        <f>IF('Customer Base'!$I$15="MANUAL",IFERROR(AM393*B393,""),IF('Customer Base'!$I$15="AUTOMATE",IFERROR(AM393*A393,""),""))</f>
        <v>0</v>
      </c>
      <c r="AV393" s="103">
        <f t="shared" si="66"/>
        <v>0</v>
      </c>
    </row>
    <row r="394" spans="1:48">
      <c r="C394" s="253" t="s">
        <v>985</v>
      </c>
      <c r="D394" s="325">
        <v>2</v>
      </c>
      <c r="E394" s="325">
        <v>2</v>
      </c>
      <c r="F394" s="255">
        <f t="shared" si="67"/>
        <v>1.6406890894175552</v>
      </c>
      <c r="G394" s="255">
        <f>IFERROR(ROUNDUP(F394*'Customer Base'!$J$5,2),0)</f>
        <v>27.400000000000002</v>
      </c>
      <c r="H394" s="255">
        <f t="shared" si="68"/>
        <v>1.6406890894175552</v>
      </c>
      <c r="I394" s="255">
        <f>IFERROR(ROUNDUP(H394*'Customer Base'!$J$5,2),0)</f>
        <v>27.400000000000002</v>
      </c>
      <c r="J394" s="103" t="str">
        <f t="shared" si="64"/>
        <v/>
      </c>
      <c r="L394" s="103" t="str">
        <f t="shared" si="65"/>
        <v/>
      </c>
      <c r="N394" s="103">
        <v>403</v>
      </c>
      <c r="O394" s="103" t="str">
        <f>IF('Customer Base'!$I$15="MANUAL",IF(B394&lt;&gt;"",C394,""),IF('Customer Base'!$I$15="AUTOMATE",IF(A394&lt;&gt;"",C394,""),""))</f>
        <v/>
      </c>
      <c r="AO394" s="103">
        <f>IF('Customer Base'!$I$15="MANUAL",IFERROR(AM394*B394,""),IF('Customer Base'!$I$15="AUTOMATE",IFERROR(AM394*A394,""),""))</f>
        <v>0</v>
      </c>
      <c r="AV394" s="103">
        <f t="shared" si="66"/>
        <v>0</v>
      </c>
    </row>
    <row r="395" spans="1:48">
      <c r="C395" s="253" t="s">
        <v>1861</v>
      </c>
      <c r="D395" s="325">
        <v>2.2000000000000002</v>
      </c>
      <c r="E395" s="325">
        <v>2.2000000000000002</v>
      </c>
      <c r="F395" s="255">
        <f t="shared" si="67"/>
        <v>1.8047579983593109</v>
      </c>
      <c r="G395" s="255">
        <f>IFERROR(ROUNDUP(F395*'Customer Base'!$J$5,2),0)</f>
        <v>30.14</v>
      </c>
      <c r="H395" s="255">
        <f t="shared" si="68"/>
        <v>1.8047579983593109</v>
      </c>
      <c r="I395" s="255">
        <f>IFERROR(ROUNDUP(H395*'Customer Base'!$J$5,2),0)</f>
        <v>30.14</v>
      </c>
      <c r="J395" s="103" t="str">
        <f t="shared" si="64"/>
        <v/>
      </c>
      <c r="L395" s="103" t="str">
        <f t="shared" si="65"/>
        <v/>
      </c>
      <c r="N395" s="103">
        <v>404</v>
      </c>
      <c r="O395" s="103" t="str">
        <f>IF('Customer Base'!$I$15="MANUAL",IF(B395&lt;&gt;"",C395,""),IF('Customer Base'!$I$15="AUTOMATE",IF(A395&lt;&gt;"",C395,""),""))</f>
        <v/>
      </c>
      <c r="AO395" s="103">
        <f>IF('Customer Base'!$I$15="MANUAL",IFERROR(AM395*B395,""),IF('Customer Base'!$I$15="AUTOMATE",IFERROR(AM395*A395,""),""))</f>
        <v>0</v>
      </c>
      <c r="AV395" s="103">
        <f t="shared" si="66"/>
        <v>0</v>
      </c>
    </row>
    <row r="396" spans="1:48">
      <c r="A396" s="103">
        <f ca="1">IFERROR(MROUND((IF(SUM(A366:A368)&gt;0,'Customer Base'!D31,"")+SUM(A242:A254)),5),"")</f>
        <v>30</v>
      </c>
      <c r="B396" s="270">
        <v>30</v>
      </c>
      <c r="C396" s="253" t="s">
        <v>984</v>
      </c>
      <c r="D396" s="325">
        <v>2.2000000000000002</v>
      </c>
      <c r="E396" s="325">
        <v>2.2000000000000002</v>
      </c>
      <c r="F396" s="255">
        <f t="shared" si="67"/>
        <v>1.8047579983593109</v>
      </c>
      <c r="G396" s="255">
        <f>IFERROR(ROUNDUP(F396*'Customer Base'!$J$5,2),0)</f>
        <v>30.14</v>
      </c>
      <c r="H396" s="255">
        <f t="shared" si="68"/>
        <v>1.8047579983593109</v>
      </c>
      <c r="I396" s="255">
        <f>IFERROR(ROUNDUP(H396*'Customer Base'!$J$5,2),0)</f>
        <v>30.14</v>
      </c>
      <c r="J396" s="103" t="str">
        <f t="shared" si="64"/>
        <v/>
      </c>
      <c r="L396" s="103" t="str">
        <f t="shared" si="65"/>
        <v/>
      </c>
      <c r="N396" s="103">
        <v>405</v>
      </c>
      <c r="O396" s="103" t="str">
        <f>IF('Customer Base'!$I$15="MANUAL",IF(B396&lt;&gt;"",C396,""),IF('Customer Base'!$I$15="AUTOMATE",IF(A396&lt;&gt;"",C396,""),""))</f>
        <v>1x6mm2 RV-K 0.6/1KV Yellow/Green Earth Cable</v>
      </c>
      <c r="AO396" s="103">
        <f>IF('Customer Base'!$I$15="MANUAL",IFERROR(AM396*B396,""),IF('Customer Base'!$I$15="AUTOMATE",IFERROR(AM396*A396,""),""))</f>
        <v>0</v>
      </c>
      <c r="AV396" s="103">
        <f t="shared" si="66"/>
        <v>0</v>
      </c>
    </row>
    <row r="397" spans="1:48">
      <c r="C397" s="253" t="s">
        <v>1658</v>
      </c>
      <c r="D397" s="325">
        <v>4.4000000000000004</v>
      </c>
      <c r="E397" s="325">
        <v>4.4000000000000004</v>
      </c>
      <c r="F397" s="255">
        <f t="shared" si="67"/>
        <v>3.6095159967186219</v>
      </c>
      <c r="G397" s="255">
        <f>IFERROR(ROUNDUP(F397*'Customer Base'!$J$5,2),0)</f>
        <v>60.28</v>
      </c>
      <c r="H397" s="255">
        <f t="shared" si="68"/>
        <v>3.6095159967186219</v>
      </c>
      <c r="I397" s="255">
        <f>IFERROR(ROUNDUP(H397*'Customer Base'!$J$5,2),0)</f>
        <v>60.28</v>
      </c>
      <c r="J397" s="103" t="str">
        <f t="shared" si="64"/>
        <v/>
      </c>
      <c r="L397" s="103" t="str">
        <f t="shared" si="65"/>
        <v/>
      </c>
      <c r="N397" s="103">
        <v>406</v>
      </c>
      <c r="O397" s="103" t="str">
        <f>IF('Customer Base'!$I$15="MANUAL",IF(B397&lt;&gt;"",C397,""),IF('Customer Base'!$I$15="AUTOMATE",IF(A397&lt;&gt;"",C397,""),""))</f>
        <v/>
      </c>
      <c r="AO397" s="103">
        <f>IF('Customer Base'!$I$15="MANUAL",IFERROR(AM397*B397,""),IF('Customer Base'!$I$15="AUTOMATE",IFERROR(AM397*A397,""),""))</f>
        <v>0</v>
      </c>
      <c r="AV397" s="103">
        <f t="shared" si="66"/>
        <v>0</v>
      </c>
    </row>
    <row r="398" spans="1:48">
      <c r="C398" s="253" t="s">
        <v>1258</v>
      </c>
      <c r="D398" s="325">
        <v>6.62</v>
      </c>
      <c r="E398" s="325">
        <v>6.62</v>
      </c>
      <c r="F398" s="255">
        <f t="shared" si="67"/>
        <v>5.4306808859721079</v>
      </c>
      <c r="G398" s="255">
        <f>IFERROR(ROUNDUP(F398*'Customer Base'!$J$5,2),0)</f>
        <v>90.7</v>
      </c>
      <c r="H398" s="255">
        <f t="shared" si="68"/>
        <v>5.4306808859721079</v>
      </c>
      <c r="I398" s="255">
        <f>IFERROR(ROUNDUP(H398*'Customer Base'!$J$5,2),0)</f>
        <v>90.7</v>
      </c>
      <c r="J398" s="103" t="str">
        <f t="shared" si="64"/>
        <v/>
      </c>
      <c r="L398" s="103" t="str">
        <f t="shared" si="65"/>
        <v/>
      </c>
      <c r="N398" s="103">
        <v>407</v>
      </c>
      <c r="O398" s="103" t="str">
        <f>IF('Customer Base'!$I$15="MANUAL",IF(B398&lt;&gt;"",C398,""),IF('Customer Base'!$I$15="AUTOMATE",IF(A398&lt;&gt;"",C398,""),""))</f>
        <v/>
      </c>
      <c r="AO398" s="103">
        <f>IF('Customer Base'!$I$15="MANUAL",IFERROR(AM398*B398,""),IF('Customer Base'!$I$15="AUTOMATE",IFERROR(AM398*A398,""),""))</f>
        <v>0</v>
      </c>
      <c r="AV398" s="103">
        <f t="shared" si="66"/>
        <v>0</v>
      </c>
    </row>
    <row r="399" spans="1:48">
      <c r="D399" s="319"/>
      <c r="E399" s="319"/>
      <c r="F399" s="224">
        <f t="shared" si="67"/>
        <v>0</v>
      </c>
      <c r="G399" s="224">
        <f>IFERROR(ROUNDUP(F399*'Customer Base'!$J$5,2),0)</f>
        <v>0</v>
      </c>
      <c r="H399" s="224">
        <f t="shared" si="68"/>
        <v>0</v>
      </c>
      <c r="I399" s="224">
        <f>IFERROR(ROUNDUP(H399*'Customer Base'!$J$5,2),0)</f>
        <v>0</v>
      </c>
      <c r="J399" s="103" t="str">
        <f t="shared" si="64"/>
        <v/>
      </c>
      <c r="L399" s="103" t="str">
        <f t="shared" si="65"/>
        <v/>
      </c>
      <c r="N399" s="103">
        <v>408</v>
      </c>
      <c r="O399" s="103" t="str">
        <f>IF('Customer Base'!$I$15="MANUAL",IF(B399&lt;&gt;"",C399,""),IF('Customer Base'!$I$15="AUTOMATE",IF(A399&lt;&gt;"",C399,""),""))</f>
        <v/>
      </c>
      <c r="AO399" s="103">
        <f>IF('Customer Base'!$I$15="MANUAL",IFERROR(AM399*B399,""),IF('Customer Base'!$I$15="AUTOMATE",IFERROR(AM399*A399,""),""))</f>
        <v>0</v>
      </c>
      <c r="AV399" s="103">
        <f t="shared" si="66"/>
        <v>0</v>
      </c>
    </row>
    <row r="400" spans="1:48">
      <c r="C400" s="253" t="s">
        <v>1228</v>
      </c>
      <c r="D400" s="325">
        <f>F400*1.219</f>
        <v>10.971</v>
      </c>
      <c r="E400" s="325">
        <f>H400*1.219</f>
        <v>9.7520000000000007</v>
      </c>
      <c r="F400" s="255">
        <f>1%*IF('Customer Base'!I15="AUTOMATE",ROUNDUP(SUMPRODUCT($A$242:$A$254,F$242:F$254),-2),ROUNDUP(SUMPRODUCT($B$242:$B$254,F$242:F$254),-2))</f>
        <v>9</v>
      </c>
      <c r="G400" s="255">
        <f>IFERROR(ROUNDUP(F400*'Customer Base'!$J$5,2),0)</f>
        <v>150.30000000000001</v>
      </c>
      <c r="H400" s="255">
        <f>1%*IF('Customer Base'!I15="AUTOMATE",ROUNDUP(SUMPRODUCT($A$242:$A$254,H$242:H$254),-2),ROUNDUP(SUMPRODUCT($B$242:$B$254,H$242:H$254),-2))</f>
        <v>8</v>
      </c>
      <c r="I400" s="255">
        <f>IFERROR(ROUNDUP(H400*'Customer Base'!$J$5,2),0)</f>
        <v>133.6</v>
      </c>
      <c r="J400" s="103" t="str">
        <f t="shared" si="64"/>
        <v/>
      </c>
      <c r="L400" s="103" t="str">
        <f t="shared" si="65"/>
        <v/>
      </c>
      <c r="N400" s="103">
        <v>409</v>
      </c>
      <c r="O400" s="103" t="str">
        <f>IF('Customer Base'!$I$15="MANUAL",IF(B400&lt;&gt;"",C400,""),IF('Customer Base'!$I$15="AUTOMATE",IF(A400&lt;&gt;"",C400,""),""))</f>
        <v/>
      </c>
      <c r="AO400" s="103">
        <f>IF('Customer Base'!$I$15="MANUAL",IFERROR(AM400*B400,""),IF('Customer Base'!$I$15="AUTOMATE",IFERROR(AM400*A400,""),""))</f>
        <v>0</v>
      </c>
      <c r="AV400" s="103">
        <f t="shared" ref="AV400:AV441" si="69">IF(AU400&lt;&gt;"",AU400,AT400)</f>
        <v>0</v>
      </c>
    </row>
    <row r="401" spans="1:48">
      <c r="D401" s="319"/>
      <c r="E401" s="319"/>
      <c r="F401" s="224">
        <f t="shared" ref="F401:F404" si="70">$D401/1.219</f>
        <v>0</v>
      </c>
      <c r="G401" s="224">
        <f>IFERROR(ROUNDUP(F401*'Customer Base'!$J$5,2),0)</f>
        <v>0</v>
      </c>
      <c r="H401" s="224">
        <f t="shared" ref="H401:H404" si="71">$E401/1.219</f>
        <v>0</v>
      </c>
      <c r="I401" s="224"/>
      <c r="J401" s="103" t="str">
        <f t="shared" ref="J401:J464" si="72">IF(D401&lt;&gt;"",IF(D401&lt;E401,"lkdfjk",""),"")</f>
        <v/>
      </c>
      <c r="L401" s="103" t="str">
        <f t="shared" ref="L401:L464" si="73">IF(H401&gt;F401,"lkkajdfkj","")</f>
        <v/>
      </c>
      <c r="N401" s="103">
        <v>410</v>
      </c>
      <c r="O401" s="103" t="str">
        <f>IF('Customer Base'!$I$15="MANUAL",IF(B401&lt;&gt;"",C401,""),IF('Customer Base'!$I$15="AUTOMATE",IF(A401&lt;&gt;"",C401,""),""))</f>
        <v/>
      </c>
      <c r="AO401" s="103">
        <f>IF('Customer Base'!$I$15="MANUAL",IFERROR(AM401*B401,""),IF('Customer Base'!$I$15="AUTOMATE",IFERROR(AM401*A401,""),""))</f>
        <v>0</v>
      </c>
      <c r="AV401" s="103">
        <f t="shared" si="69"/>
        <v>0</v>
      </c>
    </row>
    <row r="402" spans="1:48">
      <c r="A402" s="103" t="str">
        <f>IF('Customer Base'!D7="Grid-Tied",3*SUM(A136:A141,A97:A99,A178)*'Customer Base'!D32,"")</f>
        <v/>
      </c>
      <c r="B402" s="270" t="s">
        <v>1</v>
      </c>
      <c r="C402" s="253" t="s">
        <v>1164</v>
      </c>
      <c r="D402" s="325">
        <v>1.5</v>
      </c>
      <c r="E402" s="325">
        <v>1.5</v>
      </c>
      <c r="F402" s="255">
        <f t="shared" si="70"/>
        <v>1.2305168170631664</v>
      </c>
      <c r="G402" s="255">
        <f>IFERROR(ROUNDUP(F402*'Customer Base'!$J$5,2),0)</f>
        <v>20.55</v>
      </c>
      <c r="H402" s="255">
        <f t="shared" si="71"/>
        <v>1.2305168170631664</v>
      </c>
      <c r="I402" s="255">
        <f>IFERROR(ROUNDUP(H402*'Customer Base'!$J$5,2),0)</f>
        <v>20.55</v>
      </c>
      <c r="J402" s="103" t="str">
        <f t="shared" si="72"/>
        <v/>
      </c>
      <c r="L402" s="103" t="str">
        <f t="shared" si="73"/>
        <v/>
      </c>
      <c r="N402" s="103">
        <v>411</v>
      </c>
      <c r="O402" s="103" t="str">
        <f>IF('Customer Base'!$I$15="MANUAL",IF(B402&lt;&gt;"",C402,""),IF('Customer Base'!$I$15="AUTOMATE",IF(A402&lt;&gt;"",C402,""),""))</f>
        <v/>
      </c>
      <c r="AO402" s="103" t="str">
        <f>IF('Customer Base'!$I$15="MANUAL",IFERROR(AM402*B402,""),IF('Customer Base'!$I$15="AUTOMATE",IFERROR(AM402*A402,""),""))</f>
        <v/>
      </c>
      <c r="AV402" s="103">
        <f t="shared" si="69"/>
        <v>0</v>
      </c>
    </row>
    <row r="403" spans="1:48">
      <c r="A403" s="103" t="str">
        <f>IF('Customer Base'!D7="Grid-Tied",SUM(A136:A141,A97:A99,A178)*'Customer Base'!D32,"")</f>
        <v/>
      </c>
      <c r="B403" s="270" t="s">
        <v>1</v>
      </c>
      <c r="C403" s="253" t="s">
        <v>1227</v>
      </c>
      <c r="D403" s="325">
        <v>2.5</v>
      </c>
      <c r="E403" s="325">
        <v>2.5</v>
      </c>
      <c r="F403" s="255">
        <f t="shared" si="70"/>
        <v>2.0508613617719442</v>
      </c>
      <c r="G403" s="255">
        <f>IFERROR(ROUNDUP(F403*'Customer Base'!$J$5,2),0)</f>
        <v>34.25</v>
      </c>
      <c r="H403" s="255">
        <f t="shared" si="71"/>
        <v>2.0508613617719442</v>
      </c>
      <c r="I403" s="255">
        <f>IFERROR(ROUNDUP(H403*'Customer Base'!$J$5,2),0)</f>
        <v>34.25</v>
      </c>
      <c r="J403" s="103" t="str">
        <f t="shared" si="72"/>
        <v/>
      </c>
      <c r="L403" s="103" t="str">
        <f t="shared" si="73"/>
        <v/>
      </c>
      <c r="N403" s="103">
        <v>412</v>
      </c>
      <c r="O403" s="103" t="str">
        <f>IF('Customer Base'!$I$15="MANUAL",IF(B403&lt;&gt;"",C403,""),IF('Customer Base'!$I$15="AUTOMATE",IF(A403&lt;&gt;"",C403,""),""))</f>
        <v/>
      </c>
      <c r="AO403" s="103" t="str">
        <f>IF('Customer Base'!$I$15="MANUAL",IFERROR(AM403*B403,""),IF('Customer Base'!$I$15="AUTOMATE",IFERROR(AM403*A403,""),""))</f>
        <v/>
      </c>
      <c r="AV403" s="103">
        <f t="shared" si="69"/>
        <v>0</v>
      </c>
    </row>
    <row r="404" spans="1:48">
      <c r="D404" s="319"/>
      <c r="E404" s="319"/>
      <c r="F404" s="224">
        <f t="shared" si="70"/>
        <v>0</v>
      </c>
      <c r="G404" s="224">
        <f>IFERROR(ROUNDUP(F404*'Customer Base'!$J$5,2),0)</f>
        <v>0</v>
      </c>
      <c r="H404" s="224">
        <f t="shared" si="71"/>
        <v>0</v>
      </c>
      <c r="I404" s="224"/>
      <c r="J404" s="103" t="str">
        <f t="shared" si="72"/>
        <v/>
      </c>
      <c r="L404" s="103" t="str">
        <f t="shared" si="73"/>
        <v/>
      </c>
      <c r="N404" s="103">
        <v>413</v>
      </c>
      <c r="O404" s="103" t="str">
        <f>IF('Customer Base'!$I$15="MANUAL",IF(B404&lt;&gt;"",C404,""),IF('Customer Base'!$I$15="AUTOMATE",IF(A404&lt;&gt;"",C404,""),""))</f>
        <v/>
      </c>
      <c r="AO404" s="103">
        <f>IF('Customer Base'!$I$15="MANUAL",IFERROR(AM404*B404,""),IF('Customer Base'!$I$15="AUTOMATE",IFERROR(AM404*A404,""),""))</f>
        <v>0</v>
      </c>
      <c r="AV404" s="103">
        <f t="shared" si="69"/>
        <v>0</v>
      </c>
    </row>
    <row r="405" spans="1:48">
      <c r="C405" s="246" t="s">
        <v>1896</v>
      </c>
      <c r="D405" s="322"/>
      <c r="E405" s="322"/>
      <c r="F405" s="252"/>
      <c r="G405" s="234"/>
      <c r="H405" s="252"/>
      <c r="I405" s="234"/>
      <c r="J405" s="103" t="str">
        <f t="shared" si="72"/>
        <v/>
      </c>
      <c r="L405" s="103" t="str">
        <f t="shared" si="73"/>
        <v/>
      </c>
      <c r="N405" s="103">
        <v>414</v>
      </c>
      <c r="O405" s="103" t="str">
        <f>IF('Customer Base'!$I$15="MANUAL",IF(B405&lt;&gt;"",C405,""),IF('Customer Base'!$I$15="AUTOMATE",IF(A405&lt;&gt;"",C405,""),""))</f>
        <v/>
      </c>
      <c r="AO405" s="103">
        <f>IF('Customer Base'!$I$15="MANUAL",IFERROR(AM405*B405,""),IF('Customer Base'!$I$15="AUTOMATE",IFERROR(AM405*A405,""),""))</f>
        <v>0</v>
      </c>
      <c r="AV405" s="103">
        <f t="shared" si="69"/>
        <v>0</v>
      </c>
    </row>
    <row r="406" spans="1:48">
      <c r="A406" s="103" t="str">
        <f>IF(OR(AND('Customer Base'!D$34="Yes",'Customer Base'!D$13="Victron",'Customer Base'!D$7&lt;&gt;"Mini-Grid"),'Customer Base'!D$7="Grid-Tied"),'Customer Base'!D$15,IF(AND('Customer Base'!D$34="Yes",'Customer Base'!D$13="Victron",'Customer Base'!D$7="Mini-Grid"),'Customer Base'!D$15+'Customer Base'!F$15,""))</f>
        <v/>
      </c>
      <c r="B406" s="270" t="s">
        <v>1</v>
      </c>
      <c r="C406" s="243" t="s">
        <v>917</v>
      </c>
      <c r="D406" s="331">
        <v>12.64</v>
      </c>
      <c r="E406" s="331">
        <v>11.907</v>
      </c>
      <c r="F406" s="264">
        <f t="shared" ref="F406:F451" si="74">$D406/1.219</f>
        <v>10.36915504511895</v>
      </c>
      <c r="G406" s="238">
        <f>IFERROR(ROUNDUP(F406*'Customer Base'!$J$5,2),0)</f>
        <v>173.17</v>
      </c>
      <c r="H406" s="264">
        <f t="shared" ref="H406:H451" si="75">$E406/1.219</f>
        <v>9.7678424938474144</v>
      </c>
      <c r="I406" s="238">
        <f>IFERROR(ROUNDUP(H406*'Customer Base'!$J$5,2),0)</f>
        <v>163.13</v>
      </c>
      <c r="J406" s="103" t="str">
        <f t="shared" si="72"/>
        <v/>
      </c>
      <c r="L406" s="103" t="str">
        <f t="shared" si="73"/>
        <v/>
      </c>
      <c r="N406" s="103">
        <v>415</v>
      </c>
      <c r="O406" s="103" t="str">
        <f>IF('Customer Base'!$I$15="MANUAL",IF(B406&lt;&gt;"",C406,""),IF('Customer Base'!$I$15="AUTOMATE",IF(A406&lt;&gt;"",C406,""),""))</f>
        <v/>
      </c>
      <c r="AO406" s="103" t="str">
        <f>IF('Customer Base'!$I$15="MANUAL",IFERROR(AM406*B406,""),IF('Customer Base'!$I$15="AUTOMATE",IFERROR(AM406*A406,""),""))</f>
        <v/>
      </c>
      <c r="AV406" s="103">
        <f t="shared" si="69"/>
        <v>0</v>
      </c>
    </row>
    <row r="407" spans="1:48">
      <c r="C407" s="243" t="s">
        <v>918</v>
      </c>
      <c r="D407" s="331">
        <v>16.25</v>
      </c>
      <c r="E407" s="331">
        <v>15.308999999999999</v>
      </c>
      <c r="F407" s="264">
        <f t="shared" si="74"/>
        <v>13.330598851517637</v>
      </c>
      <c r="G407" s="238">
        <f>IFERROR(ROUNDUP(F407*'Customer Base'!$J$5,2),0)</f>
        <v>222.63</v>
      </c>
      <c r="H407" s="264">
        <f t="shared" si="75"/>
        <v>12.558654634946675</v>
      </c>
      <c r="I407" s="238">
        <f>IFERROR(ROUNDUP(H407*'Customer Base'!$J$5,2),0)</f>
        <v>209.73</v>
      </c>
      <c r="J407" s="103" t="str">
        <f t="shared" si="72"/>
        <v/>
      </c>
      <c r="L407" s="103" t="str">
        <f t="shared" si="73"/>
        <v/>
      </c>
      <c r="N407" s="103">
        <v>416</v>
      </c>
      <c r="O407" s="103" t="str">
        <f>IF('Customer Base'!$I$15="MANUAL",IF(B407&lt;&gt;"",C407,""),IF('Customer Base'!$I$15="AUTOMATE",IF(A407&lt;&gt;"",C407,""),""))</f>
        <v/>
      </c>
      <c r="AO407" s="103">
        <f>IF('Customer Base'!$I$15="MANUAL",IFERROR(AM407*B407,""),IF('Customer Base'!$I$15="AUTOMATE",IFERROR(AM407*A407,""),""))</f>
        <v>0</v>
      </c>
      <c r="AV407" s="103">
        <f t="shared" si="69"/>
        <v>0</v>
      </c>
    </row>
    <row r="408" spans="1:48">
      <c r="A408" s="103" t="str">
        <f>IF(SUM(A163:A174)&gt;=1,1,"")</f>
        <v/>
      </c>
      <c r="B408" s="270" t="s">
        <v>1</v>
      </c>
      <c r="C408" s="243" t="s">
        <v>1296</v>
      </c>
      <c r="D408" s="331">
        <v>151.9</v>
      </c>
      <c r="E408" s="331">
        <v>151.9</v>
      </c>
      <c r="F408" s="264">
        <f t="shared" si="74"/>
        <v>124.61033634126332</v>
      </c>
      <c r="G408" s="238">
        <f>IFERROR(ROUNDUP(F408*'Customer Base'!$J$5,2),0)</f>
        <v>2081</v>
      </c>
      <c r="H408" s="264">
        <f t="shared" si="75"/>
        <v>124.61033634126332</v>
      </c>
      <c r="I408" s="238">
        <f>IFERROR(ROUNDUP(H408*'Customer Base'!$J$5,2),0)</f>
        <v>2081</v>
      </c>
      <c r="J408" s="103" t="str">
        <f t="shared" si="72"/>
        <v/>
      </c>
      <c r="L408" s="103" t="str">
        <f t="shared" si="73"/>
        <v/>
      </c>
      <c r="N408" s="103">
        <v>417</v>
      </c>
      <c r="O408" s="103" t="str">
        <f>IF('Customer Base'!$I$15="MANUAL",IF(B408&lt;&gt;"",C408,""),IF('Customer Base'!$I$15="AUTOMATE",IF(A408&lt;&gt;"",C408,""),""))</f>
        <v/>
      </c>
      <c r="AO408" s="103" t="str">
        <f>IF('Customer Base'!$I$15="MANUAL",IFERROR(AM408*B408,""),IF('Customer Base'!$I$15="AUTOMATE",IFERROR(AM408*A408,""),""))</f>
        <v/>
      </c>
      <c r="AV408" s="103">
        <f t="shared" si="69"/>
        <v>0</v>
      </c>
    </row>
    <row r="409" spans="1:48">
      <c r="C409" s="226"/>
      <c r="D409" s="324"/>
      <c r="E409" s="324"/>
      <c r="F409" s="256">
        <f t="shared" si="74"/>
        <v>0</v>
      </c>
      <c r="G409" s="224">
        <f>IFERROR(ROUNDUP(F409*'Customer Base'!$J$5,2),0)</f>
        <v>0</v>
      </c>
      <c r="H409" s="256">
        <f t="shared" si="75"/>
        <v>0</v>
      </c>
      <c r="I409" s="224">
        <f>IFERROR(ROUNDUP(H409*'Customer Base'!$J$5,2),0)</f>
        <v>0</v>
      </c>
      <c r="J409" s="103" t="str">
        <f t="shared" si="72"/>
        <v/>
      </c>
      <c r="L409" s="103" t="str">
        <f t="shared" si="73"/>
        <v/>
      </c>
      <c r="N409" s="103">
        <v>418</v>
      </c>
      <c r="O409" s="103" t="str">
        <f>IF('Customer Base'!$I$15="MANUAL",IF(B409&lt;&gt;"",C409,""),IF('Customer Base'!$I$15="AUTOMATE",IF(A409&lt;&gt;"",C409,""),""))</f>
        <v/>
      </c>
      <c r="AO409" s="103">
        <f>IF('Customer Base'!$I$15="MANUAL",IFERROR(AM409*B409,""),IF('Customer Base'!$I$15="AUTOMATE",IFERROR(AM409*A409,""),""))</f>
        <v>0</v>
      </c>
      <c r="AV409" s="103">
        <f t="shared" si="69"/>
        <v>0</v>
      </c>
    </row>
    <row r="410" spans="1:48">
      <c r="C410" s="243" t="s">
        <v>919</v>
      </c>
      <c r="D410" s="331">
        <v>13.55</v>
      </c>
      <c r="E410" s="331">
        <v>12.766</v>
      </c>
      <c r="F410" s="264">
        <f t="shared" si="74"/>
        <v>11.115668580803938</v>
      </c>
      <c r="G410" s="238">
        <f>IFERROR(ROUNDUP(F410*'Customer Base'!$J$5,2),0)</f>
        <v>185.64</v>
      </c>
      <c r="H410" s="264">
        <f t="shared" si="75"/>
        <v>10.472518457752255</v>
      </c>
      <c r="I410" s="238">
        <f>IFERROR(ROUNDUP(H410*'Customer Base'!$J$5,2),0)</f>
        <v>174.89999999999998</v>
      </c>
      <c r="J410" s="103" t="str">
        <f t="shared" si="72"/>
        <v/>
      </c>
      <c r="L410" s="103" t="str">
        <f t="shared" si="73"/>
        <v/>
      </c>
      <c r="N410" s="103">
        <v>419</v>
      </c>
      <c r="O410" s="103" t="str">
        <f>IF('Customer Base'!$I$15="MANUAL",IF(B410&lt;&gt;"",C410,""),IF('Customer Base'!$I$15="AUTOMATE",IF(A410&lt;&gt;"",C410,""),""))</f>
        <v/>
      </c>
      <c r="AO410" s="103">
        <f>IF('Customer Base'!$I$15="MANUAL",IFERROR(AM410*B410,""),IF('Customer Base'!$I$15="AUTOMATE",IFERROR(AM410*A410,""),""))</f>
        <v>0</v>
      </c>
      <c r="AV410" s="103">
        <f t="shared" si="69"/>
        <v>0</v>
      </c>
    </row>
    <row r="411" spans="1:48">
      <c r="A411" s="103" t="str">
        <f>IF(AND('Customer Base'!D$34="Yes",'Customer Base'!D$13="Victron",'Customer Base'!D14&lt;&gt;6,'Customer Base'!D$7&lt;&gt;"Backup"),SUM(A257:A289),"")</f>
        <v/>
      </c>
      <c r="B411" s="270" t="s">
        <v>1</v>
      </c>
      <c r="C411" s="243" t="s">
        <v>920</v>
      </c>
      <c r="D411" s="331">
        <v>13.55</v>
      </c>
      <c r="E411" s="331">
        <v>12.766</v>
      </c>
      <c r="F411" s="264">
        <f t="shared" si="74"/>
        <v>11.115668580803938</v>
      </c>
      <c r="G411" s="238">
        <f>IFERROR(ROUNDUP(F411*'Customer Base'!$J$5,2),0)</f>
        <v>185.64</v>
      </c>
      <c r="H411" s="264">
        <f t="shared" si="75"/>
        <v>10.472518457752255</v>
      </c>
      <c r="I411" s="238">
        <f>IFERROR(ROUNDUP(H411*'Customer Base'!$J$5,2),0)</f>
        <v>174.89999999999998</v>
      </c>
      <c r="J411" s="103" t="str">
        <f t="shared" si="72"/>
        <v/>
      </c>
      <c r="L411" s="103" t="str">
        <f t="shared" si="73"/>
        <v/>
      </c>
      <c r="N411" s="103">
        <v>420</v>
      </c>
      <c r="O411" s="103" t="str">
        <f>IF('Customer Base'!$I$15="MANUAL",IF(B411&lt;&gt;"",C411,""),IF('Customer Base'!$I$15="AUTOMATE",IF(A411&lt;&gt;"",C411,""),""))</f>
        <v/>
      </c>
      <c r="AO411" s="103" t="str">
        <f>IF('Customer Base'!$I$15="MANUAL",IFERROR(AM411*B411,""),IF('Customer Base'!$I$15="AUTOMATE",IFERROR(AM411*A411,""),""))</f>
        <v/>
      </c>
      <c r="AV411" s="103">
        <f t="shared" si="69"/>
        <v>0</v>
      </c>
    </row>
    <row r="412" spans="1:48">
      <c r="C412" s="243" t="s">
        <v>921</v>
      </c>
      <c r="D412" s="331">
        <v>15.34</v>
      </c>
      <c r="E412" s="331">
        <v>14.45</v>
      </c>
      <c r="F412" s="264">
        <f t="shared" si="74"/>
        <v>12.584085315832649</v>
      </c>
      <c r="G412" s="238">
        <f>IFERROR(ROUNDUP(F412*'Customer Base'!$J$5,2),0)</f>
        <v>210.16</v>
      </c>
      <c r="H412" s="264">
        <f t="shared" si="75"/>
        <v>11.853978671041837</v>
      </c>
      <c r="I412" s="238">
        <f>IFERROR(ROUNDUP(H412*'Customer Base'!$J$5,2),0)</f>
        <v>197.97</v>
      </c>
      <c r="J412" s="103" t="str">
        <f t="shared" si="72"/>
        <v/>
      </c>
      <c r="L412" s="103" t="str">
        <f t="shared" si="73"/>
        <v/>
      </c>
      <c r="N412" s="103">
        <v>421</v>
      </c>
      <c r="O412" s="103" t="str">
        <f>IF('Customer Base'!$I$15="MANUAL",IF(B412&lt;&gt;"",C412,""),IF('Customer Base'!$I$15="AUTOMATE",IF(A412&lt;&gt;"",C412,""),""))</f>
        <v/>
      </c>
      <c r="AO412" s="103">
        <f>IF('Customer Base'!$I$15="MANUAL",IFERROR(AM412*B412,""),IF('Customer Base'!$I$15="AUTOMATE",IFERROR(AM412*A412,""),""))</f>
        <v>0</v>
      </c>
      <c r="AV412" s="103">
        <f t="shared" si="69"/>
        <v>0</v>
      </c>
    </row>
    <row r="413" spans="1:48">
      <c r="C413" s="243" t="s">
        <v>922</v>
      </c>
      <c r="D413" s="331">
        <v>17.170000000000002</v>
      </c>
      <c r="E413" s="331">
        <v>16.167999999999999</v>
      </c>
      <c r="F413" s="264">
        <f t="shared" si="74"/>
        <v>14.085315832649714</v>
      </c>
      <c r="G413" s="238">
        <f>IFERROR(ROUNDUP(F413*'Customer Base'!$J$5,2),0)</f>
        <v>235.23</v>
      </c>
      <c r="H413" s="264">
        <f t="shared" si="75"/>
        <v>13.263330598851516</v>
      </c>
      <c r="I413" s="238">
        <f>IFERROR(ROUNDUP(H413*'Customer Base'!$J$5,2),0)</f>
        <v>221.5</v>
      </c>
      <c r="J413" s="103" t="str">
        <f t="shared" si="72"/>
        <v/>
      </c>
      <c r="L413" s="103" t="str">
        <f t="shared" si="73"/>
        <v/>
      </c>
      <c r="N413" s="103">
        <v>422</v>
      </c>
      <c r="O413" s="103" t="str">
        <f>IF('Customer Base'!$I$15="MANUAL",IF(B413&lt;&gt;"",C413,""),IF('Customer Base'!$I$15="AUTOMATE",IF(A413&lt;&gt;"",C413,""),""))</f>
        <v/>
      </c>
      <c r="AO413" s="103">
        <f>IF('Customer Base'!$I$15="MANUAL",IFERROR(AM413*B413,""),IF('Customer Base'!$I$15="AUTOMATE",IFERROR(AM413*A413,""),""))</f>
        <v>0</v>
      </c>
      <c r="AV413" s="103">
        <f t="shared" si="69"/>
        <v>0</v>
      </c>
    </row>
    <row r="414" spans="1:48">
      <c r="C414" s="243" t="s">
        <v>923</v>
      </c>
      <c r="D414" s="331">
        <v>20.77</v>
      </c>
      <c r="E414" s="331">
        <v>19.57</v>
      </c>
      <c r="F414" s="264">
        <f t="shared" si="74"/>
        <v>17.038556193601313</v>
      </c>
      <c r="G414" s="238">
        <f>IFERROR(ROUNDUP(F414*'Customer Base'!$J$5,2),0)</f>
        <v>284.55</v>
      </c>
      <c r="H414" s="264">
        <f t="shared" si="75"/>
        <v>16.054142739950777</v>
      </c>
      <c r="I414" s="238">
        <f>IFERROR(ROUNDUP(H414*'Customer Base'!$J$5,2),0)</f>
        <v>268.11</v>
      </c>
      <c r="J414" s="103" t="str">
        <f t="shared" si="72"/>
        <v/>
      </c>
      <c r="L414" s="103" t="str">
        <f t="shared" si="73"/>
        <v/>
      </c>
      <c r="N414" s="103">
        <v>423</v>
      </c>
      <c r="O414" s="103" t="str">
        <f>IF('Customer Base'!$I$15="MANUAL",IF(B414&lt;&gt;"",C414,""),IF('Customer Base'!$I$15="AUTOMATE",IF(A414&lt;&gt;"",C414,""),""))</f>
        <v/>
      </c>
      <c r="AO414" s="103">
        <f>IF('Customer Base'!$I$15="MANUAL",IFERROR(AM414*B414,""),IF('Customer Base'!$I$15="AUTOMATE",IFERROR(AM414*A414,""),""))</f>
        <v>0</v>
      </c>
      <c r="AV414" s="103">
        <f t="shared" si="69"/>
        <v>0</v>
      </c>
    </row>
    <row r="415" spans="1:48">
      <c r="C415" s="243" t="s">
        <v>2741</v>
      </c>
      <c r="D415" s="331">
        <v>29.79</v>
      </c>
      <c r="E415" s="331">
        <v>28.058</v>
      </c>
      <c r="F415" s="264">
        <f t="shared" si="74"/>
        <v>24.438063986874486</v>
      </c>
      <c r="G415" s="238">
        <f>IFERROR(ROUNDUP(F415*'Customer Base'!$J$5,2),0)</f>
        <v>408.12</v>
      </c>
      <c r="H415" s="264">
        <f t="shared" si="75"/>
        <v>23.017227235438881</v>
      </c>
      <c r="I415" s="238">
        <f>IFERROR(ROUNDUP(H415*'Customer Base'!$J$5,2),0)</f>
        <v>384.39</v>
      </c>
      <c r="J415" s="103" t="str">
        <f t="shared" si="72"/>
        <v/>
      </c>
      <c r="L415" s="103" t="str">
        <f t="shared" si="73"/>
        <v/>
      </c>
      <c r="N415" s="103">
        <v>424</v>
      </c>
      <c r="O415" s="103" t="str">
        <f>IF('Customer Base'!$I$15="MANUAL",IF(B415&lt;&gt;"",C415,""),IF('Customer Base'!$I$15="AUTOMATE",IF(A415&lt;&gt;"",C415,""),""))</f>
        <v/>
      </c>
      <c r="AO415" s="103">
        <f>IF('Customer Base'!$I$15="MANUAL",IFERROR(AM415*B415,""),IF('Customer Base'!$I$15="AUTOMATE",IFERROR(AM415*A415,""),""))</f>
        <v>0</v>
      </c>
    </row>
    <row r="416" spans="1:48">
      <c r="C416" s="243" t="s">
        <v>2742</v>
      </c>
      <c r="D416" s="331">
        <v>28.896000000000001</v>
      </c>
      <c r="E416" s="331">
        <v>27.216000000000001</v>
      </c>
      <c r="F416" s="264">
        <f t="shared" si="74"/>
        <v>23.70467596390484</v>
      </c>
      <c r="G416" s="238">
        <f>IFERROR(ROUNDUP(F416*'Customer Base'!$J$5,2),0)</f>
        <v>395.87</v>
      </c>
      <c r="H416" s="264">
        <f t="shared" si="75"/>
        <v>22.326497128794092</v>
      </c>
      <c r="I416" s="238">
        <f>IFERROR(ROUNDUP(H416*'Customer Base'!$J$5,2),0)</f>
        <v>372.86</v>
      </c>
      <c r="J416" s="103" t="str">
        <f t="shared" si="72"/>
        <v/>
      </c>
      <c r="L416" s="103" t="str">
        <f t="shared" si="73"/>
        <v/>
      </c>
      <c r="N416" s="103">
        <v>425</v>
      </c>
      <c r="O416" s="103" t="str">
        <f>IF('Customer Base'!$I$15="MANUAL",IF(B416&lt;&gt;"",C416,""),IF('Customer Base'!$I$15="AUTOMATE",IF(A416&lt;&gt;"",C416,""),""))</f>
        <v/>
      </c>
      <c r="AO416" s="103">
        <f>IF('Customer Base'!$I$15="MANUAL",IFERROR(AM416*B416,""),IF('Customer Base'!$I$15="AUTOMATE",IFERROR(AM416*A416,""),""))</f>
        <v>0</v>
      </c>
    </row>
    <row r="417" spans="1:48">
      <c r="C417" s="243" t="s">
        <v>924</v>
      </c>
      <c r="D417" s="331">
        <v>69.52</v>
      </c>
      <c r="E417" s="331">
        <v>65.48</v>
      </c>
      <c r="F417" s="264">
        <f t="shared" si="74"/>
        <v>57.030352748154215</v>
      </c>
      <c r="G417" s="238">
        <f>IFERROR(ROUNDUP(F417*'Customer Base'!$J$5,2),0)</f>
        <v>952.41</v>
      </c>
      <c r="H417" s="264">
        <f t="shared" si="75"/>
        <v>53.716160787530761</v>
      </c>
      <c r="I417" s="238">
        <f>IFERROR(ROUNDUP(H417*'Customer Base'!$J$5,2),0)</f>
        <v>897.06</v>
      </c>
      <c r="J417" s="103" t="str">
        <f t="shared" si="72"/>
        <v/>
      </c>
      <c r="L417" s="103" t="str">
        <f t="shared" si="73"/>
        <v/>
      </c>
      <c r="N417" s="103">
        <v>426</v>
      </c>
      <c r="O417" s="103" t="str">
        <f>IF('Customer Base'!$I$15="MANUAL",IF(B417&lt;&gt;"",C417,""),IF('Customer Base'!$I$15="AUTOMATE",IF(A417&lt;&gt;"",C417,""),""))</f>
        <v/>
      </c>
      <c r="AO417" s="103">
        <f>IF('Customer Base'!$I$15="MANUAL",IFERROR(AM417*B417,""),IF('Customer Base'!$I$15="AUTOMATE",IFERROR(AM417*A417,""),""))</f>
        <v>0</v>
      </c>
      <c r="AV417" s="103">
        <f t="shared" si="69"/>
        <v>0</v>
      </c>
    </row>
    <row r="418" spans="1:48">
      <c r="C418" s="243" t="s">
        <v>2740</v>
      </c>
      <c r="D418" s="331">
        <v>60.51</v>
      </c>
      <c r="E418" s="331">
        <v>56.991999999999997</v>
      </c>
      <c r="F418" s="264">
        <f t="shared" si="74"/>
        <v>49.639048400328136</v>
      </c>
      <c r="G418" s="238">
        <f>IFERROR(ROUNDUP(F418*'Customer Base'!$J$5,2),0)</f>
        <v>828.98</v>
      </c>
      <c r="H418" s="264">
        <f t="shared" si="75"/>
        <v>46.75307629204265</v>
      </c>
      <c r="I418" s="238">
        <f>IFERROR(ROUNDUP(H418*'Customer Base'!$J$5,2),0)</f>
        <v>780.78</v>
      </c>
      <c r="J418" s="103" t="str">
        <f t="shared" si="72"/>
        <v/>
      </c>
      <c r="L418" s="103" t="str">
        <f t="shared" si="73"/>
        <v/>
      </c>
      <c r="N418" s="103">
        <v>427</v>
      </c>
      <c r="O418" s="103" t="str">
        <f>IF('Customer Base'!$I$15="MANUAL",IF(B418&lt;&gt;"",C418,""),IF('Customer Base'!$I$15="AUTOMATE",IF(A418&lt;&gt;"",C418,""),""))</f>
        <v/>
      </c>
      <c r="AO418" s="103">
        <f>IF('Customer Base'!$I$15="MANUAL",IFERROR(AM418*B418,""),IF('Customer Base'!$I$15="AUTOMATE",IFERROR(AM418*A418,""),""))</f>
        <v>0</v>
      </c>
    </row>
    <row r="419" spans="1:48">
      <c r="C419" s="243" t="s">
        <v>2739</v>
      </c>
      <c r="D419" s="331">
        <v>517.41</v>
      </c>
      <c r="E419" s="331">
        <v>487.32799999999997</v>
      </c>
      <c r="F419" s="264">
        <f t="shared" si="74"/>
        <v>424.45447087776859</v>
      </c>
      <c r="G419" s="238">
        <f>IFERROR(ROUNDUP(F419*'Customer Base'!$J$5,2),0)</f>
        <v>7088.39</v>
      </c>
      <c r="H419" s="264">
        <f t="shared" si="75"/>
        <v>399.77686628383918</v>
      </c>
      <c r="I419" s="238">
        <f>IFERROR(ROUNDUP(H419*'Customer Base'!$J$5,2),0)</f>
        <v>6676.2800000000007</v>
      </c>
      <c r="J419" s="103" t="str">
        <f t="shared" si="72"/>
        <v/>
      </c>
      <c r="L419" s="103" t="str">
        <f t="shared" si="73"/>
        <v/>
      </c>
      <c r="N419" s="103">
        <v>428</v>
      </c>
      <c r="O419" s="103" t="str">
        <f>IF('Customer Base'!$I$15="MANUAL",IF(B419&lt;&gt;"",C419,""),IF('Customer Base'!$I$15="AUTOMATE",IF(A419&lt;&gt;"",C419,""),""))</f>
        <v/>
      </c>
      <c r="AO419" s="103">
        <f>IF('Customer Base'!$I$15="MANUAL",IFERROR(AM419*B419,""),IF('Customer Base'!$I$15="AUTOMATE",IFERROR(AM419*A419,""),""))</f>
        <v>0</v>
      </c>
    </row>
    <row r="420" spans="1:48">
      <c r="C420" s="243" t="s">
        <v>2738</v>
      </c>
      <c r="D420" s="331">
        <v>55.07</v>
      </c>
      <c r="E420" s="331">
        <v>51.872</v>
      </c>
      <c r="F420" s="264">
        <f t="shared" si="74"/>
        <v>45.176374077112385</v>
      </c>
      <c r="G420" s="238">
        <f>IFERROR(ROUNDUP(F420*'Customer Base'!$J$5,2),0)</f>
        <v>754.45</v>
      </c>
      <c r="H420" s="264">
        <f t="shared" si="75"/>
        <v>42.55291222313371</v>
      </c>
      <c r="I420" s="238">
        <f>IFERROR(ROUNDUP(H420*'Customer Base'!$J$5,2),0)</f>
        <v>710.64</v>
      </c>
      <c r="J420" s="103" t="str">
        <f t="shared" si="72"/>
        <v/>
      </c>
      <c r="L420" s="103" t="str">
        <f t="shared" si="73"/>
        <v/>
      </c>
      <c r="N420" s="103">
        <v>429</v>
      </c>
      <c r="O420" s="103" t="str">
        <f>IF('Customer Base'!$I$15="MANUAL",IF(B420&lt;&gt;"",C420,""),IF('Customer Base'!$I$15="AUTOMATE",IF(A420&lt;&gt;"",C420,""),""))</f>
        <v/>
      </c>
      <c r="AO420" s="103">
        <f>IF('Customer Base'!$I$15="MANUAL",IFERROR(AM420*B420,""),IF('Customer Base'!$I$15="AUTOMATE",IFERROR(AM420*A420,""),""))</f>
        <v>0</v>
      </c>
    </row>
    <row r="421" spans="1:48">
      <c r="C421" s="243" t="s">
        <v>925</v>
      </c>
      <c r="D421" s="331">
        <v>28.9</v>
      </c>
      <c r="E421" s="331">
        <v>27.216000000000001</v>
      </c>
      <c r="F421" s="264">
        <f t="shared" si="74"/>
        <v>23.707957342083674</v>
      </c>
      <c r="G421" s="238">
        <f>IFERROR(ROUNDUP(F421*'Customer Base'!$J$5,2),0)</f>
        <v>395.93</v>
      </c>
      <c r="H421" s="264">
        <f t="shared" si="75"/>
        <v>22.326497128794092</v>
      </c>
      <c r="I421" s="238">
        <f>IFERROR(ROUNDUP(H421*'Customer Base'!$J$5,2),0)</f>
        <v>372.86</v>
      </c>
      <c r="J421" s="103" t="str">
        <f t="shared" si="72"/>
        <v/>
      </c>
      <c r="L421" s="103" t="str">
        <f t="shared" si="73"/>
        <v/>
      </c>
      <c r="N421" s="103">
        <v>430</v>
      </c>
      <c r="O421" s="103" t="str">
        <f>IF('Customer Base'!$I$15="MANUAL",IF(B421&lt;&gt;"",C421,""),IF('Customer Base'!$I$15="AUTOMATE",IF(A421&lt;&gt;"",C421,""),""))</f>
        <v/>
      </c>
      <c r="AO421" s="103">
        <f>IF('Customer Base'!$I$15="MANUAL",IFERROR(AM421*B421,""),IF('Customer Base'!$I$15="AUTOMATE",IFERROR(AM421*A421,""),""))</f>
        <v>0</v>
      </c>
      <c r="AV421" s="103">
        <f t="shared" si="69"/>
        <v>0</v>
      </c>
    </row>
    <row r="422" spans="1:48">
      <c r="C422" s="243" t="s">
        <v>926</v>
      </c>
      <c r="D422" s="331">
        <v>27.09</v>
      </c>
      <c r="E422" s="331">
        <v>25.515000000000001</v>
      </c>
      <c r="F422" s="264">
        <f t="shared" si="74"/>
        <v>22.223133716160785</v>
      </c>
      <c r="G422" s="238">
        <f>IFERROR(ROUNDUP(F422*'Customer Base'!$J$5,2),0)</f>
        <v>371.13</v>
      </c>
      <c r="H422" s="264">
        <f t="shared" si="75"/>
        <v>20.931091058244462</v>
      </c>
      <c r="I422" s="238">
        <f>IFERROR(ROUNDUP(H422*'Customer Base'!$J$5,2),0)</f>
        <v>349.55</v>
      </c>
      <c r="J422" s="103" t="str">
        <f t="shared" si="72"/>
        <v/>
      </c>
      <c r="L422" s="103" t="str">
        <f t="shared" si="73"/>
        <v/>
      </c>
      <c r="N422" s="103">
        <v>431</v>
      </c>
      <c r="O422" s="103" t="str">
        <f>IF('Customer Base'!$I$15="MANUAL",IF(B422&lt;&gt;"",C422,""),IF('Customer Base'!$I$15="AUTOMATE",IF(A422&lt;&gt;"",C422,""),""))</f>
        <v/>
      </c>
      <c r="AO422" s="103">
        <f>IF('Customer Base'!$I$15="MANUAL",IFERROR(AM422*B422,""),IF('Customer Base'!$I$15="AUTOMATE",IFERROR(AM422*A422,""),""))</f>
        <v>0</v>
      </c>
      <c r="AV422" s="103">
        <f t="shared" si="69"/>
        <v>0</v>
      </c>
    </row>
    <row r="423" spans="1:48">
      <c r="C423" s="243" t="s">
        <v>927</v>
      </c>
      <c r="D423" s="331">
        <v>28</v>
      </c>
      <c r="E423" s="331">
        <v>26.373999999999999</v>
      </c>
      <c r="F423" s="264">
        <f t="shared" si="74"/>
        <v>22.969647251845775</v>
      </c>
      <c r="G423" s="238">
        <f>IFERROR(ROUNDUP(F423*'Customer Base'!$J$5,2),0)</f>
        <v>383.59999999999997</v>
      </c>
      <c r="H423" s="264">
        <f t="shared" si="75"/>
        <v>21.635767022149299</v>
      </c>
      <c r="I423" s="238">
        <f>IFERROR(ROUNDUP(H423*'Customer Base'!$J$5,2),0)</f>
        <v>361.32</v>
      </c>
      <c r="J423" s="103" t="str">
        <f t="shared" si="72"/>
        <v/>
      </c>
      <c r="L423" s="103" t="str">
        <f t="shared" si="73"/>
        <v/>
      </c>
      <c r="N423" s="103">
        <v>432</v>
      </c>
      <c r="O423" s="103" t="str">
        <f>IF('Customer Base'!$I$15="MANUAL",IF(B423&lt;&gt;"",C423,""),IF('Customer Base'!$I$15="AUTOMATE",IF(A423&lt;&gt;"",C423,""),""))</f>
        <v/>
      </c>
      <c r="AO423" s="103">
        <f>IF('Customer Base'!$I$15="MANUAL",IFERROR(AM423*B423,""),IF('Customer Base'!$I$15="AUTOMATE",IFERROR(AM423*A423,""),""))</f>
        <v>0</v>
      </c>
      <c r="AV423" s="103">
        <f t="shared" si="69"/>
        <v>0</v>
      </c>
    </row>
    <row r="424" spans="1:48">
      <c r="C424" s="243" t="s">
        <v>928</v>
      </c>
      <c r="D424" s="331">
        <v>31.61</v>
      </c>
      <c r="E424" s="331">
        <v>29.776</v>
      </c>
      <c r="F424" s="264">
        <f t="shared" si="74"/>
        <v>25.931091058244462</v>
      </c>
      <c r="G424" s="238">
        <f>IFERROR(ROUNDUP(F424*'Customer Base'!$J$5,2),0)</f>
        <v>433.05</v>
      </c>
      <c r="H424" s="264">
        <f t="shared" si="75"/>
        <v>24.426579163248562</v>
      </c>
      <c r="I424" s="238">
        <f>IFERROR(ROUNDUP(H424*'Customer Base'!$J$5,2),0)</f>
        <v>407.93</v>
      </c>
      <c r="J424" s="103" t="str">
        <f t="shared" si="72"/>
        <v/>
      </c>
      <c r="L424" s="103" t="str">
        <f t="shared" si="73"/>
        <v/>
      </c>
      <c r="N424" s="103">
        <v>433</v>
      </c>
      <c r="O424" s="103" t="str">
        <f>IF('Customer Base'!$I$15="MANUAL",IF(B424&lt;&gt;"",C424,""),IF('Customer Base'!$I$15="AUTOMATE",IF(A424&lt;&gt;"",C424,""),""))</f>
        <v/>
      </c>
      <c r="AO424" s="103">
        <f>IF('Customer Base'!$I$15="MANUAL",IFERROR(AM424*B424,""),IF('Customer Base'!$I$15="AUTOMATE",IFERROR(AM424*A424,""),""))</f>
        <v>0</v>
      </c>
      <c r="AV424" s="103">
        <f t="shared" si="69"/>
        <v>0</v>
      </c>
    </row>
    <row r="425" spans="1:48">
      <c r="C425" s="243" t="s">
        <v>929</v>
      </c>
      <c r="D425" s="331">
        <v>9.94</v>
      </c>
      <c r="E425" s="331">
        <v>9.3640000000000008</v>
      </c>
      <c r="F425" s="264">
        <f t="shared" si="74"/>
        <v>8.1542247744052485</v>
      </c>
      <c r="G425" s="238">
        <f>IFERROR(ROUNDUP(F425*'Customer Base'!$J$5,2),0)</f>
        <v>136.17999999999998</v>
      </c>
      <c r="H425" s="264">
        <f t="shared" si="75"/>
        <v>7.6817063166529946</v>
      </c>
      <c r="I425" s="238">
        <f>IFERROR(ROUNDUP(H425*'Customer Base'!$J$5,2),0)</f>
        <v>128.29</v>
      </c>
      <c r="J425" s="103" t="str">
        <f t="shared" si="72"/>
        <v/>
      </c>
      <c r="L425" s="103" t="str">
        <f t="shared" si="73"/>
        <v/>
      </c>
      <c r="N425" s="103">
        <v>434</v>
      </c>
      <c r="O425" s="103" t="str">
        <f>IF('Customer Base'!$I$15="MANUAL",IF(B425&lt;&gt;"",C425,""),IF('Customer Base'!$I$15="AUTOMATE",IF(A425&lt;&gt;"",C425,""),""))</f>
        <v/>
      </c>
      <c r="AO425" s="103">
        <f>IF('Customer Base'!$I$15="MANUAL",IFERROR(AM425*B425,""),IF('Customer Base'!$I$15="AUTOMATE",IFERROR(AM425*A425,""),""))</f>
        <v>0</v>
      </c>
      <c r="AV425" s="103">
        <f t="shared" si="69"/>
        <v>0</v>
      </c>
    </row>
    <row r="426" spans="1:48">
      <c r="C426" s="226"/>
      <c r="D426" s="324"/>
      <c r="E426" s="324"/>
      <c r="F426" s="256">
        <f t="shared" si="74"/>
        <v>0</v>
      </c>
      <c r="G426" s="224">
        <f>IFERROR(ROUNDUP(F426*'Customer Base'!$J$5,2),0)</f>
        <v>0</v>
      </c>
      <c r="H426" s="256">
        <f t="shared" si="75"/>
        <v>0</v>
      </c>
      <c r="I426" s="224">
        <f>IFERROR(ROUNDUP(H426*'Customer Base'!$J$5,2),0)</f>
        <v>0</v>
      </c>
      <c r="J426" s="103" t="str">
        <f t="shared" si="72"/>
        <v/>
      </c>
      <c r="L426" s="103" t="str">
        <f t="shared" si="73"/>
        <v/>
      </c>
      <c r="N426" s="103">
        <v>435</v>
      </c>
      <c r="O426" s="103" t="str">
        <f>IF('Customer Base'!$I$15="MANUAL",IF(B426&lt;&gt;"",C426,""),IF('Customer Base'!$I$15="AUTOMATE",IF(A426&lt;&gt;"",C426,""),""))</f>
        <v/>
      </c>
      <c r="AO426" s="103">
        <f>IF('Customer Base'!$I$15="MANUAL",IFERROR(AM426*B426,""),IF('Customer Base'!$I$15="AUTOMATE",IFERROR(AM426*A426,""),""))</f>
        <v>0</v>
      </c>
      <c r="AV426" s="103">
        <f t="shared" si="69"/>
        <v>0</v>
      </c>
    </row>
    <row r="427" spans="1:48">
      <c r="A427" s="103" t="str">
        <f>IF(AND('Customer Base'!D20="BYD",A207="",'Customer Base'!D7&lt;&gt;"Grid-Tied"),1,"")</f>
        <v/>
      </c>
      <c r="B427" s="270" t="s">
        <v>1</v>
      </c>
      <c r="C427" s="243" t="s">
        <v>1187</v>
      </c>
      <c r="D427" s="331">
        <v>14.45</v>
      </c>
      <c r="E427" s="331">
        <v>13.608000000000001</v>
      </c>
      <c r="F427" s="264">
        <f t="shared" si="74"/>
        <v>11.853978671041837</v>
      </c>
      <c r="G427" s="238">
        <f>IFERROR(ROUNDUP(F427*'Customer Base'!$J$5,2),0)</f>
        <v>197.97</v>
      </c>
      <c r="H427" s="264">
        <f t="shared" si="75"/>
        <v>11.163248564397046</v>
      </c>
      <c r="I427" s="238">
        <f>IFERROR(ROUNDUP(H427*'Customer Base'!$J$5,2),0)</f>
        <v>186.42999999999998</v>
      </c>
      <c r="J427" s="103" t="str">
        <f t="shared" si="72"/>
        <v/>
      </c>
      <c r="L427" s="103" t="str">
        <f t="shared" si="73"/>
        <v/>
      </c>
      <c r="N427" s="103">
        <v>436</v>
      </c>
      <c r="O427" s="103" t="str">
        <f>IF('Customer Base'!$I$15="MANUAL",IF(B427&lt;&gt;"",C427,""),IF('Customer Base'!$I$15="AUTOMATE",IF(A427&lt;&gt;"",C427,""),""))</f>
        <v/>
      </c>
      <c r="AO427" s="103" t="str">
        <f>IF('Customer Base'!$I$15="MANUAL",IFERROR(AM427*B427,""),IF('Customer Base'!$I$15="AUTOMATE",IFERROR(AM427*A427,""),""))</f>
        <v/>
      </c>
      <c r="AV427" s="103">
        <f t="shared" si="69"/>
        <v>0</v>
      </c>
    </row>
    <row r="428" spans="1:48">
      <c r="C428" s="243" t="s">
        <v>1188</v>
      </c>
      <c r="D428" s="331">
        <v>17.48</v>
      </c>
      <c r="E428" s="331">
        <v>13.608000000000001</v>
      </c>
      <c r="F428" s="264">
        <f t="shared" si="74"/>
        <v>14.339622641509433</v>
      </c>
      <c r="G428" s="238">
        <f>IFERROR(ROUNDUP(F428*'Customer Base'!$J$5,2),0)</f>
        <v>239.48</v>
      </c>
      <c r="H428" s="264">
        <f t="shared" si="75"/>
        <v>11.163248564397046</v>
      </c>
      <c r="I428" s="238">
        <f>IFERROR(ROUNDUP(H428*'Customer Base'!$J$5,2),0)</f>
        <v>186.42999999999998</v>
      </c>
      <c r="J428" s="103" t="str">
        <f t="shared" si="72"/>
        <v/>
      </c>
      <c r="L428" s="103" t="str">
        <f t="shared" si="73"/>
        <v/>
      </c>
      <c r="N428" s="103">
        <v>437</v>
      </c>
      <c r="O428" s="103" t="str">
        <f>IF('Customer Base'!$I$15="MANUAL",IF(B428&lt;&gt;"",C428,""),IF('Customer Base'!$I$15="AUTOMATE",IF(A428&lt;&gt;"",C428,""),""))</f>
        <v/>
      </c>
      <c r="AO428" s="103">
        <f>IF('Customer Base'!$I$15="MANUAL",IFERROR(AM428*B428,""),IF('Customer Base'!$I$15="AUTOMATE",IFERROR(AM428*A428,""),""))</f>
        <v>0</v>
      </c>
      <c r="AV428" s="103">
        <f t="shared" si="69"/>
        <v>0</v>
      </c>
    </row>
    <row r="429" spans="1:48">
      <c r="A429" s="103">
        <f>IF(AND('Customer Base'!D20="BYD",A207&lt;&gt;"",'Customer Base'!D7&lt;&gt;"Grid-Tied"),1,"")</f>
        <v>1</v>
      </c>
      <c r="B429" s="270">
        <v>1</v>
      </c>
      <c r="C429" s="243" t="s">
        <v>1189</v>
      </c>
      <c r="D429" s="331">
        <v>17.48</v>
      </c>
      <c r="E429" s="331">
        <v>13.608000000000001</v>
      </c>
      <c r="F429" s="264">
        <f t="shared" si="74"/>
        <v>14.339622641509433</v>
      </c>
      <c r="G429" s="238">
        <f>IFERROR(ROUNDUP(F429*'Customer Base'!$J$5,2),0)</f>
        <v>239.48</v>
      </c>
      <c r="H429" s="264">
        <f t="shared" si="75"/>
        <v>11.163248564397046</v>
      </c>
      <c r="I429" s="238">
        <f>IFERROR(ROUNDUP(H429*'Customer Base'!$J$5,2),0)</f>
        <v>186.42999999999998</v>
      </c>
      <c r="J429" s="103" t="str">
        <f t="shared" si="72"/>
        <v/>
      </c>
      <c r="L429" s="103" t="str">
        <f t="shared" si="73"/>
        <v/>
      </c>
      <c r="N429" s="103">
        <v>438</v>
      </c>
      <c r="O429" s="103" t="str">
        <f>IF('Customer Base'!$I$15="MANUAL",IF(B429&lt;&gt;"",C429,""),IF('Customer Base'!$I$15="AUTOMATE",IF(A429&lt;&gt;"",C429,""),""))</f>
        <v>Victron VE.Can to CAN-bus BMS type B Cable 1.8m</v>
      </c>
      <c r="AO429" s="103">
        <f>IF('Customer Base'!$I$15="MANUAL",IFERROR(AM429*B429,""),IF('Customer Base'!$I$15="AUTOMATE",IFERROR(AM429*A429,""),""))</f>
        <v>0</v>
      </c>
      <c r="AV429" s="103">
        <f t="shared" si="69"/>
        <v>0</v>
      </c>
    </row>
    <row r="430" spans="1:48">
      <c r="C430" s="243" t="s">
        <v>1190</v>
      </c>
      <c r="D430" s="331">
        <v>14.45</v>
      </c>
      <c r="E430" s="331">
        <v>13.608000000000001</v>
      </c>
      <c r="F430" s="264">
        <f t="shared" si="74"/>
        <v>11.853978671041837</v>
      </c>
      <c r="G430" s="238">
        <f>IFERROR(ROUNDUP(F430*'Customer Base'!$J$5,2),0)</f>
        <v>197.97</v>
      </c>
      <c r="H430" s="264">
        <f t="shared" si="75"/>
        <v>11.163248564397046</v>
      </c>
      <c r="I430" s="238">
        <f>IFERROR(ROUNDUP(H430*'Customer Base'!$J$5,2),0)</f>
        <v>186.42999999999998</v>
      </c>
      <c r="J430" s="103" t="str">
        <f t="shared" si="72"/>
        <v/>
      </c>
      <c r="L430" s="103" t="str">
        <f t="shared" si="73"/>
        <v/>
      </c>
      <c r="N430" s="103">
        <v>439</v>
      </c>
      <c r="O430" s="103" t="str">
        <f>IF('Customer Base'!$I$15="MANUAL",IF(B430&lt;&gt;"",C430,""),IF('Customer Base'!$I$15="AUTOMATE",IF(A430&lt;&gt;"",C430,""),""))</f>
        <v/>
      </c>
      <c r="AO430" s="103">
        <f>IF('Customer Base'!$I$15="MANUAL",IFERROR(AM430*B430,""),IF('Customer Base'!$I$15="AUTOMATE",IFERROR(AM430*A430,""),""))</f>
        <v>0</v>
      </c>
      <c r="AV430" s="103">
        <f t="shared" si="69"/>
        <v>0</v>
      </c>
    </row>
    <row r="431" spans="1:48">
      <c r="D431" s="319"/>
      <c r="E431" s="319"/>
      <c r="F431" s="224">
        <f t="shared" si="74"/>
        <v>0</v>
      </c>
      <c r="G431" s="224">
        <f>IFERROR(ROUNDUP(F431*'Customer Base'!$J$5,2),0)</f>
        <v>0</v>
      </c>
      <c r="H431" s="224">
        <f t="shared" si="75"/>
        <v>0</v>
      </c>
      <c r="I431" s="224">
        <f>IFERROR(ROUNDUP(H431*'Customer Base'!$J$5,2),0)</f>
        <v>0</v>
      </c>
      <c r="J431" s="103" t="str">
        <f t="shared" si="72"/>
        <v/>
      </c>
      <c r="L431" s="103" t="str">
        <f t="shared" si="73"/>
        <v/>
      </c>
      <c r="N431" s="103">
        <v>440</v>
      </c>
      <c r="O431" s="103" t="str">
        <f>IF('Customer Base'!$I$15="MANUAL",IF(B431&lt;&gt;"",C431,""),IF('Customer Base'!$I$15="AUTOMATE",IF(A431&lt;&gt;"",C431,""),""))</f>
        <v/>
      </c>
      <c r="AO431" s="103">
        <f>IF('Customer Base'!$I$15="MANUAL",IFERROR(AM431*B431,""),IF('Customer Base'!$I$15="AUTOMATE",IFERROR(AM431*A431,""),""))</f>
        <v>0</v>
      </c>
      <c r="AV431" s="103">
        <f t="shared" si="69"/>
        <v>0</v>
      </c>
    </row>
    <row r="432" spans="1:48">
      <c r="C432" s="251" t="s">
        <v>1173</v>
      </c>
      <c r="D432" s="328">
        <v>22.57</v>
      </c>
      <c r="E432" s="328">
        <v>21.254000000000001</v>
      </c>
      <c r="F432" s="245">
        <f t="shared" si="74"/>
        <v>18.515176374077111</v>
      </c>
      <c r="G432" s="245">
        <f>IFERROR(ROUNDUP(F432*'Customer Base'!$J$5,2),0)</f>
        <v>309.20999999999998</v>
      </c>
      <c r="H432" s="245">
        <f t="shared" si="75"/>
        <v>17.435602953240362</v>
      </c>
      <c r="I432" s="245">
        <f>IFERROR(ROUNDUP(H432*'Customer Base'!$J$5,2),0)</f>
        <v>291.18</v>
      </c>
      <c r="J432" s="103" t="str">
        <f t="shared" si="72"/>
        <v/>
      </c>
      <c r="L432" s="103" t="str">
        <f t="shared" si="73"/>
        <v/>
      </c>
      <c r="N432" s="103">
        <v>441</v>
      </c>
      <c r="O432" s="103" t="str">
        <f>IF('Customer Base'!$I$15="MANUAL",IF(B432&lt;&gt;"",C432,""),IF('Customer Base'!$I$15="AUTOMATE",IF(A432&lt;&gt;"",C432,""),""))</f>
        <v/>
      </c>
      <c r="AO432" s="103">
        <f>IF('Customer Base'!$I$15="MANUAL",IFERROR(AM432*B432,""),IF('Customer Base'!$I$15="AUTOMATE",IFERROR(AM432*A432,""),""))</f>
        <v>0</v>
      </c>
      <c r="AV432" s="103">
        <f t="shared" si="69"/>
        <v>0</v>
      </c>
    </row>
    <row r="433" spans="3:48">
      <c r="C433" s="251" t="s">
        <v>931</v>
      </c>
      <c r="D433" s="328">
        <v>9.94</v>
      </c>
      <c r="E433" s="328">
        <v>9.3640000000000008</v>
      </c>
      <c r="F433" s="245">
        <f t="shared" si="74"/>
        <v>8.1542247744052485</v>
      </c>
      <c r="G433" s="245">
        <f>IFERROR(ROUNDUP(F433*'Customer Base'!$J$5,2),0)</f>
        <v>136.17999999999998</v>
      </c>
      <c r="H433" s="245">
        <f t="shared" si="75"/>
        <v>7.6817063166529946</v>
      </c>
      <c r="I433" s="245">
        <f>IFERROR(ROUNDUP(H433*'Customer Base'!$J$5,2),0)</f>
        <v>128.29</v>
      </c>
      <c r="J433" s="103" t="str">
        <f t="shared" si="72"/>
        <v/>
      </c>
      <c r="L433" s="103" t="str">
        <f t="shared" si="73"/>
        <v/>
      </c>
      <c r="N433" s="103">
        <v>442</v>
      </c>
      <c r="O433" s="103" t="str">
        <f>IF('Customer Base'!$I$15="MANUAL",IF(B433&lt;&gt;"",C433,""),IF('Customer Base'!$I$15="AUTOMATE",IF(A433&lt;&gt;"",C433,""),""))</f>
        <v/>
      </c>
      <c r="AO433" s="103">
        <f>IF('Customer Base'!$I$15="MANUAL",IFERROR(AM433*B433,""),IF('Customer Base'!$I$15="AUTOMATE",IFERROR(AM433*A433,""),""))</f>
        <v>0</v>
      </c>
      <c r="AV433" s="103">
        <f t="shared" si="69"/>
        <v>0</v>
      </c>
    </row>
    <row r="434" spans="3:48">
      <c r="C434" s="251" t="s">
        <v>2764</v>
      </c>
      <c r="D434" s="328">
        <v>9.94</v>
      </c>
      <c r="E434" s="328">
        <v>9.3640000000000008</v>
      </c>
      <c r="F434" s="245">
        <f t="shared" si="74"/>
        <v>8.1542247744052485</v>
      </c>
      <c r="G434" s="245">
        <f>IFERROR(ROUNDUP(F434*'Customer Base'!$J$5,2),0)</f>
        <v>136.17999999999998</v>
      </c>
      <c r="H434" s="245">
        <f t="shared" si="75"/>
        <v>7.6817063166529946</v>
      </c>
      <c r="I434" s="245">
        <f>IFERROR(ROUNDUP(H434*'Customer Base'!$J$5,2),0)</f>
        <v>128.29</v>
      </c>
      <c r="J434" s="103" t="str">
        <f t="shared" si="72"/>
        <v/>
      </c>
      <c r="L434" s="103" t="str">
        <f t="shared" si="73"/>
        <v/>
      </c>
      <c r="N434" s="103">
        <v>443</v>
      </c>
      <c r="O434" s="103" t="str">
        <f>IF('Customer Base'!$I$15="MANUAL",IF(B434&lt;&gt;"",C434,""),IF('Customer Base'!$I$15="AUTOMATE",IF(A434&lt;&gt;"",C434,""),""))</f>
        <v/>
      </c>
      <c r="AO434" s="103">
        <f>IF('Customer Base'!$I$15="MANUAL",IFERROR(AM434*B434,""),IF('Customer Base'!$I$15="AUTOMATE",IFERROR(AM434*A434,""),""))</f>
        <v>0</v>
      </c>
      <c r="AV434" s="103">
        <f t="shared" si="69"/>
        <v>0</v>
      </c>
    </row>
    <row r="435" spans="3:48">
      <c r="C435" s="251" t="s">
        <v>930</v>
      </c>
      <c r="D435" s="328">
        <v>9.0299999999999994</v>
      </c>
      <c r="E435" s="328">
        <v>8.5050000000000008</v>
      </c>
      <c r="F435" s="245">
        <f t="shared" si="74"/>
        <v>7.4077112387202613</v>
      </c>
      <c r="G435" s="245">
        <f>IFERROR(ROUNDUP(F435*'Customer Base'!$J$5,2),0)</f>
        <v>123.71000000000001</v>
      </c>
      <c r="H435" s="245">
        <f t="shared" si="75"/>
        <v>6.9770303527481543</v>
      </c>
      <c r="I435" s="245">
        <f>IFERROR(ROUNDUP(H435*'Customer Base'!$J$5,2),0)</f>
        <v>116.52000000000001</v>
      </c>
      <c r="J435" s="103" t="str">
        <f t="shared" si="72"/>
        <v/>
      </c>
      <c r="L435" s="103" t="str">
        <f t="shared" si="73"/>
        <v/>
      </c>
      <c r="N435" s="103">
        <v>444</v>
      </c>
      <c r="O435" s="103" t="str">
        <f>IF('Customer Base'!$I$15="MANUAL",IF(B435&lt;&gt;"",C435,""),IF('Customer Base'!$I$15="AUTOMATE",IF(A435&lt;&gt;"",C435,""),""))</f>
        <v/>
      </c>
      <c r="AO435" s="103">
        <f>IF('Customer Base'!$I$15="MANUAL",IFERROR(AM435*B435,""),IF('Customer Base'!$I$15="AUTOMATE",IFERROR(AM435*A435,""),""))</f>
        <v>0</v>
      </c>
      <c r="AV435" s="103">
        <f t="shared" si="69"/>
        <v>0</v>
      </c>
    </row>
    <row r="436" spans="3:48">
      <c r="C436" s="251" t="s">
        <v>932</v>
      </c>
      <c r="D436" s="328">
        <v>11.73</v>
      </c>
      <c r="E436" s="328">
        <v>11.048</v>
      </c>
      <c r="F436" s="245">
        <f t="shared" si="74"/>
        <v>9.6226415094339615</v>
      </c>
      <c r="G436" s="245">
        <f>IFERROR(ROUNDUP(F436*'Customer Base'!$J$5,2),0)</f>
        <v>160.69999999999999</v>
      </c>
      <c r="H436" s="245">
        <f t="shared" si="75"/>
        <v>9.0631665299425759</v>
      </c>
      <c r="I436" s="245">
        <f>IFERROR(ROUNDUP(H436*'Customer Base'!$J$5,2),0)</f>
        <v>151.35999999999999</v>
      </c>
      <c r="J436" s="103" t="str">
        <f t="shared" si="72"/>
        <v/>
      </c>
      <c r="L436" s="103" t="str">
        <f t="shared" si="73"/>
        <v/>
      </c>
      <c r="N436" s="103">
        <v>445</v>
      </c>
      <c r="O436" s="103" t="str">
        <f>IF('Customer Base'!$I$15="MANUAL",IF(B436&lt;&gt;"",C436,""),IF('Customer Base'!$I$15="AUTOMATE",IF(A436&lt;&gt;"",C436,""),""))</f>
        <v/>
      </c>
      <c r="AO436" s="103">
        <f>IF('Customer Base'!$I$15="MANUAL",IFERROR(AM436*B436,""),IF('Customer Base'!$I$15="AUTOMATE",IFERROR(AM436*A436,""),""))</f>
        <v>0</v>
      </c>
      <c r="AV436" s="103">
        <f t="shared" si="69"/>
        <v>0</v>
      </c>
    </row>
    <row r="437" spans="3:48">
      <c r="C437" s="251" t="s">
        <v>933</v>
      </c>
      <c r="D437" s="328">
        <v>28</v>
      </c>
      <c r="E437" s="328">
        <v>26.373999999999999</v>
      </c>
      <c r="F437" s="245">
        <f t="shared" si="74"/>
        <v>22.969647251845775</v>
      </c>
      <c r="G437" s="245">
        <f>IFERROR(ROUNDUP(F437*'Customer Base'!$J$5,2),0)</f>
        <v>383.59999999999997</v>
      </c>
      <c r="H437" s="245">
        <f t="shared" si="75"/>
        <v>21.635767022149299</v>
      </c>
      <c r="I437" s="245">
        <f>IFERROR(ROUNDUP(H437*'Customer Base'!$J$5,2),0)</f>
        <v>361.32</v>
      </c>
      <c r="J437" s="103" t="str">
        <f t="shared" si="72"/>
        <v/>
      </c>
      <c r="L437" s="103" t="str">
        <f t="shared" si="73"/>
        <v/>
      </c>
      <c r="N437" s="103">
        <v>446</v>
      </c>
      <c r="O437" s="103" t="str">
        <f>IF('Customer Base'!$I$15="MANUAL",IF(B437&lt;&gt;"",C437,""),IF('Customer Base'!$I$15="AUTOMATE",IF(A437&lt;&gt;"",C437,""),""))</f>
        <v/>
      </c>
      <c r="AO437" s="103">
        <f>IF('Customer Base'!$I$15="MANUAL",IFERROR(AM437*B437,""),IF('Customer Base'!$I$15="AUTOMATE",IFERROR(AM437*A437,""),""))</f>
        <v>0</v>
      </c>
      <c r="AV437" s="103">
        <f t="shared" si="69"/>
        <v>0</v>
      </c>
    </row>
    <row r="438" spans="3:48">
      <c r="C438" s="251" t="s">
        <v>934</v>
      </c>
      <c r="D438" s="328">
        <v>36.119999999999997</v>
      </c>
      <c r="E438" s="328">
        <v>34.020000000000003</v>
      </c>
      <c r="F438" s="245">
        <f t="shared" si="74"/>
        <v>29.630844954881045</v>
      </c>
      <c r="G438" s="245">
        <f>IFERROR(ROUNDUP(F438*'Customer Base'!$J$5,2),0)</f>
        <v>494.84</v>
      </c>
      <c r="H438" s="245">
        <f t="shared" si="75"/>
        <v>27.908121410992617</v>
      </c>
      <c r="I438" s="245">
        <f>IFERROR(ROUNDUP(H438*'Customer Base'!$J$5,2),0)</f>
        <v>466.07</v>
      </c>
      <c r="J438" s="103" t="str">
        <f t="shared" si="72"/>
        <v/>
      </c>
      <c r="L438" s="103" t="str">
        <f t="shared" si="73"/>
        <v/>
      </c>
      <c r="N438" s="103">
        <v>447</v>
      </c>
      <c r="O438" s="103" t="str">
        <f>IF('Customer Base'!$I$15="MANUAL",IF(B438&lt;&gt;"",C438,""),IF('Customer Base'!$I$15="AUTOMATE",IF(A438&lt;&gt;"",C438,""),""))</f>
        <v/>
      </c>
      <c r="AO438" s="103">
        <f>IF('Customer Base'!$I$15="MANUAL",IFERROR(AM438*B438,""),IF('Customer Base'!$I$15="AUTOMATE",IFERROR(AM438*A438,""),""))</f>
        <v>0</v>
      </c>
      <c r="AV438" s="103">
        <f t="shared" si="69"/>
        <v>0</v>
      </c>
    </row>
    <row r="439" spans="3:48">
      <c r="C439" s="251" t="s">
        <v>2750</v>
      </c>
      <c r="D439" s="328">
        <v>38.840000000000003</v>
      </c>
      <c r="E439" s="328">
        <v>36.58</v>
      </c>
      <c r="F439" s="245">
        <f t="shared" si="74"/>
        <v>31.862182116488928</v>
      </c>
      <c r="G439" s="245">
        <f>IFERROR(ROUNDUP(F439*'Customer Base'!$J$5,2),0)</f>
        <v>532.1</v>
      </c>
      <c r="H439" s="245">
        <f t="shared" si="75"/>
        <v>30.008203445447084</v>
      </c>
      <c r="I439" s="245">
        <f>IFERROR(ROUNDUP(H439*'Customer Base'!$J$5,2),0)</f>
        <v>501.14</v>
      </c>
      <c r="J439" s="103" t="str">
        <f t="shared" si="72"/>
        <v/>
      </c>
      <c r="L439" s="103" t="str">
        <f t="shared" si="73"/>
        <v/>
      </c>
      <c r="N439" s="103">
        <v>448</v>
      </c>
      <c r="O439" s="103" t="str">
        <f>IF('Customer Base'!$I$15="MANUAL",IF(B439&lt;&gt;"",C439,""),IF('Customer Base'!$I$15="AUTOMATE",IF(A439&lt;&gt;"",C439,""),""))</f>
        <v/>
      </c>
      <c r="AO439" s="103">
        <f>IF('Customer Base'!$I$15="MANUAL",IFERROR(AM439*B439,""),IF('Customer Base'!$I$15="AUTOMATE",IFERROR(AM439*A439,""),""))</f>
        <v>0</v>
      </c>
    </row>
    <row r="440" spans="3:48">
      <c r="C440" s="251" t="s">
        <v>2751</v>
      </c>
      <c r="D440" s="328">
        <v>45.15</v>
      </c>
      <c r="E440" s="328">
        <v>42.524999999999999</v>
      </c>
      <c r="F440" s="245">
        <f t="shared" si="74"/>
        <v>37.038556193601309</v>
      </c>
      <c r="G440" s="245">
        <f>IFERROR(ROUNDUP(F440*'Customer Base'!$J$5,2),0)</f>
        <v>618.54999999999995</v>
      </c>
      <c r="H440" s="245">
        <f t="shared" si="75"/>
        <v>34.885151763740765</v>
      </c>
      <c r="I440" s="245">
        <f>IFERROR(ROUNDUP(H440*'Customer Base'!$J$5,2),0)</f>
        <v>582.59</v>
      </c>
      <c r="J440" s="103" t="str">
        <f t="shared" si="72"/>
        <v/>
      </c>
      <c r="L440" s="103" t="str">
        <f t="shared" si="73"/>
        <v/>
      </c>
      <c r="N440" s="103">
        <v>449</v>
      </c>
      <c r="O440" s="103" t="str">
        <f>IF('Customer Base'!$I$15="MANUAL",IF(B440&lt;&gt;"",C440,""),IF('Customer Base'!$I$15="AUTOMATE",IF(A440&lt;&gt;"",C440,""),""))</f>
        <v/>
      </c>
      <c r="AO440" s="103">
        <f>IF('Customer Base'!$I$15="MANUAL",IFERROR(AM440*B440,""),IF('Customer Base'!$I$15="AUTOMATE",IFERROR(AM440*A440,""),""))</f>
        <v>0</v>
      </c>
    </row>
    <row r="441" spans="3:48">
      <c r="C441" s="251" t="s">
        <v>935</v>
      </c>
      <c r="D441" s="328">
        <v>15.34</v>
      </c>
      <c r="E441" s="328">
        <v>14.45</v>
      </c>
      <c r="F441" s="245">
        <f t="shared" si="74"/>
        <v>12.584085315832649</v>
      </c>
      <c r="G441" s="245">
        <f>IFERROR(ROUNDUP(F441*'Customer Base'!$J$5,2),0)</f>
        <v>210.16</v>
      </c>
      <c r="H441" s="245">
        <f t="shared" si="75"/>
        <v>11.853978671041837</v>
      </c>
      <c r="I441" s="245">
        <f>IFERROR(ROUNDUP(H441*'Customer Base'!$J$5,2),0)</f>
        <v>197.97</v>
      </c>
      <c r="J441" s="103" t="str">
        <f t="shared" si="72"/>
        <v/>
      </c>
      <c r="L441" s="103" t="str">
        <f t="shared" si="73"/>
        <v/>
      </c>
      <c r="N441" s="103">
        <v>450</v>
      </c>
      <c r="O441" s="103" t="str">
        <f>IF('Customer Base'!$I$15="MANUAL",IF(B441&lt;&gt;"",C441,""),IF('Customer Base'!$I$15="AUTOMATE",IF(A441&lt;&gt;"",C441,""),""))</f>
        <v/>
      </c>
      <c r="AO441" s="103">
        <f>IF('Customer Base'!$I$15="MANUAL",IFERROR(AM441*B441,""),IF('Customer Base'!$I$15="AUTOMATE",IFERROR(AM441*A441,""),""))</f>
        <v>0</v>
      </c>
      <c r="AV441" s="103">
        <f t="shared" si="69"/>
        <v>0</v>
      </c>
    </row>
    <row r="442" spans="3:48">
      <c r="C442" s="251" t="s">
        <v>936</v>
      </c>
      <c r="D442" s="328">
        <v>15.34</v>
      </c>
      <c r="E442" s="328">
        <v>14.45</v>
      </c>
      <c r="F442" s="245">
        <f t="shared" si="74"/>
        <v>12.584085315832649</v>
      </c>
      <c r="G442" s="245">
        <f>IFERROR(ROUNDUP(F442*'Customer Base'!$J$5,2),0)</f>
        <v>210.16</v>
      </c>
      <c r="H442" s="245">
        <f t="shared" si="75"/>
        <v>11.853978671041837</v>
      </c>
      <c r="I442" s="245">
        <f>IFERROR(ROUNDUP(H442*'Customer Base'!$J$5,2),0)</f>
        <v>197.97</v>
      </c>
      <c r="J442" s="103" t="str">
        <f t="shared" si="72"/>
        <v/>
      </c>
      <c r="L442" s="103" t="str">
        <f t="shared" si="73"/>
        <v/>
      </c>
      <c r="N442" s="103">
        <v>451</v>
      </c>
      <c r="O442" s="103" t="str">
        <f>IF('Customer Base'!$I$15="MANUAL",IF(B442&lt;&gt;"",C442,""),IF('Customer Base'!$I$15="AUTOMATE",IF(A442&lt;&gt;"",C442,""),""))</f>
        <v/>
      </c>
      <c r="AO442" s="103">
        <f>IF('Customer Base'!$I$15="MANUAL",IFERROR(AM442*B442,""),IF('Customer Base'!$I$15="AUTOMATE",IFERROR(AM442*A442,""),""))</f>
        <v>0</v>
      </c>
      <c r="AV442" s="103">
        <f t="shared" ref="AV442:AV504" si="76">IF(AU442&lt;&gt;"",AU442,AT442)</f>
        <v>0</v>
      </c>
    </row>
    <row r="443" spans="3:48">
      <c r="C443" s="251" t="s">
        <v>937</v>
      </c>
      <c r="D443" s="328">
        <v>23.48</v>
      </c>
      <c r="E443" s="328">
        <v>22.113</v>
      </c>
      <c r="F443" s="245">
        <f t="shared" si="74"/>
        <v>19.261689909762101</v>
      </c>
      <c r="G443" s="245">
        <f>IFERROR(ROUNDUP(F443*'Customer Base'!$J$5,2),0)</f>
        <v>321.68</v>
      </c>
      <c r="H443" s="245">
        <f t="shared" si="75"/>
        <v>18.140278917145199</v>
      </c>
      <c r="I443" s="245">
        <f>IFERROR(ROUNDUP(H443*'Customer Base'!$J$5,2),0)</f>
        <v>302.95</v>
      </c>
      <c r="J443" s="103" t="str">
        <f t="shared" si="72"/>
        <v/>
      </c>
      <c r="L443" s="103" t="str">
        <f t="shared" si="73"/>
        <v/>
      </c>
      <c r="N443" s="103">
        <v>452</v>
      </c>
      <c r="O443" s="103" t="str">
        <f>IF('Customer Base'!$I$15="MANUAL",IF(B443&lt;&gt;"",C443,""),IF('Customer Base'!$I$15="AUTOMATE",IF(A443&lt;&gt;"",C443,""),""))</f>
        <v/>
      </c>
      <c r="AO443" s="103">
        <f>IF('Customer Base'!$I$15="MANUAL",IFERROR(AM443*B443,""),IF('Customer Base'!$I$15="AUTOMATE",IFERROR(AM443*A443,""),""))</f>
        <v>0</v>
      </c>
      <c r="AV443" s="103">
        <f t="shared" si="76"/>
        <v>0</v>
      </c>
    </row>
    <row r="444" spans="3:48">
      <c r="C444" s="251" t="s">
        <v>938</v>
      </c>
      <c r="D444" s="328">
        <v>25.28</v>
      </c>
      <c r="E444" s="328">
        <v>23.814</v>
      </c>
      <c r="F444" s="245">
        <f t="shared" si="74"/>
        <v>20.738310090237899</v>
      </c>
      <c r="G444" s="245">
        <f>IFERROR(ROUNDUP(F444*'Customer Base'!$J$5,2),0)</f>
        <v>346.33</v>
      </c>
      <c r="H444" s="245">
        <f t="shared" si="75"/>
        <v>19.535684987694829</v>
      </c>
      <c r="I444" s="245">
        <f>IFERROR(ROUNDUP(H444*'Customer Base'!$J$5,2),0)</f>
        <v>326.25</v>
      </c>
      <c r="J444" s="103" t="str">
        <f t="shared" si="72"/>
        <v/>
      </c>
      <c r="L444" s="103" t="str">
        <f t="shared" si="73"/>
        <v/>
      </c>
      <c r="N444" s="103">
        <v>453</v>
      </c>
      <c r="O444" s="103" t="str">
        <f>IF('Customer Base'!$I$15="MANUAL",IF(B444&lt;&gt;"",C444,""),IF('Customer Base'!$I$15="AUTOMATE",IF(A444&lt;&gt;"",C444,""),""))</f>
        <v/>
      </c>
      <c r="AO444" s="103">
        <f>IF('Customer Base'!$I$15="MANUAL",IFERROR(AM444*B444,""),IF('Customer Base'!$I$15="AUTOMATE",IFERROR(AM444*A444,""),""))</f>
        <v>0</v>
      </c>
      <c r="AV444" s="103">
        <f t="shared" si="76"/>
        <v>0</v>
      </c>
    </row>
    <row r="445" spans="3:48">
      <c r="C445" s="251" t="s">
        <v>939</v>
      </c>
      <c r="D445" s="328">
        <v>29.79</v>
      </c>
      <c r="E445" s="328">
        <v>28.058</v>
      </c>
      <c r="F445" s="245">
        <f t="shared" si="74"/>
        <v>24.438063986874486</v>
      </c>
      <c r="G445" s="245">
        <f>IFERROR(ROUNDUP(F445*'Customer Base'!$J$5,2),0)</f>
        <v>408.12</v>
      </c>
      <c r="H445" s="245">
        <f t="shared" si="75"/>
        <v>23.017227235438881</v>
      </c>
      <c r="I445" s="245">
        <f>IFERROR(ROUNDUP(H445*'Customer Base'!$J$5,2),0)</f>
        <v>384.39</v>
      </c>
      <c r="J445" s="103" t="str">
        <f t="shared" si="72"/>
        <v/>
      </c>
      <c r="L445" s="103" t="str">
        <f t="shared" si="73"/>
        <v/>
      </c>
      <c r="N445" s="103">
        <v>454</v>
      </c>
      <c r="O445" s="103" t="str">
        <f>IF('Customer Base'!$I$15="MANUAL",IF(B445&lt;&gt;"",C445,""),IF('Customer Base'!$I$15="AUTOMATE",IF(A445&lt;&gt;"",C445,""),""))</f>
        <v/>
      </c>
      <c r="AO445" s="103">
        <f>IF('Customer Base'!$I$15="MANUAL",IFERROR(AM445*B445,""),IF('Customer Base'!$I$15="AUTOMATE",IFERROR(AM445*A445,""),""))</f>
        <v>0</v>
      </c>
      <c r="AV445" s="103">
        <f t="shared" si="76"/>
        <v>0</v>
      </c>
    </row>
    <row r="446" spans="3:48">
      <c r="C446" s="251" t="s">
        <v>940</v>
      </c>
      <c r="D446" s="328">
        <v>29.79</v>
      </c>
      <c r="E446" s="328">
        <v>28.058</v>
      </c>
      <c r="F446" s="245">
        <f t="shared" si="74"/>
        <v>24.438063986874486</v>
      </c>
      <c r="G446" s="245">
        <f>IFERROR(ROUNDUP(F446*'Customer Base'!$J$5,2),0)</f>
        <v>408.12</v>
      </c>
      <c r="H446" s="245">
        <f t="shared" si="75"/>
        <v>23.017227235438881</v>
      </c>
      <c r="I446" s="245">
        <f>IFERROR(ROUNDUP(H446*'Customer Base'!$J$5,2),0)</f>
        <v>384.39</v>
      </c>
      <c r="J446" s="103" t="str">
        <f t="shared" si="72"/>
        <v/>
      </c>
      <c r="L446" s="103" t="str">
        <f t="shared" si="73"/>
        <v/>
      </c>
      <c r="N446" s="103">
        <v>455</v>
      </c>
      <c r="O446" s="103" t="str">
        <f>IF('Customer Base'!$I$15="MANUAL",IF(B446&lt;&gt;"",C446,""),IF('Customer Base'!$I$15="AUTOMATE",IF(A446&lt;&gt;"",C446,""),""))</f>
        <v/>
      </c>
      <c r="AO446" s="103">
        <f>IF('Customer Base'!$I$15="MANUAL",IFERROR(AM446*B446,""),IF('Customer Base'!$I$15="AUTOMATE",IFERROR(AM446*A446,""),""))</f>
        <v>0</v>
      </c>
      <c r="AV446" s="103">
        <f t="shared" si="76"/>
        <v>0</v>
      </c>
    </row>
    <row r="447" spans="3:48">
      <c r="C447" s="251" t="s">
        <v>941</v>
      </c>
      <c r="D447" s="328">
        <v>29.79</v>
      </c>
      <c r="E447" s="328">
        <v>28.058</v>
      </c>
      <c r="F447" s="245">
        <f t="shared" si="74"/>
        <v>24.438063986874486</v>
      </c>
      <c r="G447" s="245">
        <f>IFERROR(ROUNDUP(F447*'Customer Base'!$J$5,2),0)</f>
        <v>408.12</v>
      </c>
      <c r="H447" s="245">
        <f t="shared" si="75"/>
        <v>23.017227235438881</v>
      </c>
      <c r="I447" s="245">
        <f>IFERROR(ROUNDUP(H447*'Customer Base'!$J$5,2),0)</f>
        <v>384.39</v>
      </c>
      <c r="J447" s="103" t="str">
        <f t="shared" si="72"/>
        <v/>
      </c>
      <c r="L447" s="103" t="str">
        <f t="shared" si="73"/>
        <v/>
      </c>
      <c r="N447" s="103">
        <v>456</v>
      </c>
      <c r="O447" s="103" t="str">
        <f>IF('Customer Base'!$I$15="MANUAL",IF(B447&lt;&gt;"",C447,""),IF('Customer Base'!$I$15="AUTOMATE",IF(A447&lt;&gt;"",C447,""),""))</f>
        <v/>
      </c>
      <c r="AO447" s="103">
        <f>IF('Customer Base'!$I$15="MANUAL",IFERROR(AM447*B447,""),IF('Customer Base'!$I$15="AUTOMATE",IFERROR(AM447*A447,""),""))</f>
        <v>0</v>
      </c>
      <c r="AV447" s="103">
        <f t="shared" si="76"/>
        <v>0</v>
      </c>
    </row>
    <row r="448" spans="3:48">
      <c r="C448" s="251" t="s">
        <v>2754</v>
      </c>
      <c r="D448" s="328">
        <v>36.119999999999997</v>
      </c>
      <c r="E448" s="328">
        <v>34.020000000000003</v>
      </c>
      <c r="F448" s="245">
        <f t="shared" si="74"/>
        <v>29.630844954881045</v>
      </c>
      <c r="G448" s="245">
        <f>IFERROR(ROUNDUP(F448*'Customer Base'!$J$5,2),0)</f>
        <v>494.84</v>
      </c>
      <c r="H448" s="245">
        <f t="shared" si="75"/>
        <v>27.908121410992617</v>
      </c>
      <c r="I448" s="245">
        <f>IFERROR(ROUNDUP(H448*'Customer Base'!$J$5,2),0)</f>
        <v>466.07</v>
      </c>
      <c r="J448" s="103" t="str">
        <f t="shared" si="72"/>
        <v/>
      </c>
      <c r="L448" s="103" t="str">
        <f t="shared" si="73"/>
        <v/>
      </c>
      <c r="N448" s="103">
        <v>457</v>
      </c>
      <c r="O448" s="103" t="str">
        <f>IF('Customer Base'!$I$15="MANUAL",IF(B448&lt;&gt;"",C448,""),IF('Customer Base'!$I$15="AUTOMATE",IF(A448&lt;&gt;"",C448,""),""))</f>
        <v/>
      </c>
      <c r="AO448" s="103">
        <f>IF('Customer Base'!$I$15="MANUAL",IFERROR(AM448*B448,""),IF('Customer Base'!$I$15="AUTOMATE",IFERROR(AM448*A448,""),""))</f>
        <v>0</v>
      </c>
    </row>
    <row r="449" spans="1:48">
      <c r="C449" s="251" t="s">
        <v>2755</v>
      </c>
      <c r="D449" s="328">
        <v>36.119999999999997</v>
      </c>
      <c r="E449" s="328">
        <v>34.020000000000003</v>
      </c>
      <c r="F449" s="245">
        <f t="shared" si="74"/>
        <v>29.630844954881045</v>
      </c>
      <c r="G449" s="245">
        <f>IFERROR(ROUNDUP(F449*'Customer Base'!$J$5,2),0)</f>
        <v>494.84</v>
      </c>
      <c r="H449" s="245">
        <f t="shared" si="75"/>
        <v>27.908121410992617</v>
      </c>
      <c r="I449" s="245">
        <f>IFERROR(ROUNDUP(H449*'Customer Base'!$J$5,2),0)</f>
        <v>466.07</v>
      </c>
      <c r="J449" s="103" t="str">
        <f t="shared" si="72"/>
        <v/>
      </c>
      <c r="L449" s="103" t="str">
        <f t="shared" si="73"/>
        <v/>
      </c>
      <c r="N449" s="103">
        <v>458</v>
      </c>
      <c r="O449" s="103" t="str">
        <f>IF('Customer Base'!$I$15="MANUAL",IF(B449&lt;&gt;"",C449,""),IF('Customer Base'!$I$15="AUTOMATE",IF(A449&lt;&gt;"",C449,""),""))</f>
        <v/>
      </c>
      <c r="AO449" s="103">
        <f>IF('Customer Base'!$I$15="MANUAL",IFERROR(AM449*B449,""),IF('Customer Base'!$I$15="AUTOMATE",IFERROR(AM449*A449,""),""))</f>
        <v>0</v>
      </c>
      <c r="AV449" s="103">
        <f t="shared" si="76"/>
        <v>0</v>
      </c>
    </row>
    <row r="450" spans="1:48">
      <c r="C450" s="251" t="s">
        <v>942</v>
      </c>
      <c r="D450" s="328">
        <v>9.94</v>
      </c>
      <c r="E450" s="328">
        <v>9.3640000000000008</v>
      </c>
      <c r="F450" s="245">
        <f t="shared" si="74"/>
        <v>8.1542247744052485</v>
      </c>
      <c r="G450" s="245">
        <f>IFERROR(ROUNDUP(F450*'Customer Base'!$J$5,2),0)</f>
        <v>136.17999999999998</v>
      </c>
      <c r="H450" s="245">
        <f t="shared" si="75"/>
        <v>7.6817063166529946</v>
      </c>
      <c r="I450" s="245">
        <f>IFERROR(ROUNDUP(H450*'Customer Base'!$J$5,2),0)</f>
        <v>128.29</v>
      </c>
      <c r="J450" s="103" t="str">
        <f t="shared" si="72"/>
        <v/>
      </c>
      <c r="L450" s="103" t="str">
        <f t="shared" si="73"/>
        <v/>
      </c>
      <c r="N450" s="103">
        <v>459</v>
      </c>
      <c r="O450" s="103" t="str">
        <f>IF('Customer Base'!$I$15="MANUAL",IF(B450&lt;&gt;"",C450,""),IF('Customer Base'!$I$15="AUTOMATE",IF(A450&lt;&gt;"",C450,""),""))</f>
        <v/>
      </c>
      <c r="AO450" s="103">
        <f>IF('Customer Base'!$I$15="MANUAL",IFERROR(AM450*B450,""),IF('Customer Base'!$I$15="AUTOMATE",IFERROR(AM450*A450,""),""))</f>
        <v>0</v>
      </c>
      <c r="AV450" s="103">
        <f t="shared" si="76"/>
        <v>0</v>
      </c>
    </row>
    <row r="451" spans="1:48">
      <c r="C451" s="251" t="s">
        <v>2753</v>
      </c>
      <c r="D451" s="328">
        <v>31.61</v>
      </c>
      <c r="E451" s="328">
        <v>29.776</v>
      </c>
      <c r="F451" s="245">
        <f t="shared" si="74"/>
        <v>25.931091058244462</v>
      </c>
      <c r="G451" s="245">
        <f>IFERROR(ROUNDUP(F451*'Customer Base'!$J$5,2),0)</f>
        <v>433.05</v>
      </c>
      <c r="H451" s="245">
        <f t="shared" si="75"/>
        <v>24.426579163248562</v>
      </c>
      <c r="I451" s="245">
        <f>IFERROR(ROUNDUP(H451*'Customer Base'!$J$5,2),0)</f>
        <v>407.93</v>
      </c>
      <c r="J451" s="103" t="str">
        <f t="shared" si="72"/>
        <v/>
      </c>
      <c r="L451" s="103" t="str">
        <f t="shared" si="73"/>
        <v/>
      </c>
      <c r="N451" s="103">
        <v>460</v>
      </c>
      <c r="O451" s="103" t="str">
        <f>IF('Customer Base'!$I$15="MANUAL",IF(B451&lt;&gt;"",C451,""),IF('Customer Base'!$I$15="AUTOMATE",IF(A451&lt;&gt;"",C451,""),""))</f>
        <v/>
      </c>
      <c r="AO451" s="103">
        <f>IF('Customer Base'!$I$15="MANUAL",IFERROR(AM451*B451,""),IF('Customer Base'!$I$15="AUTOMATE",IFERROR(AM451*A451,""),""))</f>
        <v>0</v>
      </c>
      <c r="AV451" s="103">
        <f t="shared" si="76"/>
        <v>0</v>
      </c>
    </row>
    <row r="452" spans="1:48">
      <c r="C452" s="251" t="s">
        <v>2752</v>
      </c>
      <c r="D452" s="328">
        <v>31.61</v>
      </c>
      <c r="E452" s="328">
        <v>29.776</v>
      </c>
      <c r="F452" s="245">
        <f t="shared" ref="F452:F476" si="77">$D452/1.219</f>
        <v>25.931091058244462</v>
      </c>
      <c r="G452" s="245">
        <f>IFERROR(ROUNDUP(F452*'Customer Base'!$J$5,2),0)</f>
        <v>433.05</v>
      </c>
      <c r="H452" s="245">
        <f t="shared" ref="H452:H477" si="78">$E452/1.219</f>
        <v>24.426579163248562</v>
      </c>
      <c r="I452" s="245">
        <f>IFERROR(ROUNDUP(H452*'Customer Base'!$J$5,2),0)</f>
        <v>407.93</v>
      </c>
      <c r="J452" s="103" t="str">
        <f t="shared" si="72"/>
        <v/>
      </c>
      <c r="L452" s="103" t="str">
        <f t="shared" si="73"/>
        <v/>
      </c>
      <c r="N452" s="103">
        <v>461</v>
      </c>
      <c r="O452" s="103" t="str">
        <f>IF('Customer Base'!$I$15="MANUAL",IF(B452&lt;&gt;"",C452,""),IF('Customer Base'!$I$15="AUTOMATE",IF(A452&lt;&gt;"",C452,""),""))</f>
        <v/>
      </c>
      <c r="AO452" s="103">
        <f>IF('Customer Base'!$I$15="MANUAL",IFERROR(AM452*B452,""),IF('Customer Base'!$I$15="AUTOMATE",IFERROR(AM452*A452,""),""))</f>
        <v>0</v>
      </c>
      <c r="AV452" s="103">
        <f t="shared" si="76"/>
        <v>0</v>
      </c>
    </row>
    <row r="453" spans="1:48">
      <c r="C453" s="251" t="s">
        <v>943</v>
      </c>
      <c r="D453" s="328">
        <v>9.9600000000000009</v>
      </c>
      <c r="E453" s="328">
        <v>9.3640000000000008</v>
      </c>
      <c r="F453" s="245">
        <f t="shared" si="77"/>
        <v>8.1706316652994264</v>
      </c>
      <c r="G453" s="245">
        <f>IFERROR(ROUNDUP(F453*'Customer Base'!$J$5,2),0)</f>
        <v>136.44999999999999</v>
      </c>
      <c r="H453" s="245">
        <f t="shared" si="78"/>
        <v>7.6817063166529946</v>
      </c>
      <c r="I453" s="245">
        <f>IFERROR(ROUNDUP(H453*'Customer Base'!$J$5,2),0)</f>
        <v>128.29</v>
      </c>
      <c r="J453" s="103" t="str">
        <f t="shared" si="72"/>
        <v/>
      </c>
      <c r="L453" s="103" t="str">
        <f t="shared" si="73"/>
        <v/>
      </c>
      <c r="N453" s="103">
        <v>462</v>
      </c>
      <c r="O453" s="103" t="str">
        <f>IF('Customer Base'!$I$15="MANUAL",IF(B453&lt;&gt;"",C453,""),IF('Customer Base'!$I$15="AUTOMATE",IF(A453&lt;&gt;"",C453,""),""))</f>
        <v/>
      </c>
      <c r="AO453" s="103">
        <f>IF('Customer Base'!$I$15="MANUAL",IFERROR(AM453*B453,""),IF('Customer Base'!$I$15="AUTOMATE",IFERROR(AM453*A453,""),""))</f>
        <v>0</v>
      </c>
      <c r="AV453" s="103">
        <f t="shared" si="76"/>
        <v>0</v>
      </c>
    </row>
    <row r="454" spans="1:48">
      <c r="D454" s="319"/>
      <c r="E454" s="319"/>
      <c r="I454" s="224"/>
      <c r="J454" s="103" t="str">
        <f t="shared" si="72"/>
        <v/>
      </c>
      <c r="L454" s="103" t="str">
        <f t="shared" si="73"/>
        <v/>
      </c>
      <c r="N454" s="103">
        <v>463</v>
      </c>
      <c r="O454" s="103" t="str">
        <f>IF('Customer Base'!$I$15="MANUAL",IF(B454&lt;&gt;"",C454,""),IF('Customer Base'!$I$15="AUTOMATE",IF(A454&lt;&gt;"",C454,""),""))</f>
        <v/>
      </c>
      <c r="AO454" s="103">
        <f>IF('Customer Base'!$I$15="MANUAL",IFERROR(AM454*B454,""),IF('Customer Base'!$I$15="AUTOMATE",IFERROR(AM454*A454,""),""))</f>
        <v>0</v>
      </c>
      <c r="AV454" s="103">
        <f t="shared" si="76"/>
        <v>0</v>
      </c>
    </row>
    <row r="455" spans="1:48">
      <c r="C455" s="232" t="s">
        <v>1898</v>
      </c>
      <c r="D455" s="320"/>
      <c r="E455" s="320"/>
      <c r="F455" s="234">
        <f t="shared" si="77"/>
        <v>0</v>
      </c>
      <c r="G455" s="234">
        <f>IFERROR(ROUNDUP(F455*'Customer Base'!$J$5,2),0)</f>
        <v>0</v>
      </c>
      <c r="H455" s="234">
        <f t="shared" si="78"/>
        <v>0</v>
      </c>
      <c r="I455" s="234">
        <f>IFERROR(ROUNDUP(H455*'Customer Base'!$J$5,2),0)</f>
        <v>0</v>
      </c>
      <c r="J455" s="103" t="str">
        <f t="shared" si="72"/>
        <v/>
      </c>
      <c r="L455" s="103" t="str">
        <f t="shared" si="73"/>
        <v/>
      </c>
      <c r="N455" s="103">
        <v>464</v>
      </c>
      <c r="O455" s="103" t="str">
        <f>IF('Customer Base'!$I$15="MANUAL",IF(B455&lt;&gt;"",C455,""),IF('Customer Base'!$I$15="AUTOMATE",IF(A455&lt;&gt;"",C455,""),""))</f>
        <v/>
      </c>
      <c r="AO455" s="103">
        <f>IF('Customer Base'!$I$15="MANUAL",IFERROR(AM455*B455,""),IF('Customer Base'!$I$15="AUTOMATE",IFERROR(AM455*A455,""),""))</f>
        <v>0</v>
      </c>
      <c r="AV455" s="103">
        <f t="shared" si="76"/>
        <v>0</v>
      </c>
    </row>
    <row r="456" spans="1:48">
      <c r="A456" s="103" t="str">
        <f>IFERROR(IF(AND(OR('Customer Base'!D$7="BACKUP",'Customer Base'!D$7="HYBRID",'Customer Base'!D$7="MINI-GRID"),'CABLE SIZING TOOL'!J$31&gt;0,'CABLE SIZING TOOL'!J$31&lt;=32),1,""),"")</f>
        <v/>
      </c>
      <c r="B456" s="270" t="s">
        <v>1</v>
      </c>
      <c r="C456" s="250" t="s">
        <v>950</v>
      </c>
      <c r="D456" s="321">
        <v>51.6</v>
      </c>
      <c r="E456" s="321">
        <v>48.6</v>
      </c>
      <c r="F456" s="249">
        <f t="shared" si="77"/>
        <v>42.329778506972929</v>
      </c>
      <c r="G456" s="249">
        <f>IFERROR(ROUNDUP(F456*'Customer Base'!$J$5,2),0)</f>
        <v>706.91</v>
      </c>
      <c r="H456" s="249">
        <f t="shared" si="78"/>
        <v>39.868744872846591</v>
      </c>
      <c r="I456" s="249">
        <f>IFERROR(ROUNDUP(H456*'Customer Base'!$J$5,2),0)</f>
        <v>665.81</v>
      </c>
      <c r="J456" s="103" t="str">
        <f t="shared" si="72"/>
        <v/>
      </c>
      <c r="L456" s="103" t="str">
        <f t="shared" si="73"/>
        <v/>
      </c>
      <c r="N456" s="103">
        <v>465</v>
      </c>
      <c r="O456" s="103" t="str">
        <f>IF('Customer Base'!$I$15="MANUAL",IF(B456&lt;&gt;"",C456,""),IF('Customer Base'!$I$15="AUTOMATE",IF(A456&lt;&gt;"",C456,""),""))</f>
        <v/>
      </c>
      <c r="AO456" s="103" t="str">
        <f>IF('Customer Base'!$I$15="MANUAL",IFERROR(AM456*B456,""),IF('Customer Base'!$I$15="AUTOMATE",IFERROR(AM456*A456,""),""))</f>
        <v/>
      </c>
      <c r="AV456" s="103">
        <f t="shared" si="76"/>
        <v>0</v>
      </c>
    </row>
    <row r="457" spans="1:48">
      <c r="A457" s="103">
        <f>IFERROR(IF(AND(OR('Customer Base'!D$7="BACKUP",'Customer Base'!D$7="HYBRID",'Customer Base'!D$7="MINI-GRID"),'CABLE SIZING TOOL'!J$31&gt;32,'CABLE SIZING TOOL'!J$31&lt;=63),1,""),"")</f>
        <v>1</v>
      </c>
      <c r="B457" s="270">
        <v>1</v>
      </c>
      <c r="C457" s="250" t="s">
        <v>951</v>
      </c>
      <c r="D457" s="321">
        <v>70.52</v>
      </c>
      <c r="E457" s="321">
        <v>66.42</v>
      </c>
      <c r="F457" s="249">
        <f t="shared" si="77"/>
        <v>57.850697292862996</v>
      </c>
      <c r="G457" s="249">
        <f>IFERROR(ROUNDUP(F457*'Customer Base'!$J$5,2),0)</f>
        <v>966.11</v>
      </c>
      <c r="H457" s="249">
        <f t="shared" si="78"/>
        <v>54.487284659557012</v>
      </c>
      <c r="I457" s="249">
        <f>IFERROR(ROUNDUP(H457*'Customer Base'!$J$5,2),0)</f>
        <v>909.93999999999994</v>
      </c>
      <c r="J457" s="103" t="str">
        <f t="shared" si="72"/>
        <v/>
      </c>
      <c r="L457" s="103" t="str">
        <f t="shared" si="73"/>
        <v/>
      </c>
      <c r="N457" s="103">
        <v>466</v>
      </c>
      <c r="O457" s="103" t="str">
        <f>IF('Customer Base'!$I$15="MANUAL",IF(B457&lt;&gt;"",C457,""),IF('Customer Base'!$I$15="AUTOMATE",IF(A457&lt;&gt;"",C457,""),""))</f>
        <v>63A Manual Transfer Switch</v>
      </c>
      <c r="AO457" s="103">
        <f>IF('Customer Base'!$I$15="MANUAL",IFERROR(AM457*B457,""),IF('Customer Base'!$I$15="AUTOMATE",IFERROR(AM457*A457,""),""))</f>
        <v>0</v>
      </c>
      <c r="AV457" s="103">
        <f t="shared" si="76"/>
        <v>0</v>
      </c>
    </row>
    <row r="458" spans="1:48">
      <c r="A458" s="103" t="str">
        <f>IFERROR(IF(AND(OR('Customer Base'!D$7="BACKUP",'Customer Base'!D$7="HYBRID",'Customer Base'!D$7="MINI-GRID"),'CABLE SIZING TOOL'!J$31&gt;63,'CABLE SIZING TOOL'!J$31&lt;=100),1,""),"")</f>
        <v/>
      </c>
      <c r="B458" s="270" t="s">
        <v>1</v>
      </c>
      <c r="C458" s="250" t="s">
        <v>976</v>
      </c>
      <c r="D458" s="321">
        <v>120.4</v>
      </c>
      <c r="E458" s="321">
        <v>113.4</v>
      </c>
      <c r="F458" s="249">
        <f t="shared" si="77"/>
        <v>98.769483182936838</v>
      </c>
      <c r="G458" s="249">
        <f>IFERROR(ROUNDUP(F458*'Customer Base'!$J$5,2),0)</f>
        <v>1649.46</v>
      </c>
      <c r="H458" s="249">
        <f t="shared" si="78"/>
        <v>93.027071369975388</v>
      </c>
      <c r="I458" s="249">
        <f>IFERROR(ROUNDUP(H458*'Customer Base'!$J$5,2),0)</f>
        <v>1553.56</v>
      </c>
      <c r="J458" s="103" t="str">
        <f t="shared" si="72"/>
        <v/>
      </c>
      <c r="L458" s="103" t="str">
        <f t="shared" si="73"/>
        <v/>
      </c>
      <c r="N458" s="103">
        <v>467</v>
      </c>
      <c r="O458" s="103" t="str">
        <f>IF('Customer Base'!$I$15="MANUAL",IF(B458&lt;&gt;"",C458,""),IF('Customer Base'!$I$15="AUTOMATE",IF(A458&lt;&gt;"",C458,""),""))</f>
        <v/>
      </c>
      <c r="AO458" s="103" t="str">
        <f>IF('Customer Base'!$I$15="MANUAL",IFERROR(AM458*B458,""),IF('Customer Base'!$I$15="AUTOMATE",IFERROR(AM458*A458,""),""))</f>
        <v/>
      </c>
      <c r="AV458" s="103">
        <f t="shared" si="76"/>
        <v>0</v>
      </c>
    </row>
    <row r="459" spans="1:48">
      <c r="A459" s="103" t="str">
        <f>IFERROR(IF(AND(OR('Customer Base'!D$7="BACKUP",'Customer Base'!D$7="HYBRID",'Customer Base'!D$7="MINI-GRID"),'CABLE SIZING TOOL'!J$31&gt;100,'CABLE SIZING TOOL'!J$31&lt;=250),1,""),"")</f>
        <v/>
      </c>
      <c r="B459" s="270" t="s">
        <v>1</v>
      </c>
      <c r="C459" s="250" t="s">
        <v>1245</v>
      </c>
      <c r="D459" s="321">
        <v>200</v>
      </c>
      <c r="E459" s="321">
        <v>200</v>
      </c>
      <c r="F459" s="249">
        <f t="shared" si="77"/>
        <v>164.06890894175552</v>
      </c>
      <c r="G459" s="249">
        <f>IFERROR(ROUNDUP(F459*'Customer Base'!$J$5,2),0)</f>
        <v>2739.96</v>
      </c>
      <c r="H459" s="249">
        <f t="shared" si="78"/>
        <v>164.06890894175552</v>
      </c>
      <c r="I459" s="249">
        <f>IFERROR(ROUNDUP(H459*'Customer Base'!$J$5,2),0)</f>
        <v>2739.96</v>
      </c>
      <c r="J459" s="103" t="str">
        <f t="shared" si="72"/>
        <v/>
      </c>
      <c r="L459" s="103" t="str">
        <f t="shared" si="73"/>
        <v/>
      </c>
      <c r="N459" s="103">
        <v>468</v>
      </c>
      <c r="O459" s="103" t="str">
        <f>IF('Customer Base'!$I$15="MANUAL",IF(B459&lt;&gt;"",C459,""),IF('Customer Base'!$I$15="AUTOMATE",IF(A459&lt;&gt;"",C459,""),""))</f>
        <v/>
      </c>
      <c r="AO459" s="103" t="str">
        <f>IF('Customer Base'!$I$15="MANUAL",IFERROR(AM459*B459,""),IF('Customer Base'!$I$15="AUTOMATE",IFERROR(AM459*A459,""),""))</f>
        <v/>
      </c>
      <c r="AV459" s="103">
        <f t="shared" si="76"/>
        <v>0</v>
      </c>
    </row>
    <row r="460" spans="1:48">
      <c r="A460" s="103" t="str">
        <f>IFERROR(IF(AND(OR('Customer Base'!D$7="BACKUP",'Customer Base'!D$7="HYBRID",'Customer Base'!D$7="MINI-GRID"),'CABLE SIZING TOOL'!J$31&gt;250,'CABLE SIZING TOOL'!J$31&lt;=400),1,""),"")</f>
        <v/>
      </c>
      <c r="B460" s="270" t="s">
        <v>1</v>
      </c>
      <c r="C460" s="250" t="s">
        <v>1902</v>
      </c>
      <c r="D460" s="321">
        <v>1000</v>
      </c>
      <c r="E460" s="321">
        <v>1000</v>
      </c>
      <c r="F460" s="249">
        <f t="shared" si="77"/>
        <v>820.34454470877768</v>
      </c>
      <c r="G460" s="249">
        <f>IFERROR(ROUNDUP(F460*'Customer Base'!$J$5,2),0)</f>
        <v>13699.76</v>
      </c>
      <c r="H460" s="249">
        <f t="shared" si="78"/>
        <v>820.34454470877768</v>
      </c>
      <c r="I460" s="249">
        <f>IFERROR(ROUNDUP(H460*'Customer Base'!$J$5,2),0)</f>
        <v>13699.76</v>
      </c>
      <c r="J460" s="103" t="str">
        <f t="shared" si="72"/>
        <v/>
      </c>
      <c r="L460" s="103" t="str">
        <f t="shared" si="73"/>
        <v/>
      </c>
      <c r="N460" s="103">
        <v>469</v>
      </c>
      <c r="O460" s="103" t="str">
        <f>IF('Customer Base'!$I$15="MANUAL",IF(B460&lt;&gt;"",C460,""),IF('Customer Base'!$I$15="AUTOMATE",IF(A460&lt;&gt;"",C460,""),""))</f>
        <v/>
      </c>
      <c r="AO460" s="103" t="str">
        <f>IF('Customer Base'!$I$15="MANUAL",IFERROR(AM460*B460,""),IF('Customer Base'!$I$15="AUTOMATE",IFERROR(AM460*A460,""),""))</f>
        <v/>
      </c>
      <c r="AV460" s="103">
        <f t="shared" si="76"/>
        <v>0</v>
      </c>
    </row>
    <row r="461" spans="1:48">
      <c r="A461" s="103" t="str">
        <f>IFERROR(IF(AND(OR('Customer Base'!D$7="BACKUP",'Customer Base'!D$7="HYBRID",'Customer Base'!D$7="MINI-GRID"),'CABLE SIZING TOOL'!J$31&gt;400,'CABLE SIZING TOOL'!J$31&lt;=1000),1,""),"")</f>
        <v/>
      </c>
      <c r="B461" s="270" t="s">
        <v>1</v>
      </c>
      <c r="C461" s="250" t="s">
        <v>1806</v>
      </c>
      <c r="D461" s="321">
        <v>2000</v>
      </c>
      <c r="E461" s="321">
        <v>2000</v>
      </c>
      <c r="F461" s="249">
        <f t="shared" si="77"/>
        <v>1640.6890894175554</v>
      </c>
      <c r="G461" s="249">
        <f>IFERROR(ROUNDUP(F461*'Customer Base'!$J$5,2),0)</f>
        <v>27399.51</v>
      </c>
      <c r="H461" s="249">
        <f t="shared" si="78"/>
        <v>1640.6890894175554</v>
      </c>
      <c r="I461" s="249">
        <f>IFERROR(ROUNDUP(H461*'Customer Base'!$J$5,2),0)</f>
        <v>27399.51</v>
      </c>
      <c r="J461" s="103" t="str">
        <f t="shared" si="72"/>
        <v/>
      </c>
      <c r="L461" s="103" t="str">
        <f t="shared" si="73"/>
        <v/>
      </c>
      <c r="N461" s="103">
        <v>470</v>
      </c>
      <c r="O461" s="103" t="str">
        <f>IF('Customer Base'!$I$15="MANUAL",IF(B461&lt;&gt;"",C461,""),IF('Customer Base'!$I$15="AUTOMATE",IF(A461&lt;&gt;"",C461,""),""))</f>
        <v/>
      </c>
      <c r="AO461" s="103" t="str">
        <f>IF('Customer Base'!$I$15="MANUAL",IFERROR(AM461*B461,""),IF('Customer Base'!$I$15="AUTOMATE",IFERROR(AM461*A461,""),""))</f>
        <v/>
      </c>
      <c r="AV461" s="103">
        <f t="shared" si="76"/>
        <v>0</v>
      </c>
    </row>
    <row r="462" spans="1:48">
      <c r="C462" s="250" t="s">
        <v>1246</v>
      </c>
      <c r="D462" s="321"/>
      <c r="E462" s="321"/>
      <c r="F462" s="249">
        <f t="shared" si="77"/>
        <v>0</v>
      </c>
      <c r="G462" s="249"/>
      <c r="H462" s="249">
        <f t="shared" si="78"/>
        <v>0</v>
      </c>
      <c r="I462" s="249">
        <f>IFERROR(ROUNDUP(H462*'Customer Base'!$J$5,2),0)</f>
        <v>0</v>
      </c>
      <c r="J462" s="103" t="str">
        <f t="shared" si="72"/>
        <v/>
      </c>
      <c r="L462" s="103" t="str">
        <f t="shared" si="73"/>
        <v/>
      </c>
      <c r="N462" s="103">
        <v>471</v>
      </c>
      <c r="O462" s="103" t="str">
        <f>IF('Customer Base'!$I$15="MANUAL",IF(B462&lt;&gt;"",C462,""),IF('Customer Base'!$I$15="AUTOMATE",IF(A462&lt;&gt;"",C462,""),""))</f>
        <v/>
      </c>
      <c r="AO462" s="103">
        <f>IF('Customer Base'!$I$15="MANUAL",IFERROR(AM462*B462,""),IF('Customer Base'!$I$15="AUTOMATE",IFERROR(AM462*A462,""),""))</f>
        <v>0</v>
      </c>
      <c r="AV462" s="103">
        <f t="shared" si="76"/>
        <v>0</v>
      </c>
    </row>
    <row r="463" spans="1:48">
      <c r="D463" s="319"/>
      <c r="E463" s="319"/>
      <c r="F463" s="224">
        <f t="shared" si="77"/>
        <v>0</v>
      </c>
      <c r="G463" s="224">
        <f>IFERROR(ROUNDUP(F463*'Customer Base'!$J$5,2),0)</f>
        <v>0</v>
      </c>
      <c r="H463" s="224">
        <f t="shared" si="78"/>
        <v>0</v>
      </c>
      <c r="I463" s="224">
        <f>IFERROR(ROUNDUP(H463*'Customer Base'!$J$5,2),0)</f>
        <v>0</v>
      </c>
      <c r="J463" s="103" t="str">
        <f t="shared" si="72"/>
        <v/>
      </c>
      <c r="L463" s="103" t="str">
        <f t="shared" si="73"/>
        <v/>
      </c>
      <c r="N463" s="103">
        <v>472</v>
      </c>
      <c r="O463" s="103" t="str">
        <f>IF('Customer Base'!$I$15="MANUAL",IF(B463&lt;&gt;"",C463,""),IF('Customer Base'!$I$15="AUTOMATE",IF(A463&lt;&gt;"",C463,""),""))</f>
        <v/>
      </c>
      <c r="AO463" s="103">
        <f>IF('Customer Base'!$I$15="MANUAL",IFERROR(AM463*B463,""),IF('Customer Base'!$I$15="AUTOMATE",IFERROR(AM463*A463,""),""))</f>
        <v>0</v>
      </c>
      <c r="AV463" s="103">
        <f t="shared" si="76"/>
        <v>0</v>
      </c>
    </row>
    <row r="464" spans="1:48">
      <c r="C464" s="250" t="s">
        <v>1379</v>
      </c>
      <c r="D464" s="321">
        <v>35</v>
      </c>
      <c r="E464" s="321">
        <v>35</v>
      </c>
      <c r="F464" s="249">
        <f t="shared" si="77"/>
        <v>28.712059064807217</v>
      </c>
      <c r="G464" s="249">
        <f>IFERROR(ROUNDUP(F464*'Customer Base'!$J$5,2),0)</f>
        <v>479.5</v>
      </c>
      <c r="H464" s="249">
        <f t="shared" si="78"/>
        <v>28.712059064807217</v>
      </c>
      <c r="I464" s="249">
        <f>IFERROR(ROUNDUP(H464*'Customer Base'!$J$5,2),0)</f>
        <v>479.5</v>
      </c>
      <c r="J464" s="103" t="str">
        <f t="shared" si="72"/>
        <v/>
      </c>
      <c r="L464" s="103" t="str">
        <f t="shared" si="73"/>
        <v/>
      </c>
      <c r="N464" s="103">
        <v>473</v>
      </c>
      <c r="O464" s="103" t="str">
        <f>IF('Customer Base'!$I$15="MANUAL",IF(B464&lt;&gt;"",C464,""),IF('Customer Base'!$I$15="AUTOMATE",IF(A464&lt;&gt;"",C464,""),""))</f>
        <v/>
      </c>
      <c r="AO464" s="103">
        <f>IF('Customer Base'!$I$15="MANUAL",IFERROR(AM464*B464,""),IF('Customer Base'!$I$15="AUTOMATE",IFERROR(AM464*A464,""),""))</f>
        <v>0</v>
      </c>
      <c r="AV464" s="103">
        <f t="shared" si="76"/>
        <v>0</v>
      </c>
    </row>
    <row r="465" spans="1:48">
      <c r="C465" s="250" t="s">
        <v>1380</v>
      </c>
      <c r="D465" s="321">
        <v>35</v>
      </c>
      <c r="E465" s="321">
        <v>35</v>
      </c>
      <c r="F465" s="249">
        <f t="shared" si="77"/>
        <v>28.712059064807217</v>
      </c>
      <c r="G465" s="249">
        <f>IFERROR(ROUNDUP(F465*'Customer Base'!$J$5,2),0)</f>
        <v>479.5</v>
      </c>
      <c r="H465" s="249">
        <f t="shared" si="78"/>
        <v>28.712059064807217</v>
      </c>
      <c r="I465" s="249">
        <f>IFERROR(ROUNDUP(H465*'Customer Base'!$J$5,2),0)</f>
        <v>479.5</v>
      </c>
      <c r="J465" s="103" t="str">
        <f t="shared" ref="J465:J528" si="79">IF(D465&lt;&gt;"",IF(D465&lt;E465,"lkdfjk",""),"")</f>
        <v/>
      </c>
      <c r="L465" s="103" t="str">
        <f t="shared" ref="L465:L528" si="80">IF(H465&gt;F465,"lkkajdfkj","")</f>
        <v/>
      </c>
      <c r="N465" s="103">
        <v>474</v>
      </c>
      <c r="O465" s="103" t="str">
        <f>IF('Customer Base'!$I$15="MANUAL",IF(B465&lt;&gt;"",C465,""),IF('Customer Base'!$I$15="AUTOMATE",IF(A465&lt;&gt;"",C465,""),""))</f>
        <v/>
      </c>
      <c r="AO465" s="103">
        <f>IF('Customer Base'!$I$15="MANUAL",IFERROR(AM465*B465,""),IF('Customer Base'!$I$15="AUTOMATE",IFERROR(AM465*A465,""),""))</f>
        <v>0</v>
      </c>
      <c r="AV465" s="103">
        <f t="shared" si="76"/>
        <v>0</v>
      </c>
    </row>
    <row r="466" spans="1:48">
      <c r="A466" s="103">
        <f>IF(AND(OR(AND('Customer Base'!E13="Phoenix",'Customer Base'!D13="Victron"),'Customer Base'!D$7="Grid-Tied"),'Customer Base'!D$9=1,'CABLE SIZING TOOL'!J$27&gt;0,'CABLE SIZING TOOL'!J$27&lt;=32),1,IF(AND('Customer Base'!D$9=1,'CABLE SIZING TOOL'!J$27&gt;0,'CABLE SIZING TOOL'!J$27&lt;=32),2,""))</f>
        <v>2</v>
      </c>
      <c r="B466" s="270">
        <v>2</v>
      </c>
      <c r="C466" s="250" t="s">
        <v>1381</v>
      </c>
      <c r="D466" s="321">
        <v>49</v>
      </c>
      <c r="E466" s="321">
        <v>49</v>
      </c>
      <c r="F466" s="249">
        <f t="shared" si="77"/>
        <v>40.196882690730106</v>
      </c>
      <c r="G466" s="249">
        <f>IFERROR(ROUNDUP(F466*'Customer Base'!$J$5,2),0)</f>
        <v>671.29</v>
      </c>
      <c r="H466" s="249">
        <f t="shared" si="78"/>
        <v>40.196882690730106</v>
      </c>
      <c r="I466" s="249">
        <f>IFERROR(ROUNDUP(H466*'Customer Base'!$J$5,2),0)</f>
        <v>671.29</v>
      </c>
      <c r="J466" s="103" t="str">
        <f t="shared" si="79"/>
        <v/>
      </c>
      <c r="L466" s="103" t="str">
        <f t="shared" si="80"/>
        <v/>
      </c>
      <c r="N466" s="103">
        <v>475</v>
      </c>
      <c r="O466" s="103" t="str">
        <f>IF('Customer Base'!$I$15="MANUAL",IF(B466&lt;&gt;"",C466,""),IF('Customer Base'!$I$15="AUTOMATE",IF(A466&lt;&gt;"",C466,""),""))</f>
        <v>32A 2-Pole AC Circuit Breaker</v>
      </c>
      <c r="AO466" s="103">
        <f>IF('Customer Base'!$I$15="MANUAL",IFERROR(AM466*B466,""),IF('Customer Base'!$I$15="AUTOMATE",IFERROR(AM466*A466,""),""))</f>
        <v>0</v>
      </c>
      <c r="AV466" s="103">
        <f t="shared" si="76"/>
        <v>0</v>
      </c>
    </row>
    <row r="467" spans="1:48">
      <c r="A467" s="103" t="str">
        <f>IF(AND(OR(AND('Customer Base'!E13="Phoenix",'Customer Base'!D13="Victron"),'Customer Base'!D$7="Grid-Tied"),'Customer Base'!D$9=1,'CABLE SIZING TOOL'!J$27&gt;32,'CABLE SIZING TOOL'!J$27&lt;=40),1,IF(AND('Customer Base'!D$9=1,'CABLE SIZING TOOL'!J$27&gt;32,'CABLE SIZING TOOL'!J$27&lt;=40),2,""))</f>
        <v/>
      </c>
      <c r="B467" s="270" t="s">
        <v>1</v>
      </c>
      <c r="C467" s="250" t="s">
        <v>1382</v>
      </c>
      <c r="D467" s="321">
        <v>49</v>
      </c>
      <c r="E467" s="321">
        <v>49</v>
      </c>
      <c r="F467" s="249">
        <f t="shared" si="77"/>
        <v>40.196882690730106</v>
      </c>
      <c r="G467" s="249">
        <f>IFERROR(ROUNDUP(F467*'Customer Base'!$J$5,2),0)</f>
        <v>671.29</v>
      </c>
      <c r="H467" s="249">
        <f t="shared" si="78"/>
        <v>40.196882690730106</v>
      </c>
      <c r="I467" s="249">
        <f>IFERROR(ROUNDUP(H467*'Customer Base'!$J$5,2),0)</f>
        <v>671.29</v>
      </c>
      <c r="J467" s="103" t="str">
        <f t="shared" si="79"/>
        <v/>
      </c>
      <c r="L467" s="103" t="str">
        <f t="shared" si="80"/>
        <v/>
      </c>
      <c r="N467" s="103">
        <v>476</v>
      </c>
      <c r="O467" s="103" t="str">
        <f>IF('Customer Base'!$I$15="MANUAL",IF(B467&lt;&gt;"",C467,""),IF('Customer Base'!$I$15="AUTOMATE",IF(A467&lt;&gt;"",C467,""),""))</f>
        <v/>
      </c>
      <c r="AO467" s="103" t="str">
        <f>IF('Customer Base'!$I$15="MANUAL",IFERROR(AM467*B467,""),IF('Customer Base'!$I$15="AUTOMATE",IFERROR(AM467*A467,""),""))</f>
        <v/>
      </c>
      <c r="AV467" s="103">
        <f t="shared" si="76"/>
        <v>0</v>
      </c>
    </row>
    <row r="468" spans="1:48">
      <c r="A468" s="103" t="str">
        <f>IF(AND(OR(AND('Customer Base'!E13="Phoenix",'Customer Base'!D13="Victron"),'Customer Base'!D$7="Grid-Tied"),'Customer Base'!D$9=1,'CABLE SIZING TOOL'!J$27&gt;40,'CABLE SIZING TOOL'!J$27&lt;=50),1,IF(AND('Customer Base'!D$9=1,'CABLE SIZING TOOL'!J$27&gt;40,'CABLE SIZING TOOL'!J$27&lt;=50),2,""))</f>
        <v/>
      </c>
      <c r="B468" s="270" t="s">
        <v>1</v>
      </c>
      <c r="C468" s="250" t="s">
        <v>2603</v>
      </c>
      <c r="D468" s="321">
        <v>49</v>
      </c>
      <c r="E468" s="321">
        <v>49</v>
      </c>
      <c r="F468" s="249">
        <f t="shared" si="77"/>
        <v>40.196882690730106</v>
      </c>
      <c r="G468" s="249">
        <f>IFERROR(ROUNDUP(F468*'Customer Base'!$J$5,2),0)</f>
        <v>671.29</v>
      </c>
      <c r="H468" s="249">
        <f t="shared" si="78"/>
        <v>40.196882690730106</v>
      </c>
      <c r="I468" s="249">
        <f>IFERROR(ROUNDUP(H468*'Customer Base'!$J$5,2),0)</f>
        <v>671.29</v>
      </c>
      <c r="J468" s="103" t="str">
        <f t="shared" si="79"/>
        <v/>
      </c>
      <c r="L468" s="103" t="str">
        <f t="shared" si="80"/>
        <v/>
      </c>
      <c r="N468" s="103">
        <v>477</v>
      </c>
      <c r="O468" s="103" t="str">
        <f>IF('Customer Base'!$I$15="MANUAL",IF(B468&lt;&gt;"",C468,""),IF('Customer Base'!$I$15="AUTOMATE",IF(A468&lt;&gt;"",C468,""),""))</f>
        <v/>
      </c>
      <c r="AO468" s="103" t="str">
        <f>IF('Customer Base'!$I$15="MANUAL",IFERROR(AM468*B468,""),IF('Customer Base'!$I$15="AUTOMATE",IFERROR(AM468*A468,""),""))</f>
        <v/>
      </c>
      <c r="AV468" s="103">
        <f t="shared" si="76"/>
        <v>0</v>
      </c>
    </row>
    <row r="469" spans="1:48">
      <c r="A469" s="103" t="str">
        <f>IF(AND(OR(AND('Customer Base'!E13="Phoenix",'Customer Base'!D13="Victron"),'Customer Base'!D$7="Grid-Tied"),'Customer Base'!D$9=1,'CABLE SIZING TOOL'!J$27&gt;50,'CABLE SIZING TOOL'!J$27&lt;=63),1,IF(AND('Customer Base'!D$9=1,'CABLE SIZING TOOL'!J$27&gt;50,'CABLE SIZING TOOL'!J$27&lt;=63),2,""))</f>
        <v/>
      </c>
      <c r="B469" s="270" t="s">
        <v>1</v>
      </c>
      <c r="C469" s="250" t="s">
        <v>1383</v>
      </c>
      <c r="D469" s="321">
        <v>49</v>
      </c>
      <c r="E469" s="321">
        <v>49</v>
      </c>
      <c r="F469" s="249">
        <f t="shared" si="77"/>
        <v>40.196882690730106</v>
      </c>
      <c r="G469" s="249">
        <f>IFERROR(ROUNDUP(F469*'Customer Base'!$J$5,2),0)</f>
        <v>671.29</v>
      </c>
      <c r="H469" s="249">
        <f t="shared" si="78"/>
        <v>40.196882690730106</v>
      </c>
      <c r="I469" s="249">
        <f>IFERROR(ROUNDUP(H469*'Customer Base'!$J$5,2),0)</f>
        <v>671.29</v>
      </c>
      <c r="J469" s="103" t="str">
        <f t="shared" si="79"/>
        <v/>
      </c>
      <c r="L469" s="103" t="str">
        <f t="shared" si="80"/>
        <v/>
      </c>
      <c r="N469" s="103">
        <v>478</v>
      </c>
      <c r="O469" s="103" t="str">
        <f>IF('Customer Base'!$I$15="MANUAL",IF(B469&lt;&gt;"",C469,""),IF('Customer Base'!$I$15="AUTOMATE",IF(A469&lt;&gt;"",C469,""),""))</f>
        <v/>
      </c>
      <c r="AO469" s="103" t="str">
        <f>IF('Customer Base'!$I$15="MANUAL",IFERROR(AM469*B469,""),IF('Customer Base'!$I$15="AUTOMATE",IFERROR(AM469*A469,""),""))</f>
        <v/>
      </c>
      <c r="AV469" s="103">
        <f t="shared" si="76"/>
        <v>0</v>
      </c>
    </row>
    <row r="470" spans="1:48">
      <c r="A470" s="103" t="str">
        <f>IF(AND(OR(AND('Customer Base'!E13="Phoenix",'Customer Base'!D13="Victron"),'Customer Base'!D$7="Grid-Tied"),'Customer Base'!D$9=1,'CABLE SIZING TOOL'!J$27&gt;63,'CABLE SIZING TOOL'!J$27&lt;=80),1,IF(AND('Customer Base'!D$9=1,'CABLE SIZING TOOL'!J$27&gt;63,'CABLE SIZING TOOL'!J$27&lt;=80),2,""))</f>
        <v/>
      </c>
      <c r="B470" s="270" t="s">
        <v>1</v>
      </c>
      <c r="C470" s="250" t="s">
        <v>1804</v>
      </c>
      <c r="D470" s="321">
        <v>49</v>
      </c>
      <c r="E470" s="321">
        <v>49</v>
      </c>
      <c r="F470" s="249">
        <f t="shared" si="77"/>
        <v>40.196882690730106</v>
      </c>
      <c r="G470" s="249">
        <f>IFERROR(ROUNDUP(F470*'Customer Base'!$J$5,2),0)</f>
        <v>671.29</v>
      </c>
      <c r="H470" s="249">
        <f t="shared" si="78"/>
        <v>40.196882690730106</v>
      </c>
      <c r="I470" s="249">
        <f>IFERROR(ROUNDUP(H470*'Customer Base'!$J$5,2),0)</f>
        <v>671.29</v>
      </c>
      <c r="J470" s="103" t="str">
        <f t="shared" si="79"/>
        <v/>
      </c>
      <c r="L470" s="103" t="str">
        <f t="shared" si="80"/>
        <v/>
      </c>
      <c r="N470" s="103">
        <v>479</v>
      </c>
      <c r="O470" s="103" t="str">
        <f>IF('Customer Base'!$I$15="MANUAL",IF(B470&lt;&gt;"",C470,""),IF('Customer Base'!$I$15="AUTOMATE",IF(A470&lt;&gt;"",C470,""),""))</f>
        <v/>
      </c>
      <c r="AO470" s="103" t="str">
        <f>IF('Customer Base'!$I$15="MANUAL",IFERROR(AM470*B470,""),IF('Customer Base'!$I$15="AUTOMATE",IFERROR(AM470*A470,""),""))</f>
        <v/>
      </c>
      <c r="AV470" s="103">
        <f t="shared" si="76"/>
        <v>0</v>
      </c>
    </row>
    <row r="471" spans="1:48">
      <c r="A471" s="103" t="str">
        <f>IF(AND(OR(AND('Customer Base'!E13="Phoenix",'Customer Base'!D13="Victron"),'Customer Base'!D$7="Grid-Tied"),'Customer Base'!D$9=1,'CABLE SIZING TOOL'!J$27&gt;80,'CABLE SIZING TOOL'!J$27&lt;=100),1,IF(AND('Customer Base'!D$9=1,'CABLE SIZING TOOL'!J$27&gt;80,'CABLE SIZING TOOL'!J$27&lt;=100),2,""))</f>
        <v/>
      </c>
      <c r="B471" s="270" t="s">
        <v>1</v>
      </c>
      <c r="C471" s="250" t="s">
        <v>1384</v>
      </c>
      <c r="D471" s="321">
        <v>49</v>
      </c>
      <c r="E471" s="321">
        <v>49</v>
      </c>
      <c r="F471" s="249">
        <f t="shared" si="77"/>
        <v>40.196882690730106</v>
      </c>
      <c r="G471" s="249">
        <f>IFERROR(ROUNDUP(F471*'Customer Base'!$J$5,2),0)</f>
        <v>671.29</v>
      </c>
      <c r="H471" s="249">
        <f t="shared" si="78"/>
        <v>40.196882690730106</v>
      </c>
      <c r="I471" s="249">
        <f>IFERROR(ROUNDUP(H471*'Customer Base'!$J$5,2),0)</f>
        <v>671.29</v>
      </c>
      <c r="J471" s="103" t="str">
        <f t="shared" si="79"/>
        <v/>
      </c>
      <c r="L471" s="103" t="str">
        <f t="shared" si="80"/>
        <v/>
      </c>
      <c r="N471" s="103">
        <v>480</v>
      </c>
      <c r="O471" s="103" t="str">
        <f>IF('Customer Base'!$I$15="MANUAL",IF(B471&lt;&gt;"",C471,""),IF('Customer Base'!$I$15="AUTOMATE",IF(A471&lt;&gt;"",C471,""),""))</f>
        <v/>
      </c>
      <c r="AO471" s="103" t="str">
        <f>IF('Customer Base'!$I$15="MANUAL",IFERROR(AM471*B471,""),IF('Customer Base'!$I$15="AUTOMATE",IFERROR(AM471*A471,""),""))</f>
        <v/>
      </c>
      <c r="AV471" s="103">
        <f t="shared" si="76"/>
        <v>0</v>
      </c>
    </row>
    <row r="472" spans="1:48">
      <c r="A472" s="103" t="str">
        <f>IF(AND(OR(AND('Customer Base'!E13="Phoenix",'Customer Base'!D13="Victron"),'Customer Base'!D$7="Grid-Tied"),'Customer Base'!D$9=1,'CABLE SIZING TOOL'!J$27&gt;100,'CABLE SIZING TOOL'!J$27&lt;=125),1,IF(AND('Customer Base'!D$9=1,'CABLE SIZING TOOL'!J$27&gt;100,'CABLE SIZING TOOL'!J$27&lt;=125),2,""))</f>
        <v/>
      </c>
      <c r="B472" s="270" t="s">
        <v>1</v>
      </c>
      <c r="C472" s="250" t="s">
        <v>2616</v>
      </c>
      <c r="D472" s="321">
        <v>49</v>
      </c>
      <c r="E472" s="321">
        <v>49</v>
      </c>
      <c r="F472" s="249">
        <f t="shared" si="77"/>
        <v>40.196882690730106</v>
      </c>
      <c r="G472" s="249">
        <f>IFERROR(ROUNDUP(F472*'Customer Base'!$J$5,2),0)</f>
        <v>671.29</v>
      </c>
      <c r="H472" s="249">
        <f t="shared" si="78"/>
        <v>40.196882690730106</v>
      </c>
      <c r="I472" s="249">
        <f>IFERROR(ROUNDUP(H472*'Customer Base'!$J$5,2),0)</f>
        <v>671.29</v>
      </c>
      <c r="J472" s="103" t="str">
        <f t="shared" si="79"/>
        <v/>
      </c>
      <c r="L472" s="103" t="str">
        <f t="shared" si="80"/>
        <v/>
      </c>
      <c r="N472" s="103">
        <v>481</v>
      </c>
      <c r="O472" s="103" t="str">
        <f>IF('Customer Base'!$I$15="MANUAL",IF(B472&lt;&gt;"",C472,""),IF('Customer Base'!$I$15="AUTOMATE",IF(A472&lt;&gt;"",C472,""),""))</f>
        <v/>
      </c>
      <c r="AO472" s="103" t="str">
        <f>IF('Customer Base'!$I$15="MANUAL",IFERROR(AM472*B472,""),IF('Customer Base'!$I$15="AUTOMATE",IFERROR(AM472*A472,""),""))</f>
        <v/>
      </c>
    </row>
    <row r="473" spans="1:48">
      <c r="A473" s="103" t="str">
        <f>IF(AND(OR(AND('Customer Base'!E13="Phoenix",'Customer Base'!D13="Victron"),'Customer Base'!D$7="Grid-Tied"),'Customer Base'!D$9=1,'CABLE SIZING TOOL'!J$27&gt;125,'CABLE SIZING TOOL'!J$27&lt;=160),1,IF(AND('Customer Base'!D$9=1,'CABLE SIZING TOOL'!J$27&gt;125,'CABLE SIZING TOOL'!J$27&lt;=160),2,""))</f>
        <v/>
      </c>
      <c r="B473" s="270" t="s">
        <v>1</v>
      </c>
      <c r="C473" s="250" t="s">
        <v>1497</v>
      </c>
      <c r="D473" s="321">
        <v>69</v>
      </c>
      <c r="E473" s="321">
        <v>69</v>
      </c>
      <c r="F473" s="249">
        <f t="shared" si="77"/>
        <v>56.603773584905653</v>
      </c>
      <c r="G473" s="249">
        <f>IFERROR(ROUNDUP(F473*'Customer Base'!$J$5,2),0)</f>
        <v>945.29</v>
      </c>
      <c r="H473" s="249">
        <f t="shared" si="78"/>
        <v>56.603773584905653</v>
      </c>
      <c r="I473" s="249">
        <f>IFERROR(ROUNDUP(H473*'Customer Base'!$J$5,2),0)</f>
        <v>945.29</v>
      </c>
      <c r="J473" s="103" t="str">
        <f t="shared" si="79"/>
        <v/>
      </c>
      <c r="L473" s="103" t="str">
        <f t="shared" si="80"/>
        <v/>
      </c>
      <c r="N473" s="103">
        <v>482</v>
      </c>
      <c r="O473" s="103" t="str">
        <f>IF('Customer Base'!$I$15="MANUAL",IF(B473&lt;&gt;"",C473,""),IF('Customer Base'!$I$15="AUTOMATE",IF(A473&lt;&gt;"",C473,""),""))</f>
        <v/>
      </c>
      <c r="AO473" s="103" t="str">
        <f>IF('Customer Base'!$I$15="MANUAL",IFERROR(AM473*B473,""),IF('Customer Base'!$I$15="AUTOMATE",IFERROR(AM473*A473,""),""))</f>
        <v/>
      </c>
      <c r="AV473" s="103">
        <f t="shared" si="76"/>
        <v>0</v>
      </c>
    </row>
    <row r="474" spans="1:48">
      <c r="A474" s="103" t="str">
        <f>IF(AND(OR(AND('Customer Base'!E13="Phoenix",'Customer Base'!D13="Victron"),'Customer Base'!D$7="Grid-Tied"),'Customer Base'!D$9=1,'CABLE SIZING TOOL'!J$27&gt;160,'CABLE SIZING TOOL'!J$27&lt;=250),1,IF(AND('Customer Base'!D$9=1,'CABLE SIZING TOOL'!J$27&gt;160,'CABLE SIZING TOOL'!J$27&lt;=250),2,""))</f>
        <v/>
      </c>
      <c r="B474" s="270" t="s">
        <v>1</v>
      </c>
      <c r="C474" s="250" t="s">
        <v>1385</v>
      </c>
      <c r="D474" s="321">
        <v>69</v>
      </c>
      <c r="E474" s="321">
        <v>69</v>
      </c>
      <c r="F474" s="249">
        <f t="shared" si="77"/>
        <v>56.603773584905653</v>
      </c>
      <c r="G474" s="249">
        <f>IFERROR(ROUNDUP(F474*'Customer Base'!$J$5,2),0)</f>
        <v>945.29</v>
      </c>
      <c r="H474" s="249">
        <f t="shared" si="78"/>
        <v>56.603773584905653</v>
      </c>
      <c r="I474" s="249">
        <f>IFERROR(ROUNDUP(H474*'Customer Base'!$J$5,2),0)</f>
        <v>945.29</v>
      </c>
      <c r="J474" s="103" t="str">
        <f t="shared" si="79"/>
        <v/>
      </c>
      <c r="L474" s="103" t="str">
        <f t="shared" si="80"/>
        <v/>
      </c>
      <c r="N474" s="103">
        <v>483</v>
      </c>
      <c r="O474" s="103" t="str">
        <f>IF('Customer Base'!$I$15="MANUAL",IF(B474&lt;&gt;"",C474,""),IF('Customer Base'!$I$15="AUTOMATE",IF(A474&lt;&gt;"",C474,""),""))</f>
        <v/>
      </c>
      <c r="AO474" s="103" t="str">
        <f>IF('Customer Base'!$I$15="MANUAL",IFERROR(AM474*B474,""),IF('Customer Base'!$I$15="AUTOMATE",IFERROR(AM474*A474,""),""))</f>
        <v/>
      </c>
    </row>
    <row r="475" spans="1:48">
      <c r="A475" s="103" t="str">
        <f>IF(AND(OR(AND('Customer Base'!E13="Phoenix",'Customer Base'!D13="Victron"),'Customer Base'!D$7="Grid-Tied"),'Customer Base'!D$9=1,'CABLE SIZING TOOL'!J$27&gt;250,'CABLE SIZING TOOL'!J$27&lt;=320),1,IF(AND('Customer Base'!D$9=1,'CABLE SIZING TOOL'!J$27&gt;250,'CABLE SIZING TOOL'!J$27&lt;=320),2,""))</f>
        <v/>
      </c>
      <c r="B475" s="270" t="s">
        <v>1</v>
      </c>
      <c r="C475" s="250" t="s">
        <v>2604</v>
      </c>
      <c r="D475" s="321">
        <v>89</v>
      </c>
      <c r="E475" s="321">
        <v>89</v>
      </c>
      <c r="F475" s="249">
        <f t="shared" si="77"/>
        <v>73.010664479081214</v>
      </c>
      <c r="G475" s="249">
        <f>IFERROR(ROUNDUP(F475*'Customer Base'!$J$5,2),0)</f>
        <v>1219.28</v>
      </c>
      <c r="H475" s="249">
        <f t="shared" si="78"/>
        <v>73.010664479081214</v>
      </c>
      <c r="I475" s="249">
        <f>IFERROR(ROUNDUP(H475*'Customer Base'!$J$5,2),0)</f>
        <v>1219.28</v>
      </c>
      <c r="J475" s="103" t="str">
        <f t="shared" si="79"/>
        <v/>
      </c>
      <c r="L475" s="103" t="str">
        <f t="shared" si="80"/>
        <v/>
      </c>
      <c r="N475" s="103">
        <v>484</v>
      </c>
      <c r="O475" s="103" t="str">
        <f>IF('Customer Base'!$I$15="MANUAL",IF(B475&lt;&gt;"",C475,""),IF('Customer Base'!$I$15="AUTOMATE",IF(A475&lt;&gt;"",C475,""),""))</f>
        <v/>
      </c>
      <c r="AO475" s="103" t="str">
        <f>IF('Customer Base'!$I$15="MANUAL",IFERROR(AM475*B475,""),IF('Customer Base'!$I$15="AUTOMATE",IFERROR(AM475*A475,""),""))</f>
        <v/>
      </c>
    </row>
    <row r="476" spans="1:48">
      <c r="C476" s="250"/>
      <c r="D476" s="321"/>
      <c r="E476" s="321"/>
      <c r="F476" s="249">
        <f t="shared" si="77"/>
        <v>0</v>
      </c>
      <c r="G476" s="249">
        <f>IFERROR(ROUNDUP(F476*'Customer Base'!$J$5,2),0)</f>
        <v>0</v>
      </c>
      <c r="H476" s="249">
        <f t="shared" si="78"/>
        <v>0</v>
      </c>
      <c r="I476" s="249">
        <f>IFERROR(ROUNDUP(H476*'Customer Base'!$J$5,2),0)</f>
        <v>0</v>
      </c>
      <c r="J476" s="103" t="str">
        <f t="shared" si="79"/>
        <v/>
      </c>
      <c r="L476" s="103" t="str">
        <f t="shared" si="80"/>
        <v/>
      </c>
      <c r="N476" s="103">
        <v>485</v>
      </c>
      <c r="O476" s="103" t="str">
        <f>IF('Customer Base'!$I$15="MANUAL",IF(B476&lt;&gt;"",C476,""),IF('Customer Base'!$I$15="AUTOMATE",IF(A476&lt;&gt;"",C476,""),""))</f>
        <v/>
      </c>
      <c r="AO476" s="103">
        <f>IF('Customer Base'!$I$15="MANUAL",IFERROR(AM476*B476,""),IF('Customer Base'!$I$15="AUTOMATE",IFERROR(AM476*A476,""),""))</f>
        <v>0</v>
      </c>
      <c r="AV476" s="103">
        <f t="shared" si="76"/>
        <v>0</v>
      </c>
    </row>
    <row r="477" spans="1:48">
      <c r="A477" s="103" t="str">
        <f>IF(AND(OR(AND('Customer Base'!E13="Phoenix",'Customer Base'!D13="Victron"),'Customer Base'!D$7="Grid-Tied"),'Customer Base'!D$9=3,'CABLE SIZING TOOL'!J$27&gt;0,'CABLE SIZING TOOL'!J$27&lt;=32),1,IF(AND('Customer Base'!D$9=3,'CABLE SIZING TOOL'!J$27&gt;0,'CABLE SIZING TOOL'!J$27&lt;=32),2,""))</f>
        <v/>
      </c>
      <c r="B477" s="270" t="s">
        <v>1</v>
      </c>
      <c r="C477" s="250" t="s">
        <v>1386</v>
      </c>
      <c r="D477" s="321">
        <v>50</v>
      </c>
      <c r="E477" s="321">
        <v>50</v>
      </c>
      <c r="F477" s="249">
        <f t="shared" ref="F477:F502" si="81">$D477/1.219</f>
        <v>41.017227235438881</v>
      </c>
      <c r="G477" s="249">
        <f>IFERROR(ROUNDUP(F477*'Customer Base'!$J$5,2),0)</f>
        <v>684.99</v>
      </c>
      <c r="H477" s="249">
        <f t="shared" si="78"/>
        <v>41.017227235438881</v>
      </c>
      <c r="I477" s="249">
        <f>IFERROR(ROUNDUP(H477*'Customer Base'!$J$5,2),0)</f>
        <v>684.99</v>
      </c>
      <c r="J477" s="103" t="str">
        <f t="shared" si="79"/>
        <v/>
      </c>
      <c r="L477" s="103" t="str">
        <f t="shared" si="80"/>
        <v/>
      </c>
      <c r="N477" s="103">
        <v>486</v>
      </c>
      <c r="O477" s="103" t="str">
        <f>IF('Customer Base'!$I$15="MANUAL",IF(B477&lt;&gt;"",C477,""),IF('Customer Base'!$I$15="AUTOMATE",IF(A477&lt;&gt;"",C477,""),""))</f>
        <v/>
      </c>
      <c r="AO477" s="103" t="str">
        <f>IF('Customer Base'!$I$15="MANUAL",IFERROR(AM477*B477,""),IF('Customer Base'!$I$15="AUTOMATE",IFERROR(AM477*A477,""),""))</f>
        <v/>
      </c>
      <c r="AV477" s="103">
        <f t="shared" si="76"/>
        <v>0</v>
      </c>
    </row>
    <row r="478" spans="1:48">
      <c r="A478" s="103" t="str">
        <f>IF(AND(OR(AND('Customer Base'!E13="Phoenix",'Customer Base'!D13="Victron"),'Customer Base'!D$7="Grid-Tied"),'Customer Base'!D$9=3,'CABLE SIZING TOOL'!J$27&gt;32,'CABLE SIZING TOOL'!J$27&lt;=40),1,IF(AND('Customer Base'!D$9=3,'CABLE SIZING TOOL'!J$27&gt;32,'CABLE SIZING TOOL'!J$27&lt;=40),2,""))</f>
        <v/>
      </c>
      <c r="B478" s="270" t="s">
        <v>1</v>
      </c>
      <c r="C478" s="250" t="s">
        <v>1387</v>
      </c>
      <c r="D478" s="321">
        <v>50</v>
      </c>
      <c r="E478" s="321">
        <v>50</v>
      </c>
      <c r="F478" s="249">
        <f t="shared" si="81"/>
        <v>41.017227235438881</v>
      </c>
      <c r="G478" s="249">
        <f>IFERROR(ROUNDUP(F478*'Customer Base'!$J$5,2),0)</f>
        <v>684.99</v>
      </c>
      <c r="H478" s="249">
        <f t="shared" ref="H478:H502" si="82">$E478/1.219</f>
        <v>41.017227235438881</v>
      </c>
      <c r="I478" s="249">
        <f>IFERROR(ROUNDUP(H478*'Customer Base'!$J$5,2),0)</f>
        <v>684.99</v>
      </c>
      <c r="J478" s="103" t="str">
        <f t="shared" si="79"/>
        <v/>
      </c>
      <c r="L478" s="103" t="str">
        <f t="shared" si="80"/>
        <v/>
      </c>
      <c r="N478" s="103">
        <v>487</v>
      </c>
      <c r="O478" s="103" t="str">
        <f>IF('Customer Base'!$I$15="MANUAL",IF(B478&lt;&gt;"",C478,""),IF('Customer Base'!$I$15="AUTOMATE",IF(A478&lt;&gt;"",C478,""),""))</f>
        <v/>
      </c>
      <c r="AO478" s="103" t="str">
        <f>IF('Customer Base'!$I$15="MANUAL",IFERROR(AM478*B478,""),IF('Customer Base'!$I$15="AUTOMATE",IFERROR(AM478*A478,""),""))</f>
        <v/>
      </c>
      <c r="AV478" s="103">
        <f t="shared" si="76"/>
        <v>0</v>
      </c>
    </row>
    <row r="479" spans="1:48">
      <c r="A479" s="103" t="str">
        <f>IF(AND(OR(AND('Customer Base'!E13="Phoenix",'Customer Base'!D13="Victron"),'Customer Base'!D$7="Grid-Tied"),'Customer Base'!D$9=3,'CABLE SIZING TOOL'!J$27&gt;40,'CABLE SIZING TOOL'!J$27&lt;=50),1,IF(AND('Customer Base'!D$9=3,'CABLE SIZING TOOL'!J$27&gt;40,'CABLE SIZING TOOL'!J$27&lt;=50),2,""))</f>
        <v/>
      </c>
      <c r="B479" s="270" t="s">
        <v>1</v>
      </c>
      <c r="C479" s="250" t="s">
        <v>2602</v>
      </c>
      <c r="D479" s="321">
        <v>50</v>
      </c>
      <c r="E479" s="321">
        <v>50</v>
      </c>
      <c r="F479" s="249">
        <f t="shared" si="81"/>
        <v>41.017227235438881</v>
      </c>
      <c r="G479" s="249">
        <f>IFERROR(ROUNDUP(F479*'Customer Base'!$J$5,2),0)</f>
        <v>684.99</v>
      </c>
      <c r="H479" s="249">
        <f t="shared" si="82"/>
        <v>41.017227235438881</v>
      </c>
      <c r="I479" s="249">
        <f>IFERROR(ROUNDUP(H479*'Customer Base'!$J$5,2),0)</f>
        <v>684.99</v>
      </c>
      <c r="J479" s="103" t="str">
        <f t="shared" si="79"/>
        <v/>
      </c>
      <c r="L479" s="103" t="str">
        <f t="shared" si="80"/>
        <v/>
      </c>
      <c r="N479" s="103">
        <v>488</v>
      </c>
      <c r="O479" s="103" t="str">
        <f>IF('Customer Base'!$I$15="MANUAL",IF(B479&lt;&gt;"",C479,""),IF('Customer Base'!$I$15="AUTOMATE",IF(A479&lt;&gt;"",C479,""),""))</f>
        <v/>
      </c>
      <c r="AO479" s="103" t="str">
        <f>IF('Customer Base'!$I$15="MANUAL",IFERROR(AM479*B479,""),IF('Customer Base'!$I$15="AUTOMATE",IFERROR(AM479*A479,""),""))</f>
        <v/>
      </c>
      <c r="AV479" s="103">
        <f t="shared" si="76"/>
        <v>0</v>
      </c>
    </row>
    <row r="480" spans="1:48">
      <c r="A480" s="103" t="str">
        <f>IF(AND(OR(AND('Customer Base'!E13="Phoenix",'Customer Base'!D13="Victron"),'Customer Base'!D$7="Grid-Tied"),'Customer Base'!D$9=3,'CABLE SIZING TOOL'!J$27&gt;50,'CABLE SIZING TOOL'!J$27&lt;=63),1,IF(AND('Customer Base'!D$9=3,'CABLE SIZING TOOL'!J$27&gt;50,'CABLE SIZING TOOL'!J$27&lt;=63),2,""))</f>
        <v/>
      </c>
      <c r="B480" s="270" t="s">
        <v>1</v>
      </c>
      <c r="C480" s="250" t="s">
        <v>1388</v>
      </c>
      <c r="D480" s="321">
        <v>50</v>
      </c>
      <c r="E480" s="321">
        <v>50</v>
      </c>
      <c r="F480" s="249">
        <f t="shared" si="81"/>
        <v>41.017227235438881</v>
      </c>
      <c r="G480" s="249">
        <f>IFERROR(ROUNDUP(F480*'Customer Base'!$J$5,2),0)</f>
        <v>684.99</v>
      </c>
      <c r="H480" s="249">
        <f t="shared" si="82"/>
        <v>41.017227235438881</v>
      </c>
      <c r="I480" s="249">
        <f>IFERROR(ROUNDUP(H480*'Customer Base'!$J$5,2),0)</f>
        <v>684.99</v>
      </c>
      <c r="J480" s="103" t="str">
        <f t="shared" si="79"/>
        <v/>
      </c>
      <c r="L480" s="103" t="str">
        <f t="shared" si="80"/>
        <v/>
      </c>
      <c r="N480" s="103">
        <v>489</v>
      </c>
      <c r="O480" s="103" t="str">
        <f>IF('Customer Base'!$I$15="MANUAL",IF(B480&lt;&gt;"",C480,""),IF('Customer Base'!$I$15="AUTOMATE",IF(A480&lt;&gt;"",C480,""),""))</f>
        <v/>
      </c>
      <c r="AO480" s="103" t="str">
        <f>IF('Customer Base'!$I$15="MANUAL",IFERROR(AM480*B480,""),IF('Customer Base'!$I$15="AUTOMATE",IFERROR(AM480*A480,""),""))</f>
        <v/>
      </c>
      <c r="AV480" s="103">
        <f t="shared" si="76"/>
        <v>0</v>
      </c>
    </row>
    <row r="481" spans="1:48">
      <c r="A481" s="103" t="str">
        <f>IF(AND(OR(AND('Customer Base'!E13="Phoenix",'Customer Base'!D13="Victron"),'Customer Base'!D$7="Grid-Tied"),'Customer Base'!D$9=3,'CABLE SIZING TOOL'!J$27&gt;63,'CABLE SIZING TOOL'!J$27&lt;=80),1,IF(AND('Customer Base'!D$9=3,'CABLE SIZING TOOL'!J$27&gt;63,'CABLE SIZING TOOL'!J$27&lt;=80),2,""))</f>
        <v/>
      </c>
      <c r="B481" s="270" t="s">
        <v>1</v>
      </c>
      <c r="C481" s="250" t="s">
        <v>1805</v>
      </c>
      <c r="D481" s="321">
        <v>50</v>
      </c>
      <c r="E481" s="321">
        <v>50</v>
      </c>
      <c r="F481" s="249">
        <f t="shared" si="81"/>
        <v>41.017227235438881</v>
      </c>
      <c r="G481" s="249">
        <f>IFERROR(ROUNDUP(F481*'Customer Base'!$J$5,2),0)</f>
        <v>684.99</v>
      </c>
      <c r="H481" s="249">
        <f t="shared" si="82"/>
        <v>41.017227235438881</v>
      </c>
      <c r="I481" s="249">
        <f>IFERROR(ROUNDUP(H481*'Customer Base'!$J$5,2),0)</f>
        <v>684.99</v>
      </c>
      <c r="J481" s="103" t="str">
        <f t="shared" si="79"/>
        <v/>
      </c>
      <c r="L481" s="103" t="str">
        <f t="shared" si="80"/>
        <v/>
      </c>
      <c r="N481" s="103">
        <v>490</v>
      </c>
      <c r="O481" s="103" t="str">
        <f>IF('Customer Base'!$I$15="MANUAL",IF(B481&lt;&gt;"",C481,""),IF('Customer Base'!$I$15="AUTOMATE",IF(A481&lt;&gt;"",C481,""),""))</f>
        <v/>
      </c>
      <c r="AO481" s="103" t="str">
        <f>IF('Customer Base'!$I$15="MANUAL",IFERROR(AM481*B481,""),IF('Customer Base'!$I$15="AUTOMATE",IFERROR(AM481*A481,""),""))</f>
        <v/>
      </c>
      <c r="AV481" s="103">
        <f t="shared" si="76"/>
        <v>0</v>
      </c>
    </row>
    <row r="482" spans="1:48">
      <c r="A482" s="103" t="str">
        <f>IF(AND(OR(AND('Customer Base'!E13="Phoenix",'Customer Base'!D13="Victron"),'Customer Base'!D$7="Grid-Tied"),'Customer Base'!D$9=3,'CABLE SIZING TOOL'!J$27&gt;80,'CABLE SIZING TOOL'!J$27&lt;=100),1,IF(AND('Customer Base'!D$9=3,'CABLE SIZING TOOL'!J$27&gt;80,'CABLE SIZING TOOL'!J$27&lt;=100),2,""))</f>
        <v/>
      </c>
      <c r="B482" s="270" t="s">
        <v>1</v>
      </c>
      <c r="C482" s="250" t="s">
        <v>1389</v>
      </c>
      <c r="D482" s="321">
        <v>50</v>
      </c>
      <c r="E482" s="321">
        <v>50</v>
      </c>
      <c r="F482" s="249">
        <f t="shared" si="81"/>
        <v>41.017227235438881</v>
      </c>
      <c r="G482" s="249">
        <f>IFERROR(ROUNDUP(F482*'Customer Base'!$J$5,2),0)</f>
        <v>684.99</v>
      </c>
      <c r="H482" s="249">
        <f t="shared" si="82"/>
        <v>41.017227235438881</v>
      </c>
      <c r="I482" s="249">
        <f>IFERROR(ROUNDUP(H482*'Customer Base'!$J$5,2),0)</f>
        <v>684.99</v>
      </c>
      <c r="J482" s="103" t="str">
        <f t="shared" si="79"/>
        <v/>
      </c>
      <c r="L482" s="103" t="str">
        <f t="shared" si="80"/>
        <v/>
      </c>
      <c r="N482" s="103">
        <v>491</v>
      </c>
      <c r="O482" s="103" t="str">
        <f>IF('Customer Base'!$I$15="MANUAL",IF(B482&lt;&gt;"",C482,""),IF('Customer Base'!$I$15="AUTOMATE",IF(A482&lt;&gt;"",C482,""),""))</f>
        <v/>
      </c>
      <c r="AO482" s="103" t="str">
        <f>IF('Customer Base'!$I$15="MANUAL",IFERROR(AM482*B482,""),IF('Customer Base'!$I$15="AUTOMATE",IFERROR(AM482*A482,""),""))</f>
        <v/>
      </c>
      <c r="AV482" s="103">
        <f t="shared" si="76"/>
        <v>0</v>
      </c>
    </row>
    <row r="483" spans="1:48">
      <c r="A483" s="103" t="str">
        <f>IF(AND(OR(AND('Customer Base'!E13="Phoenix",'Customer Base'!D13="Victron"),'Customer Base'!D$7="Grid-Tied"),'Customer Base'!D$9=3,'CABLE SIZING TOOL'!J$27&gt;100,'CABLE SIZING TOOL'!J$27&lt;=125),1,IF(AND('Customer Base'!D$9=3,'CABLE SIZING TOOL'!J$27&gt;100,'CABLE SIZING TOOL'!J$27&lt;=125),2,""))</f>
        <v/>
      </c>
      <c r="B483" s="270" t="s">
        <v>1</v>
      </c>
      <c r="C483" s="250" t="s">
        <v>2615</v>
      </c>
      <c r="D483" s="321">
        <v>50</v>
      </c>
      <c r="E483" s="321">
        <v>50</v>
      </c>
      <c r="F483" s="249">
        <f t="shared" si="81"/>
        <v>41.017227235438881</v>
      </c>
      <c r="G483" s="249">
        <f>IFERROR(ROUNDUP(F483*'Customer Base'!$J$5,2),0)</f>
        <v>684.99</v>
      </c>
      <c r="H483" s="249">
        <f t="shared" si="82"/>
        <v>41.017227235438881</v>
      </c>
      <c r="I483" s="249">
        <f>IFERROR(ROUNDUP(H483*'Customer Base'!$J$5,2),0)</f>
        <v>684.99</v>
      </c>
      <c r="J483" s="103" t="str">
        <f t="shared" si="79"/>
        <v/>
      </c>
      <c r="L483" s="103" t="str">
        <f t="shared" si="80"/>
        <v/>
      </c>
      <c r="N483" s="103">
        <v>492</v>
      </c>
      <c r="O483" s="103" t="str">
        <f>IF('Customer Base'!$I$15="MANUAL",IF(B483&lt;&gt;"",C483,""),IF('Customer Base'!$I$15="AUTOMATE",IF(A483&lt;&gt;"",C483,""),""))</f>
        <v/>
      </c>
      <c r="AO483" s="103" t="str">
        <f>IF('Customer Base'!$I$15="MANUAL",IFERROR(AM483*B483,""),IF('Customer Base'!$I$15="AUTOMATE",IFERROR(AM483*A483,""),""))</f>
        <v/>
      </c>
      <c r="AV483" s="103">
        <f t="shared" si="76"/>
        <v>0</v>
      </c>
    </row>
    <row r="484" spans="1:48">
      <c r="A484" s="103" t="str">
        <f>IF(AND(OR(AND('Customer Base'!E13="Phoenix",'Customer Base'!D13="Victron"),'Customer Base'!D$7="Grid-Tied"),'Customer Base'!D$9=3,'CABLE SIZING TOOL'!J$27&gt;125,'CABLE SIZING TOOL'!J$27&lt;=160),1,IF(AND('Customer Base'!D$9=3,'CABLE SIZING TOOL'!J$27&gt;125,'CABLE SIZING TOOL'!J$27&lt;=160),2,""))</f>
        <v/>
      </c>
      <c r="B484" s="270" t="s">
        <v>1</v>
      </c>
      <c r="C484" s="250" t="s">
        <v>1498</v>
      </c>
      <c r="D484" s="321">
        <v>70</v>
      </c>
      <c r="E484" s="321">
        <v>70</v>
      </c>
      <c r="F484" s="249">
        <f t="shared" si="81"/>
        <v>57.424118129614435</v>
      </c>
      <c r="G484" s="249">
        <f>IFERROR(ROUNDUP(F484*'Customer Base'!$J$5,2),0)</f>
        <v>958.99</v>
      </c>
      <c r="H484" s="249">
        <f t="shared" si="82"/>
        <v>57.424118129614435</v>
      </c>
      <c r="I484" s="249">
        <f>IFERROR(ROUNDUP(H484*'Customer Base'!$J$5,2),0)</f>
        <v>958.99</v>
      </c>
      <c r="J484" s="103" t="str">
        <f t="shared" si="79"/>
        <v/>
      </c>
      <c r="L484" s="103" t="str">
        <f t="shared" si="80"/>
        <v/>
      </c>
      <c r="N484" s="103">
        <v>493</v>
      </c>
      <c r="O484" s="103" t="str">
        <f>IF('Customer Base'!$I$15="MANUAL",IF(B484&lt;&gt;"",C484,""),IF('Customer Base'!$I$15="AUTOMATE",IF(A484&lt;&gt;"",C484,""),""))</f>
        <v/>
      </c>
      <c r="AO484" s="103" t="str">
        <f>IF('Customer Base'!$I$15="MANUAL",IFERROR(AM484*B484,""),IF('Customer Base'!$I$15="AUTOMATE",IFERROR(AM484*A484,""),""))</f>
        <v/>
      </c>
    </row>
    <row r="485" spans="1:48">
      <c r="C485" s="250" t="s">
        <v>1390</v>
      </c>
      <c r="D485" s="321">
        <v>70</v>
      </c>
      <c r="E485" s="321">
        <v>70</v>
      </c>
      <c r="F485" s="249">
        <f t="shared" si="81"/>
        <v>57.424118129614435</v>
      </c>
      <c r="G485" s="249">
        <f>IFERROR(ROUNDUP(F485*'Customer Base'!$J$5,2),0)</f>
        <v>958.99</v>
      </c>
      <c r="H485" s="249">
        <f t="shared" si="82"/>
        <v>57.424118129614435</v>
      </c>
      <c r="I485" s="249">
        <f>IFERROR(ROUNDUP(H485*'Customer Base'!$J$5,2),0)</f>
        <v>958.99</v>
      </c>
      <c r="J485" s="103" t="str">
        <f t="shared" si="79"/>
        <v/>
      </c>
      <c r="L485" s="103" t="str">
        <f t="shared" si="80"/>
        <v/>
      </c>
      <c r="N485" s="103">
        <v>494</v>
      </c>
      <c r="O485" s="103" t="str">
        <f>IF('Customer Base'!$I$15="MANUAL",IF(B485&lt;&gt;"",C485,""),IF('Customer Base'!$I$15="AUTOMATE",IF(A485&lt;&gt;"",C485,""),""))</f>
        <v/>
      </c>
      <c r="AO485" s="103">
        <f>IF('Customer Base'!$I$15="MANUAL",IFERROR(AM485*B485,""),IF('Customer Base'!$I$15="AUTOMATE",IFERROR(AM485*A485,""),""))</f>
        <v>0</v>
      </c>
    </row>
    <row r="486" spans="1:48">
      <c r="C486" s="250"/>
      <c r="D486" s="321"/>
      <c r="E486" s="321"/>
      <c r="F486" s="249">
        <f t="shared" si="81"/>
        <v>0</v>
      </c>
      <c r="G486" s="249">
        <f>IFERROR(ROUNDUP(F486*'Customer Base'!$J$5,2),0)</f>
        <v>0</v>
      </c>
      <c r="H486" s="249">
        <f t="shared" si="82"/>
        <v>0</v>
      </c>
      <c r="I486" s="249">
        <f>IFERROR(ROUNDUP(H486*'Customer Base'!$J$5,2),0)</f>
        <v>0</v>
      </c>
      <c r="J486" s="103" t="str">
        <f t="shared" si="79"/>
        <v/>
      </c>
      <c r="L486" s="103" t="str">
        <f t="shared" si="80"/>
        <v/>
      </c>
      <c r="N486" s="103">
        <v>495</v>
      </c>
      <c r="O486" s="103" t="str">
        <f>IF('Customer Base'!$I$15="MANUAL",IF(B486&lt;&gt;"",C486,""),IF('Customer Base'!$I$15="AUTOMATE",IF(A486&lt;&gt;"",C486,""),""))</f>
        <v/>
      </c>
      <c r="AO486" s="103">
        <f>IF('Customer Base'!$I$15="MANUAL",IFERROR(AM486*B486,""),IF('Customer Base'!$I$15="AUTOMATE",IFERROR(AM486*A486,""),""))</f>
        <v>0</v>
      </c>
      <c r="AV486" s="103">
        <f t="shared" si="76"/>
        <v>0</v>
      </c>
    </row>
    <row r="487" spans="1:48">
      <c r="C487" s="250" t="s">
        <v>1313</v>
      </c>
      <c r="D487" s="321">
        <v>107.15</v>
      </c>
      <c r="E487" s="321">
        <v>107.15</v>
      </c>
      <c r="F487" s="249">
        <f t="shared" si="81"/>
        <v>87.899917965545526</v>
      </c>
      <c r="G487" s="249">
        <f>IFERROR(ROUNDUP(F487*'Customer Base'!$J$5,2),0)</f>
        <v>1467.93</v>
      </c>
      <c r="H487" s="249">
        <f t="shared" si="82"/>
        <v>87.899917965545526</v>
      </c>
      <c r="I487" s="249">
        <f>IFERROR(ROUNDUP(H487*'Customer Base'!$J$5,2),0)</f>
        <v>1467.93</v>
      </c>
      <c r="J487" s="103" t="str">
        <f t="shared" si="79"/>
        <v/>
      </c>
      <c r="L487" s="103" t="str">
        <f t="shared" si="80"/>
        <v/>
      </c>
      <c r="N487" s="103">
        <v>496</v>
      </c>
      <c r="O487" s="103" t="str">
        <f>IF('Customer Base'!$I$15="MANUAL",IF(B487&lt;&gt;"",C487,""),IF('Customer Base'!$I$15="AUTOMATE",IF(A487&lt;&gt;"",C487,""),""))</f>
        <v/>
      </c>
      <c r="AO487" s="103">
        <f>IF('Customer Base'!$I$15="MANUAL",IFERROR(AM487*B487,""),IF('Customer Base'!$I$15="AUTOMATE",IFERROR(AM487*A487,""),""))</f>
        <v>0</v>
      </c>
      <c r="AV487" s="103">
        <f t="shared" si="76"/>
        <v>0</v>
      </c>
    </row>
    <row r="488" spans="1:48">
      <c r="A488" s="103" t="str">
        <f>IF(AND(OR(AND('Customer Base'!E13="Phoenix",'Customer Base'!D13="Victron"),'Customer Base'!D$7="Grid-Tied"),'Customer Base'!D$9=3,'CABLE SIZING TOOL'!J$27&gt;160,'CABLE SIZING TOOL'!J$27&lt;=250),1,IF(AND('Customer Base'!D$9=3,'CABLE SIZING TOOL'!J$27&gt;160,'CABLE SIZING TOOL'!J$27&lt;=250),2,""))</f>
        <v/>
      </c>
      <c r="B488" s="270" t="s">
        <v>1</v>
      </c>
      <c r="C488" s="250" t="s">
        <v>1499</v>
      </c>
      <c r="D488" s="321">
        <v>107.15</v>
      </c>
      <c r="E488" s="321">
        <v>107.15</v>
      </c>
      <c r="F488" s="249">
        <f t="shared" si="81"/>
        <v>87.899917965545526</v>
      </c>
      <c r="G488" s="249">
        <f>IFERROR(ROUNDUP(F488*'Customer Base'!$J$5,2),0)</f>
        <v>1467.93</v>
      </c>
      <c r="H488" s="249">
        <f t="shared" si="82"/>
        <v>87.899917965545526</v>
      </c>
      <c r="I488" s="249">
        <f>IFERROR(ROUNDUP(H488*'Customer Base'!$J$5,2),0)</f>
        <v>1467.93</v>
      </c>
      <c r="J488" s="103" t="str">
        <f t="shared" si="79"/>
        <v/>
      </c>
      <c r="L488" s="103" t="str">
        <f t="shared" si="80"/>
        <v/>
      </c>
      <c r="N488" s="103">
        <v>497</v>
      </c>
      <c r="O488" s="103" t="str">
        <f>IF('Customer Base'!$I$15="MANUAL",IF(B488&lt;&gt;"",C488,""),IF('Customer Base'!$I$15="AUTOMATE",IF(A488&lt;&gt;"",C488,""),""))</f>
        <v/>
      </c>
      <c r="AO488" s="103" t="str">
        <f>IF('Customer Base'!$I$15="MANUAL",IFERROR(AM488*B488,""),IF('Customer Base'!$I$15="AUTOMATE",IFERROR(AM488*A488,""),""))</f>
        <v/>
      </c>
      <c r="AV488" s="103">
        <f t="shared" si="76"/>
        <v>0</v>
      </c>
    </row>
    <row r="489" spans="1:48">
      <c r="A489" s="103" t="str">
        <f>IF(AND(OR(AND('Customer Base'!E13="Phoenix",'Customer Base'!D13="Victron"),'Customer Base'!D$7="Grid-Tied"),'Customer Base'!D$9=3,'CABLE SIZING TOOL'!J$27&gt;250,'CABLE SIZING TOOL'!J$27&lt;=320),1,IF(AND('Customer Base'!D$9=3,'CABLE SIZING TOOL'!J$27&gt;250,'CABLE SIZING TOOL'!J$27&lt;=320),2,""))</f>
        <v/>
      </c>
      <c r="B489" s="270" t="s">
        <v>1</v>
      </c>
      <c r="C489" s="250" t="s">
        <v>2481</v>
      </c>
      <c r="D489" s="321">
        <v>107.15</v>
      </c>
      <c r="E489" s="321">
        <v>107.15</v>
      </c>
      <c r="F489" s="249">
        <f t="shared" si="81"/>
        <v>87.899917965545526</v>
      </c>
      <c r="G489" s="249">
        <f>IFERROR(ROUNDUP(F489*'Customer Base'!$J$5,2),0)</f>
        <v>1467.93</v>
      </c>
      <c r="H489" s="249">
        <f t="shared" si="82"/>
        <v>87.899917965545526</v>
      </c>
      <c r="I489" s="249">
        <f>IFERROR(ROUNDUP(H489*'Customer Base'!$J$5,2),0)</f>
        <v>1467.93</v>
      </c>
      <c r="J489" s="103" t="str">
        <f t="shared" si="79"/>
        <v/>
      </c>
      <c r="L489" s="103" t="str">
        <f t="shared" si="80"/>
        <v/>
      </c>
      <c r="N489" s="103">
        <v>498</v>
      </c>
      <c r="O489" s="103" t="str">
        <f>IF('Customer Base'!$I$15="MANUAL",IF(B489&lt;&gt;"",C489,""),IF('Customer Base'!$I$15="AUTOMATE",IF(A489&lt;&gt;"",C489,""),""))</f>
        <v/>
      </c>
      <c r="AO489" s="103" t="str">
        <f>IF('Customer Base'!$I$15="MANUAL",IFERROR(AM489*B489,""),IF('Customer Base'!$I$15="AUTOMATE",IFERROR(AM489*A489,""),""))</f>
        <v/>
      </c>
    </row>
    <row r="490" spans="1:48">
      <c r="A490" s="103" t="str">
        <f>IF(AND(OR(AND('Customer Base'!E13="Phoenix",'Customer Base'!D13="Victron"),'Customer Base'!D$7="Grid-Tied"),'Customer Base'!D$9=3,'CABLE SIZING TOOL'!J$27&gt;320,'CABLE SIZING TOOL'!J$27&lt;=400),1,IF(AND('Customer Base'!D$9=3,'CABLE SIZING TOOL'!J$27&gt;320,'CABLE SIZING TOOL'!J$27&lt;=400),2,""))</f>
        <v/>
      </c>
      <c r="B490" s="270" t="s">
        <v>1</v>
      </c>
      <c r="C490" s="250" t="s">
        <v>2482</v>
      </c>
      <c r="D490" s="321">
        <v>107.15</v>
      </c>
      <c r="E490" s="321">
        <v>107.15</v>
      </c>
      <c r="F490" s="249">
        <f t="shared" si="81"/>
        <v>87.899917965545526</v>
      </c>
      <c r="G490" s="249">
        <f>IFERROR(ROUNDUP(F490*'Customer Base'!$J$5,2),0)</f>
        <v>1467.93</v>
      </c>
      <c r="H490" s="249">
        <f t="shared" si="82"/>
        <v>87.899917965545526</v>
      </c>
      <c r="I490" s="249">
        <f>IFERROR(ROUNDUP(H490*'Customer Base'!$J$5,2),0)</f>
        <v>1467.93</v>
      </c>
      <c r="J490" s="103" t="str">
        <f t="shared" si="79"/>
        <v/>
      </c>
      <c r="L490" s="103" t="str">
        <f t="shared" si="80"/>
        <v/>
      </c>
      <c r="N490" s="103">
        <v>499</v>
      </c>
      <c r="O490" s="103" t="str">
        <f>IF('Customer Base'!$I$15="MANUAL",IF(B490&lt;&gt;"",C490,""),IF('Customer Base'!$I$15="AUTOMATE",IF(A490&lt;&gt;"",C490,""),""))</f>
        <v/>
      </c>
      <c r="AO490" s="103" t="str">
        <f>IF('Customer Base'!$I$15="MANUAL",IFERROR(AM490*B490,""),IF('Customer Base'!$I$15="AUTOMATE",IFERROR(AM490*A490,""),""))</f>
        <v/>
      </c>
    </row>
    <row r="491" spans="1:48">
      <c r="A491" s="103" t="str">
        <f>IF(AND(OR(AND('Customer Base'!E13="Phoenix",'Customer Base'!D13="Victron"),'Customer Base'!D$7="Grid-Tied"),'Customer Base'!D$9=3,'CABLE SIZING TOOL'!J$27&gt;400,'CABLE SIZING TOOL'!J$27&lt;=500),1,IF(AND('Customer Base'!D$9=3,'CABLE SIZING TOOL'!J$27&gt;400,'CABLE SIZING TOOL'!J$27&lt;=500),2,""))</f>
        <v/>
      </c>
      <c r="B491" s="270" t="s">
        <v>1</v>
      </c>
      <c r="C491" s="250" t="s">
        <v>1607</v>
      </c>
      <c r="D491" s="321">
        <v>107.15</v>
      </c>
      <c r="E491" s="321">
        <v>107.15</v>
      </c>
      <c r="F491" s="249">
        <f t="shared" si="81"/>
        <v>87.899917965545526</v>
      </c>
      <c r="G491" s="249">
        <f>IFERROR(ROUNDUP(F491*'Customer Base'!$J$5,2),0)</f>
        <v>1467.93</v>
      </c>
      <c r="H491" s="249">
        <f t="shared" si="82"/>
        <v>87.899917965545526</v>
      </c>
      <c r="I491" s="249">
        <f>IFERROR(ROUNDUP(H491*'Customer Base'!$J$5,2),0)</f>
        <v>1467.93</v>
      </c>
      <c r="J491" s="103" t="str">
        <f t="shared" si="79"/>
        <v/>
      </c>
      <c r="L491" s="103" t="str">
        <f t="shared" si="80"/>
        <v/>
      </c>
      <c r="N491" s="103">
        <v>500</v>
      </c>
      <c r="O491" s="103" t="str">
        <f>IF('Customer Base'!$I$15="MANUAL",IF(B491&lt;&gt;"",C491,""),IF('Customer Base'!$I$15="AUTOMATE",IF(A491&lt;&gt;"",C491,""),""))</f>
        <v/>
      </c>
      <c r="AO491" s="103" t="str">
        <f>IF('Customer Base'!$I$15="MANUAL",IFERROR(AM491*B491,""),IF('Customer Base'!$I$15="AUTOMATE",IFERROR(AM491*A491,""),""))</f>
        <v/>
      </c>
    </row>
    <row r="492" spans="1:48">
      <c r="A492" s="103" t="str">
        <f>IF(AND(OR(AND('Customer Base'!E13="Phoenix",'Customer Base'!D13="Victron"),'Customer Base'!D$7="Grid-Tied"),'Customer Base'!D$9=3,'CABLE SIZING TOOL'!J$27&gt;500,'CABLE SIZING TOOL'!J$27&lt;=800),1,IF(AND('Customer Base'!D$9=3,'CABLE SIZING TOOL'!J$27&gt;500,'CABLE SIZING TOOL'!J$27&lt;=800),2,""))</f>
        <v/>
      </c>
      <c r="B492" s="270" t="s">
        <v>1</v>
      </c>
      <c r="C492" s="250" t="s">
        <v>2642</v>
      </c>
      <c r="D492" s="321">
        <v>107.15</v>
      </c>
      <c r="E492" s="321">
        <v>107.15</v>
      </c>
      <c r="F492" s="249">
        <f t="shared" si="81"/>
        <v>87.899917965545526</v>
      </c>
      <c r="G492" s="249">
        <f>IFERROR(ROUNDUP(F492*'Customer Base'!$J$5,2),0)</f>
        <v>1467.93</v>
      </c>
      <c r="H492" s="249">
        <f t="shared" si="82"/>
        <v>87.899917965545526</v>
      </c>
      <c r="I492" s="249">
        <f>IFERROR(ROUNDUP(H492*'Customer Base'!$J$5,2),0)</f>
        <v>1467.93</v>
      </c>
      <c r="J492" s="103" t="str">
        <f t="shared" si="79"/>
        <v/>
      </c>
      <c r="L492" s="103" t="str">
        <f t="shared" si="80"/>
        <v/>
      </c>
      <c r="N492" s="103">
        <v>501</v>
      </c>
      <c r="O492" s="103" t="str">
        <f>IF('Customer Base'!$I$15="MANUAL",IF(B492&lt;&gt;"",C492,""),IF('Customer Base'!$I$15="AUTOMATE",IF(A492&lt;&gt;"",C492,""),""))</f>
        <v/>
      </c>
      <c r="AO492" s="103" t="str">
        <f>IF('Customer Base'!$I$15="MANUAL",IFERROR(AM492*B492,""),IF('Customer Base'!$I$15="AUTOMATE",IFERROR(AM492*A492,""),""))</f>
        <v/>
      </c>
      <c r="AV492" s="103">
        <f t="shared" si="76"/>
        <v>0</v>
      </c>
    </row>
    <row r="493" spans="1:48">
      <c r="D493" s="319"/>
      <c r="E493" s="319"/>
      <c r="F493" s="224">
        <f>$D493/1.219</f>
        <v>0</v>
      </c>
      <c r="H493" s="224">
        <f>$E493/1.219</f>
        <v>0</v>
      </c>
      <c r="I493" s="224"/>
      <c r="J493" s="103" t="str">
        <f t="shared" si="79"/>
        <v/>
      </c>
      <c r="L493" s="103" t="str">
        <f t="shared" si="80"/>
        <v/>
      </c>
      <c r="N493" s="103">
        <v>502</v>
      </c>
      <c r="O493" s="103" t="str">
        <f>IF('Customer Base'!$I$15="MANUAL",IF(B493&lt;&gt;"",C493,""),IF('Customer Base'!$I$15="AUTOMATE",IF(A493&lt;&gt;"",C493,""),""))</f>
        <v/>
      </c>
      <c r="AO493" s="103">
        <f>IF('Customer Base'!$I$15="MANUAL",IFERROR(AM493*B493,""),IF('Customer Base'!$I$15="AUTOMATE",IFERROR(AM493*A493,""),""))</f>
        <v>0</v>
      </c>
      <c r="AV493" s="103">
        <f t="shared" si="76"/>
        <v>0</v>
      </c>
    </row>
    <row r="494" spans="1:48">
      <c r="A494" s="103">
        <f ca="1">IFERROR(ROUNDUP(IF(L1=0,"",L1)*1.5,0),"")</f>
        <v>3</v>
      </c>
      <c r="B494" s="270">
        <v>3</v>
      </c>
      <c r="C494" s="250" t="s">
        <v>944</v>
      </c>
      <c r="D494" s="321">
        <v>9.0299999999999994</v>
      </c>
      <c r="E494" s="321">
        <v>8.5050000000000008</v>
      </c>
      <c r="F494" s="249">
        <f>$D494/1.219</f>
        <v>7.4077112387202613</v>
      </c>
      <c r="G494" s="249">
        <f>IFERROR(ROUNDUP(F494*'Customer Base'!$J$5,2),0)</f>
        <v>123.71000000000001</v>
      </c>
      <c r="H494" s="249">
        <f>$E494/1.219</f>
        <v>6.9770303527481543</v>
      </c>
      <c r="I494" s="249">
        <f>IFERROR(ROUNDUP(H494*'Customer Base'!$J$5,2),0)</f>
        <v>116.52000000000001</v>
      </c>
      <c r="J494" s="103" t="str">
        <f t="shared" si="79"/>
        <v/>
      </c>
      <c r="L494" s="103" t="str">
        <f t="shared" si="80"/>
        <v/>
      </c>
      <c r="N494" s="103">
        <v>503</v>
      </c>
      <c r="O494" s="103" t="str">
        <f>IF('Customer Base'!$I$15="MANUAL",IF(B494&lt;&gt;"",C494,""),IF('Customer Base'!$I$15="AUTOMATE",IF(A494&lt;&gt;"",C494,""),""))</f>
        <v>Victron MC4 Solar connector pair MC4, 1x Male/1x Female</v>
      </c>
      <c r="AO494" s="103">
        <f>IF('Customer Base'!$I$15="MANUAL",IFERROR(AM494*B494,""),IF('Customer Base'!$I$15="AUTOMATE",IFERROR(AM494*A494,""),""))</f>
        <v>0</v>
      </c>
      <c r="AV494" s="103">
        <f t="shared" si="76"/>
        <v>0</v>
      </c>
    </row>
    <row r="495" spans="1:48">
      <c r="C495" s="250" t="s">
        <v>945</v>
      </c>
      <c r="D495" s="321">
        <v>26.18</v>
      </c>
      <c r="E495" s="321">
        <v>24.655999999999999</v>
      </c>
      <c r="F495" s="249">
        <f>$D495/1.219</f>
        <v>21.476620180475798</v>
      </c>
      <c r="G495" s="249">
        <f>IFERROR(ROUNDUP(F495*'Customer Base'!$J$5,2),0)</f>
        <v>358.65999999999997</v>
      </c>
      <c r="H495" s="249">
        <f>$E495/1.219</f>
        <v>20.226415094339622</v>
      </c>
      <c r="I495" s="249">
        <f>IFERROR(ROUNDUP(H495*'Customer Base'!$J$5,2),0)</f>
        <v>337.78999999999996</v>
      </c>
      <c r="J495" s="103" t="str">
        <f t="shared" si="79"/>
        <v/>
      </c>
      <c r="L495" s="103" t="str">
        <f t="shared" si="80"/>
        <v/>
      </c>
      <c r="N495" s="103">
        <v>504</v>
      </c>
      <c r="O495" s="103" t="str">
        <f>IF('Customer Base'!$I$15="MANUAL",IF(B495&lt;&gt;"",C495,""),IF('Customer Base'!$I$15="AUTOMATE",IF(A495&lt;&gt;"",C495,""),""))</f>
        <v/>
      </c>
      <c r="AO495" s="103">
        <f>IF('Customer Base'!$I$15="MANUAL",IFERROR(AM495*B495,""),IF('Customer Base'!$I$15="AUTOMATE",IFERROR(AM495*A495,""),""))</f>
        <v>0</v>
      </c>
      <c r="AV495" s="103">
        <f t="shared" si="76"/>
        <v>0</v>
      </c>
    </row>
    <row r="496" spans="1:48">
      <c r="C496" s="250" t="s">
        <v>1940</v>
      </c>
      <c r="D496" s="321">
        <v>3.1</v>
      </c>
      <c r="E496" s="321">
        <v>2.9159999999999999</v>
      </c>
      <c r="F496" s="249">
        <f t="shared" ref="F496:F497" si="83">$D496/1.219</f>
        <v>2.5430680885972108</v>
      </c>
      <c r="G496" s="249">
        <f>IFERROR(ROUNDUP(F496*'Customer Base'!$J$5,2),0)</f>
        <v>42.47</v>
      </c>
      <c r="H496" s="249">
        <f t="shared" ref="H496:H497" si="84">$E496/1.219</f>
        <v>2.3921246923707957</v>
      </c>
      <c r="I496" s="249">
        <f>IFERROR(ROUNDUP(H496*'Customer Base'!$J$5,2),0)</f>
        <v>39.949999999999996</v>
      </c>
      <c r="J496" s="103" t="str">
        <f t="shared" si="79"/>
        <v/>
      </c>
      <c r="L496" s="103" t="str">
        <f t="shared" si="80"/>
        <v/>
      </c>
      <c r="N496" s="103">
        <v>505</v>
      </c>
      <c r="O496" s="103" t="str">
        <f>IF('Customer Base'!$I$15="MANUAL",IF(B496&lt;&gt;"",C496,""),IF('Customer Base'!$I$15="AUTOMATE",IF(A496&lt;&gt;"",C496,""),""))</f>
        <v/>
      </c>
      <c r="AO496" s="103">
        <f>IF('Customer Base'!$I$15="MANUAL",IFERROR(AM496*B496,""),IF('Customer Base'!$I$15="AUTOMATE",IFERROR(AM496*A496,""),""))</f>
        <v>0</v>
      </c>
      <c r="AV496" s="103">
        <f t="shared" si="76"/>
        <v>0</v>
      </c>
    </row>
    <row r="497" spans="1:48">
      <c r="C497" s="250" t="s">
        <v>1941</v>
      </c>
      <c r="D497" s="321">
        <v>3.13</v>
      </c>
      <c r="E497" s="321">
        <v>2.948</v>
      </c>
      <c r="F497" s="249">
        <f t="shared" si="83"/>
        <v>2.5676784249384741</v>
      </c>
      <c r="G497" s="249">
        <f>IFERROR(ROUNDUP(F497*'Customer Base'!$J$5,2),0)</f>
        <v>42.89</v>
      </c>
      <c r="H497" s="249">
        <f t="shared" si="84"/>
        <v>2.4183757178014762</v>
      </c>
      <c r="I497" s="249">
        <f>IFERROR(ROUNDUP(H497*'Customer Base'!$J$5,2),0)</f>
        <v>40.39</v>
      </c>
      <c r="J497" s="103" t="str">
        <f t="shared" si="79"/>
        <v/>
      </c>
      <c r="L497" s="103" t="str">
        <f t="shared" si="80"/>
        <v/>
      </c>
      <c r="N497" s="103">
        <v>506</v>
      </c>
      <c r="O497" s="103" t="str">
        <f>IF('Customer Base'!$I$15="MANUAL",IF(B497&lt;&gt;"",C497,""),IF('Customer Base'!$I$15="AUTOMATE",IF(A497&lt;&gt;"",C497,""),""))</f>
        <v/>
      </c>
      <c r="AO497" s="103">
        <f>IF('Customer Base'!$I$15="MANUAL",IFERROR(AM497*B497,""),IF('Customer Base'!$I$15="AUTOMATE",IFERROR(AM497*A497,""),""))</f>
        <v>0</v>
      </c>
      <c r="AV497" s="103">
        <f t="shared" si="76"/>
        <v>0</v>
      </c>
    </row>
    <row r="498" spans="1:48">
      <c r="D498" s="319"/>
      <c r="E498" s="319"/>
      <c r="F498" s="224">
        <f t="shared" si="81"/>
        <v>0</v>
      </c>
      <c r="G498" s="224">
        <f>IFERROR(ROUNDUP(F498*'Customer Base'!$J$5,2),0)</f>
        <v>0</v>
      </c>
      <c r="H498" s="224">
        <f t="shared" si="82"/>
        <v>0</v>
      </c>
      <c r="I498" s="224">
        <f>IFERROR(ROUNDUP(H498*'Customer Base'!$J$5,2),0)</f>
        <v>0</v>
      </c>
      <c r="J498" s="103" t="str">
        <f t="shared" si="79"/>
        <v/>
      </c>
      <c r="L498" s="103" t="str">
        <f t="shared" si="80"/>
        <v/>
      </c>
      <c r="N498" s="103">
        <v>507</v>
      </c>
      <c r="O498" s="103" t="str">
        <f>IF('Customer Base'!$I$15="MANUAL",IF(B498&lt;&gt;"",C498,""),IF('Customer Base'!$I$15="AUTOMATE",IF(A498&lt;&gt;"",C498,""),""))</f>
        <v/>
      </c>
      <c r="AO498" s="103">
        <f>IF('Customer Base'!$I$15="MANUAL",IFERROR(AM498*B498,""),IF('Customer Base'!$I$15="AUTOMATE",IFERROR(AM498*A498,""),""))</f>
        <v>0</v>
      </c>
      <c r="AV498" s="103">
        <f t="shared" si="76"/>
        <v>0</v>
      </c>
    </row>
    <row r="499" spans="1:48">
      <c r="A499" s="103">
        <f>ROUNDUP('Customer Base'!D14/10,0)</f>
        <v>1</v>
      </c>
      <c r="B499" s="270">
        <v>1</v>
      </c>
      <c r="C499" s="343" t="s">
        <v>969</v>
      </c>
      <c r="D499" s="321">
        <v>16.949152542370001</v>
      </c>
      <c r="E499" s="321">
        <v>16.949152542370001</v>
      </c>
      <c r="F499" s="321">
        <f t="shared" si="81"/>
        <v>13.904144825570139</v>
      </c>
      <c r="G499" s="321">
        <f>IFERROR(ROUNDUP(F499*'Customer Base'!$J$5,2),0)</f>
        <v>232.2</v>
      </c>
      <c r="H499" s="321">
        <f t="shared" si="82"/>
        <v>13.904144825570139</v>
      </c>
      <c r="I499" s="321">
        <f>IFERROR(ROUNDUP(H499*'Customer Base'!$J$5,2),0)</f>
        <v>232.2</v>
      </c>
      <c r="J499" s="103" t="str">
        <f t="shared" si="79"/>
        <v/>
      </c>
      <c r="L499" s="103" t="str">
        <f t="shared" si="80"/>
        <v/>
      </c>
      <c r="N499" s="103">
        <v>508</v>
      </c>
      <c r="O499" s="103" t="str">
        <f>IF('Customer Base'!$I$15="MANUAL",IF(B499&lt;&gt;"",C499,""),IF('Customer Base'!$I$15="AUTOMATE",IF(A499&lt;&gt;"",C499,""),""))</f>
        <v>50x200mm Enclosure with Dinrail</v>
      </c>
      <c r="AO499" s="103">
        <f>IF('Customer Base'!$I$15="MANUAL",IFERROR(AM499*B499,""),IF('Customer Base'!$I$15="AUTOMATE",IFERROR(AM499*A499,""),""))</f>
        <v>0</v>
      </c>
      <c r="AV499" s="103">
        <f t="shared" si="76"/>
        <v>0</v>
      </c>
    </row>
    <row r="500" spans="1:48">
      <c r="C500" s="343" t="s">
        <v>1159</v>
      </c>
      <c r="D500" s="321">
        <v>150.77000000000001</v>
      </c>
      <c r="E500" s="321">
        <v>150.77000000000001</v>
      </c>
      <c r="F500" s="321">
        <f t="shared" si="81"/>
        <v>123.68334700574241</v>
      </c>
      <c r="G500" s="321">
        <f>IFERROR(ROUNDUP(F500*'Customer Base'!$J$5,2),0)</f>
        <v>2065.5200000000004</v>
      </c>
      <c r="H500" s="321">
        <f t="shared" si="82"/>
        <v>123.68334700574241</v>
      </c>
      <c r="I500" s="321">
        <f>IFERROR(ROUNDUP(H500*'Customer Base'!$J$5,2),0)</f>
        <v>2065.5200000000004</v>
      </c>
      <c r="J500" s="103" t="str">
        <f t="shared" si="79"/>
        <v/>
      </c>
      <c r="L500" s="103" t="str">
        <f t="shared" si="80"/>
        <v/>
      </c>
      <c r="N500" s="103">
        <v>509</v>
      </c>
      <c r="O500" s="103" t="str">
        <f>IF('Customer Base'!$I$15="MANUAL",IF(B500&lt;&gt;"",C500,""),IF('Customer Base'!$I$15="AUTOMATE",IF(A500&lt;&gt;"",C500,""),""))</f>
        <v/>
      </c>
      <c r="AO500" s="103">
        <f>IF('Customer Base'!$I$15="MANUAL",IFERROR(AM500*B500,""),IF('Customer Base'!$I$15="AUTOMATE",IFERROR(AM500*A500,""),""))</f>
        <v>0</v>
      </c>
      <c r="AV500" s="103">
        <f t="shared" si="76"/>
        <v>0</v>
      </c>
    </row>
    <row r="501" spans="1:48">
      <c r="D501" s="319"/>
      <c r="E501" s="319"/>
      <c r="F501" s="224">
        <f t="shared" si="81"/>
        <v>0</v>
      </c>
      <c r="G501" s="224">
        <f>IFERROR(ROUNDUP(F501*'Customer Base'!$J$5,2),0)</f>
        <v>0</v>
      </c>
      <c r="H501" s="224">
        <f t="shared" si="82"/>
        <v>0</v>
      </c>
      <c r="I501" s="224">
        <f>IFERROR(ROUNDUP(H501*'Customer Base'!$J$5,2),0)</f>
        <v>0</v>
      </c>
      <c r="J501" s="103" t="str">
        <f t="shared" si="79"/>
        <v/>
      </c>
      <c r="L501" s="103" t="str">
        <f t="shared" si="80"/>
        <v/>
      </c>
      <c r="N501" s="103">
        <v>510</v>
      </c>
      <c r="O501" s="103" t="str">
        <f>IF('Customer Base'!$I$15="MANUAL",IF(B501&lt;&gt;"",C501,""),IF('Customer Base'!$I$15="AUTOMATE",IF(A501&lt;&gt;"",C501,""),""))</f>
        <v/>
      </c>
      <c r="AO501" s="103">
        <f>IF('Customer Base'!$I$15="MANUAL",IFERROR(AM501*B501,""),IF('Customer Base'!$I$15="AUTOMATE",IFERROR(AM501*A501,""),""))</f>
        <v>0</v>
      </c>
      <c r="AV501" s="103">
        <f t="shared" si="76"/>
        <v>0</v>
      </c>
    </row>
    <row r="502" spans="1:48">
      <c r="A502" s="103" t="str">
        <f>IF(OR('Customer Base'!D7="Grid-Tied",'Customer Base'!D7="Mini-Grid"),1,"")</f>
        <v/>
      </c>
      <c r="B502" s="270" t="s">
        <v>1</v>
      </c>
      <c r="C502" s="250" t="s">
        <v>1852</v>
      </c>
      <c r="D502" s="321">
        <v>120</v>
      </c>
      <c r="E502" s="321">
        <v>120</v>
      </c>
      <c r="F502" s="249">
        <f t="shared" si="81"/>
        <v>98.441345365053309</v>
      </c>
      <c r="G502" s="249">
        <f>IFERROR(ROUNDUP(F502*'Customer Base'!$J$5,2),0)</f>
        <v>1643.98</v>
      </c>
      <c r="H502" s="249">
        <f t="shared" si="82"/>
        <v>98.441345365053309</v>
      </c>
      <c r="I502" s="249">
        <f>IFERROR(ROUNDUP(H502*'Customer Base'!$J$5,2),0)</f>
        <v>1643.98</v>
      </c>
      <c r="J502" s="103" t="str">
        <f t="shared" si="79"/>
        <v/>
      </c>
      <c r="L502" s="103" t="str">
        <f t="shared" si="80"/>
        <v/>
      </c>
      <c r="N502" s="103">
        <v>511</v>
      </c>
      <c r="O502" s="103" t="str">
        <f>IF('Customer Base'!$I$15="MANUAL",IF(B502&lt;&gt;"",C502,""),IF('Customer Base'!$I$15="AUTOMATE",IF(A502&lt;&gt;"",C502,""),""))</f>
        <v/>
      </c>
      <c r="AO502" s="103" t="str">
        <f>IF('Customer Base'!$I$15="MANUAL",IFERROR(AM502*B502,""),IF('Customer Base'!$I$15="AUTOMATE",IFERROR(AM502*A502,""),""))</f>
        <v/>
      </c>
      <c r="AV502" s="103">
        <f t="shared" si="76"/>
        <v>0</v>
      </c>
    </row>
    <row r="503" spans="1:48">
      <c r="D503" s="319"/>
      <c r="E503" s="319"/>
      <c r="I503" s="224"/>
      <c r="J503" s="103" t="str">
        <f t="shared" si="79"/>
        <v/>
      </c>
      <c r="L503" s="103" t="str">
        <f t="shared" si="80"/>
        <v/>
      </c>
      <c r="N503" s="103">
        <v>512</v>
      </c>
      <c r="O503" s="103" t="str">
        <f>IF('Customer Base'!$I$15="MANUAL",IF(B503&lt;&gt;"",C503,""),IF('Customer Base'!$I$15="AUTOMATE",IF(A503&lt;&gt;"",C503,""),""))</f>
        <v/>
      </c>
      <c r="AO503" s="103">
        <f>IF('Customer Base'!$I$15="MANUAL",IFERROR(AM503*B503,""),IF('Customer Base'!$I$15="AUTOMATE",IFERROR(AM503*A503,""),""))</f>
        <v>0</v>
      </c>
      <c r="AV503" s="103">
        <f t="shared" si="76"/>
        <v>0</v>
      </c>
    </row>
    <row r="504" spans="1:48">
      <c r="C504" s="232" t="s">
        <v>1893</v>
      </c>
      <c r="D504" s="320"/>
      <c r="E504" s="320"/>
      <c r="F504" s="234"/>
      <c r="G504" s="234">
        <f>IFERROR(ROUNDUP(F504*'Customer Base'!$J$5,2),0)</f>
        <v>0</v>
      </c>
      <c r="H504" s="234"/>
      <c r="I504" s="234">
        <f>IFERROR(ROUNDUP(H504*'Customer Base'!$J$5,2),0)</f>
        <v>0</v>
      </c>
      <c r="J504" s="103" t="str">
        <f t="shared" si="79"/>
        <v/>
      </c>
      <c r="L504" s="103" t="str">
        <f t="shared" si="80"/>
        <v/>
      </c>
      <c r="N504" s="103">
        <v>513</v>
      </c>
      <c r="O504" s="103" t="str">
        <f>IF('Customer Base'!$I$15="MANUAL",IF(B504&lt;&gt;"",C504,""),IF('Customer Base'!$I$15="AUTOMATE",IF(A504&lt;&gt;"",C504,""),""))</f>
        <v/>
      </c>
      <c r="AO504" s="103">
        <f>IF('Customer Base'!$I$15="MANUAL",IFERROR(AM504*B504,""),IF('Customer Base'!$I$15="AUTOMATE",IFERROR(AM504*A504,""),""))</f>
        <v>0</v>
      </c>
      <c r="AV504" s="103">
        <f t="shared" si="76"/>
        <v>0</v>
      </c>
    </row>
    <row r="505" spans="1:48">
      <c r="A505" s="103">
        <f>IF(AND('Customer Base'!D$36="Roof Mount",'Customer Base'!D$7&lt;&gt;"Backup"),MROUND((SUM(A$242:A$254)/4),0.5),"")</f>
        <v>2.5</v>
      </c>
      <c r="B505" s="270">
        <v>2.5</v>
      </c>
      <c r="C505" s="237" t="s">
        <v>1851</v>
      </c>
      <c r="D505" s="267">
        <v>86</v>
      </c>
      <c r="E505" s="267">
        <v>81</v>
      </c>
      <c r="F505" s="238">
        <f>$D505/1.219</f>
        <v>70.549630844954876</v>
      </c>
      <c r="G505" s="238">
        <f>IFERROR(ROUNDUP(F505*'Customer Base'!$J$5,2),0)</f>
        <v>1178.18</v>
      </c>
      <c r="H505" s="238">
        <f>$E505/1.219</f>
        <v>66.44790812141099</v>
      </c>
      <c r="I505" s="238">
        <f>IFERROR(ROUNDUP(H505*'Customer Base'!$J$5,2),0)</f>
        <v>1109.69</v>
      </c>
      <c r="J505" s="103" t="str">
        <f t="shared" si="79"/>
        <v/>
      </c>
      <c r="L505" s="103" t="str">
        <f t="shared" si="80"/>
        <v/>
      </c>
      <c r="N505" s="103">
        <v>514</v>
      </c>
      <c r="O505" s="103" t="str">
        <f>IF('Customer Base'!$I$15="MANUAL",IF(B505&lt;&gt;"",C505,""),IF('Customer Base'!$I$15="AUTOMATE",IF(A505&lt;&gt;"",C505,""),""))</f>
        <v>Mounting Structure for Metal/ Tile Roof (per set of 4 panels) - 4.64 meter</v>
      </c>
      <c r="AO505" s="103">
        <f>IF('Customer Base'!$I$15="MANUAL",IFERROR(AM505*B505,""),IF('Customer Base'!$I$15="AUTOMATE",IFERROR(AM505*A505,""),""))</f>
        <v>0</v>
      </c>
      <c r="AV505" s="103">
        <f t="shared" ref="AV505:AV543" si="85">IF(AU505&lt;&gt;"",AU505,AT505)</f>
        <v>0</v>
      </c>
    </row>
    <row r="506" spans="1:48">
      <c r="A506" s="103" t="str">
        <f>IF('Customer Base'!D$36="Ground Mount",ROUNDUP(SUM(A242:A254)/10,0),"")</f>
        <v/>
      </c>
      <c r="B506" s="270" t="s">
        <v>1</v>
      </c>
      <c r="C506" s="237" t="s">
        <v>2749</v>
      </c>
      <c r="D506" s="267">
        <v>473</v>
      </c>
      <c r="E506" s="267">
        <v>445.5</v>
      </c>
      <c r="F506" s="238">
        <f>$D506/1.219</f>
        <v>388.02296964725184</v>
      </c>
      <c r="G506" s="238">
        <f>IFERROR(ROUNDUP(F506*'Customer Base'!$J$5,2),0)</f>
        <v>6479.99</v>
      </c>
      <c r="H506" s="238">
        <f>$E506/1.219</f>
        <v>365.46349466776041</v>
      </c>
      <c r="I506" s="238">
        <f>IFERROR(ROUNDUP(H506*'Customer Base'!$J$5,2),0)</f>
        <v>6103.25</v>
      </c>
      <c r="J506" s="103" t="str">
        <f t="shared" si="79"/>
        <v/>
      </c>
      <c r="L506" s="103" t="str">
        <f t="shared" si="80"/>
        <v/>
      </c>
      <c r="N506" s="103">
        <v>515</v>
      </c>
      <c r="O506" s="103" t="str">
        <f>IF('Customer Base'!$I$15="MANUAL",IF(B506&lt;&gt;"",C506,""),IF('Customer Base'!$I$15="AUTOMATE",IF(A506&lt;&gt;"",C506,""),""))</f>
        <v/>
      </c>
      <c r="AO506" s="103" t="str">
        <f>IF('Customer Base'!$I$15="MANUAL",IFERROR(AM506*B506,""),IF('Customer Base'!$I$15="AUTOMATE",IFERROR(AM506*A506,""),""))</f>
        <v/>
      </c>
      <c r="AV506" s="103">
        <f t="shared" si="85"/>
        <v>0</v>
      </c>
    </row>
    <row r="507" spans="1:48">
      <c r="A507" s="103" t="str">
        <f>IF('Customer Base'!D$36="Carport",ROUNDUP('Customer Base'!J$9,0),"")</f>
        <v/>
      </c>
      <c r="B507" s="270" t="s">
        <v>1</v>
      </c>
      <c r="C507" s="237" t="s">
        <v>1707</v>
      </c>
      <c r="D507" s="267">
        <v>490.2</v>
      </c>
      <c r="E507" s="267">
        <v>461.7</v>
      </c>
      <c r="F507" s="238">
        <f t="shared" ref="F507" si="86">$D507/1.219</f>
        <v>402.13289581624281</v>
      </c>
      <c r="G507" s="238">
        <f>IFERROR(ROUNDUP(F507*'Customer Base'!$J$5,2),0)</f>
        <v>6715.62</v>
      </c>
      <c r="H507" s="238">
        <f t="shared" ref="H507" si="87">$E507/1.219</f>
        <v>378.75307629204264</v>
      </c>
      <c r="I507" s="238">
        <f>IFERROR(ROUNDUP(H507*'Customer Base'!$J$5,2),0)</f>
        <v>6325.18</v>
      </c>
      <c r="J507" s="103" t="str">
        <f t="shared" si="79"/>
        <v/>
      </c>
      <c r="L507" s="103" t="str">
        <f t="shared" si="80"/>
        <v/>
      </c>
      <c r="N507" s="103">
        <v>516</v>
      </c>
      <c r="O507" s="103" t="str">
        <f>IF('Customer Base'!$I$15="MANUAL",IF(B507&lt;&gt;"",C507,""),IF('Customer Base'!$I$15="AUTOMATE",IF(A507&lt;&gt;"",C507,""),""))</f>
        <v/>
      </c>
      <c r="AO507" s="103" t="str">
        <f>IF('Customer Base'!$I$15="MANUAL",IFERROR(AM507*B507,""),IF('Customer Base'!$I$15="AUTOMATE",IFERROR(AM507*A507,""),""))</f>
        <v/>
      </c>
      <c r="AV507" s="103">
        <f t="shared" si="85"/>
        <v>0</v>
      </c>
    </row>
    <row r="508" spans="1:48">
      <c r="D508" s="319"/>
      <c r="E508" s="319"/>
      <c r="G508" s="224">
        <f>IFERROR(ROUNDUP(F508*'Customer Base'!$J$5,2),0)</f>
        <v>0</v>
      </c>
      <c r="I508" s="224">
        <f>IFERROR(ROUNDUP(H508*'Customer Base'!$J$5,2),0)</f>
        <v>0</v>
      </c>
      <c r="J508" s="103" t="str">
        <f t="shared" si="79"/>
        <v/>
      </c>
      <c r="L508" s="103" t="str">
        <f t="shared" si="80"/>
        <v/>
      </c>
      <c r="N508" s="103">
        <v>517</v>
      </c>
      <c r="O508" s="103" t="str">
        <f>IF('Customer Base'!$I$15="MANUAL",IF(B508&lt;&gt;"",C508,""),IF('Customer Base'!$I$15="AUTOMATE",IF(A508&lt;&gt;"",C508,""),""))</f>
        <v/>
      </c>
      <c r="AO508" s="103">
        <f>IF('Customer Base'!$I$15="MANUAL",IFERROR(AM508*B508,""),IF('Customer Base'!$I$15="AUTOMATE",IFERROR(AM508*A508,""),""))</f>
        <v>0</v>
      </c>
      <c r="AV508" s="103">
        <f t="shared" si="85"/>
        <v>0</v>
      </c>
    </row>
    <row r="509" spans="1:48">
      <c r="A509" s="103" t="str">
        <f>IF('Customer Base'!D$36="Ground Mount",1,"")</f>
        <v/>
      </c>
      <c r="B509" s="270" t="s">
        <v>1</v>
      </c>
      <c r="C509" s="237" t="s">
        <v>1271</v>
      </c>
      <c r="D509" s="238">
        <f>IF(F509="",IF(G509&lt;&gt;"",ROUNDUP(G509*1.219/'Customer Base'!$J$5,1),""),ROUNDUP(F509*1.219,1))</f>
        <v>86.8</v>
      </c>
      <c r="E509" s="238">
        <f>IF(H509="",IF(I509&lt;&gt;"",ROUNDUP(I509*1.219/'Customer Base'!$J$5,1),""),ROUNDUP(H509*1.219,1))</f>
        <v>86.8</v>
      </c>
      <c r="F509" s="238">
        <f>'Customer Base'!$J$9*14</f>
        <v>71.189999999999984</v>
      </c>
      <c r="G509" s="238">
        <f>IFERROR(ROUNDUP(F509*'Customer Base'!$J$5,2),0)</f>
        <v>1188.8799999999999</v>
      </c>
      <c r="H509" s="238">
        <f>'Customer Base'!$J$9*14</f>
        <v>71.189999999999984</v>
      </c>
      <c r="I509" s="238">
        <f>IFERROR(ROUNDUP(H509*'Customer Base'!$J$5,2),0)</f>
        <v>1188.8799999999999</v>
      </c>
      <c r="J509" s="103" t="str">
        <f t="shared" si="79"/>
        <v/>
      </c>
      <c r="L509" s="103" t="str">
        <f t="shared" si="80"/>
        <v/>
      </c>
      <c r="N509" s="103">
        <v>518</v>
      </c>
      <c r="O509" s="103" t="str">
        <f>IF('Customer Base'!$I$15="MANUAL",IF(B509&lt;&gt;"",C509,""),IF('Customer Base'!$I$15="AUTOMATE",IF(A509&lt;&gt;"",C509,""),""))</f>
        <v/>
      </c>
      <c r="AO509" s="103" t="str">
        <f>IF('Customer Base'!$I$15="MANUAL",IFERROR(AM509*B509,""),IF('Customer Base'!$I$15="AUTOMATE",IFERROR(AM509*A509,""),""))</f>
        <v/>
      </c>
      <c r="AV509" s="103">
        <f t="shared" si="85"/>
        <v>0</v>
      </c>
    </row>
    <row r="510" spans="1:48">
      <c r="A510" s="103" t="str">
        <f>IF('Customer Base'!D$36="Carport",1,"")</f>
        <v/>
      </c>
      <c r="B510" s="270" t="s">
        <v>1</v>
      </c>
      <c r="C510" s="237" t="s">
        <v>1358</v>
      </c>
      <c r="D510" s="238">
        <f>IF(F510="",IF(G510&lt;&gt;"",ROUNDUP(G510*1.219/'Customer Base'!$J$5,1),""),ROUNDUP(F510*1.219,1))</f>
        <v>86.8</v>
      </c>
      <c r="E510" s="238">
        <f>IF(H510="",IF(I510&lt;&gt;"",ROUNDUP(I510*1.219/'Customer Base'!$J$5,1),""),ROUNDUP(H510*1.219,1))</f>
        <v>86.8</v>
      </c>
      <c r="F510" s="238">
        <f>'Customer Base'!$J$9*14</f>
        <v>71.189999999999984</v>
      </c>
      <c r="G510" s="238">
        <f>IFERROR(ROUNDUP(F510*'Customer Base'!$J$5,2),0)</f>
        <v>1188.8799999999999</v>
      </c>
      <c r="H510" s="238">
        <f>'Customer Base'!$J$9*14</f>
        <v>71.189999999999984</v>
      </c>
      <c r="I510" s="238">
        <f>IFERROR(ROUNDUP(H510*'Customer Base'!$J$5,2),0)</f>
        <v>1188.8799999999999</v>
      </c>
      <c r="J510" s="103" t="str">
        <f t="shared" si="79"/>
        <v/>
      </c>
      <c r="L510" s="103" t="str">
        <f t="shared" si="80"/>
        <v/>
      </c>
      <c r="N510" s="103">
        <v>519</v>
      </c>
      <c r="O510" s="103" t="str">
        <f>IF('Customer Base'!$I$15="MANUAL",IF(B510&lt;&gt;"",C510,""),IF('Customer Base'!$I$15="AUTOMATE",IF(A510&lt;&gt;"",C510,""),""))</f>
        <v/>
      </c>
      <c r="AO510" s="103" t="str">
        <f>IF('Customer Base'!$I$15="MANUAL",IFERROR(AM510*B510,""),IF('Customer Base'!$I$15="AUTOMATE",IFERROR(AM510*A510,""),""))</f>
        <v/>
      </c>
      <c r="AV510" s="103">
        <f t="shared" si="85"/>
        <v>0</v>
      </c>
    </row>
    <row r="511" spans="1:48">
      <c r="D511" s="319"/>
      <c r="E511" s="319"/>
      <c r="I511" s="224"/>
      <c r="J511" s="103" t="str">
        <f t="shared" si="79"/>
        <v/>
      </c>
      <c r="L511" s="103" t="str">
        <f t="shared" si="80"/>
        <v/>
      </c>
      <c r="N511" s="103">
        <v>520</v>
      </c>
      <c r="O511" s="103" t="str">
        <f>IF('Customer Base'!$I$15="MANUAL",IF(B511&lt;&gt;"",C511,""),IF('Customer Base'!$I$15="AUTOMATE",IF(A511&lt;&gt;"",C511,""),""))</f>
        <v/>
      </c>
      <c r="AO511" s="103">
        <f>IF('Customer Base'!$I$15="MANUAL",IFERROR(AM511*B511,""),IF('Customer Base'!$I$15="AUTOMATE",IFERROR(AM511*A511,""),""))</f>
        <v>0</v>
      </c>
      <c r="AV511" s="103">
        <f t="shared" si="85"/>
        <v>0</v>
      </c>
    </row>
    <row r="512" spans="1:48">
      <c r="C512" s="232" t="s">
        <v>1901</v>
      </c>
      <c r="D512" s="320"/>
      <c r="E512" s="320"/>
      <c r="F512" s="234"/>
      <c r="G512" s="234">
        <f>IFERROR(ROUNDUP(F512*'Customer Base'!$J$5,2),0)</f>
        <v>0</v>
      </c>
      <c r="H512" s="234"/>
      <c r="I512" s="234">
        <f>IFERROR(ROUNDUP(H512*'Customer Base'!$J$5,2),0)</f>
        <v>0</v>
      </c>
      <c r="J512" s="103" t="str">
        <f t="shared" si="79"/>
        <v/>
      </c>
      <c r="L512" s="103" t="str">
        <f t="shared" si="80"/>
        <v/>
      </c>
      <c r="N512" s="103">
        <v>521</v>
      </c>
      <c r="O512" s="103" t="str">
        <f>IF('Customer Base'!$I$15="MANUAL",IF(B512&lt;&gt;"",C512,""),IF('Customer Base'!$I$15="AUTOMATE",IF(A512&lt;&gt;"",C512,""),""))</f>
        <v/>
      </c>
      <c r="AO512" s="103">
        <f>IF('Customer Base'!$I$15="MANUAL",IFERROR(AM512*B512,""),IF('Customer Base'!$I$15="AUTOMATE",IFERROR(AM512*A512,""),""))</f>
        <v>0</v>
      </c>
      <c r="AV512" s="103">
        <f t="shared" si="85"/>
        <v>0</v>
      </c>
    </row>
    <row r="513" spans="3:48">
      <c r="C513" s="253" t="s">
        <v>1751</v>
      </c>
      <c r="D513" s="325">
        <v>309.60000000000002</v>
      </c>
      <c r="E513" s="325">
        <v>291.60000000000002</v>
      </c>
      <c r="F513" s="255">
        <f>$D513/1.219</f>
        <v>253.97867104183757</v>
      </c>
      <c r="G513" s="255">
        <f>IFERROR(ROUNDUP(F513*'Customer Base'!$J$5,2),0)</f>
        <v>4241.45</v>
      </c>
      <c r="H513" s="255">
        <f>$E513/1.219</f>
        <v>239.21246923707957</v>
      </c>
      <c r="I513" s="255">
        <f>IFERROR(ROUNDUP(H513*'Customer Base'!$J$5,2),0)</f>
        <v>3994.8500000000004</v>
      </c>
      <c r="J513" s="103" t="str">
        <f t="shared" si="79"/>
        <v/>
      </c>
      <c r="L513" s="103" t="str">
        <f t="shared" si="80"/>
        <v/>
      </c>
      <c r="N513" s="103">
        <v>522</v>
      </c>
      <c r="O513" s="103" t="str">
        <f>IF('Customer Base'!$I$15="MANUAL",IF(B513&lt;&gt;"",C513,""),IF('Customer Base'!$I$15="AUTOMATE",IF(A513&lt;&gt;"",C513,""),""))</f>
        <v/>
      </c>
      <c r="AO513" s="103">
        <f>IF('Customer Base'!$I$15="MANUAL",IFERROR(AM513*B513,""),IF('Customer Base'!$I$15="AUTOMATE",IFERROR(AM513*A513,""),""))</f>
        <v>0</v>
      </c>
      <c r="AV513" s="103">
        <f t="shared" si="85"/>
        <v>0</v>
      </c>
    </row>
    <row r="514" spans="3:48">
      <c r="C514" s="253" t="s">
        <v>1752</v>
      </c>
      <c r="D514" s="325">
        <v>361.2</v>
      </c>
      <c r="E514" s="325">
        <v>340.2</v>
      </c>
      <c r="F514" s="255">
        <f t="shared" ref="F514:F526" si="88">$D514/1.219</f>
        <v>296.30844954881047</v>
      </c>
      <c r="G514" s="255">
        <f>IFERROR(ROUNDUP(F514*'Customer Base'!$J$5,2),0)</f>
        <v>4948.3600000000006</v>
      </c>
      <c r="H514" s="255">
        <f t="shared" ref="H514:H526" si="89">$E514/1.219</f>
        <v>279.08121410992612</v>
      </c>
      <c r="I514" s="255">
        <f>IFERROR(ROUNDUP(H514*'Customer Base'!$J$5,2),0)</f>
        <v>4660.66</v>
      </c>
      <c r="J514" s="103" t="str">
        <f t="shared" si="79"/>
        <v/>
      </c>
      <c r="L514" s="103" t="str">
        <f t="shared" si="80"/>
        <v/>
      </c>
      <c r="N514" s="103">
        <v>523</v>
      </c>
      <c r="O514" s="103" t="str">
        <f>IF('Customer Base'!$I$15="MANUAL",IF(B514&lt;&gt;"",C514,""),IF('Customer Base'!$I$15="AUTOMATE",IF(A514&lt;&gt;"",C514,""),""))</f>
        <v/>
      </c>
      <c r="AO514" s="103">
        <f>IF('Customer Base'!$I$15="MANUAL",IFERROR(AM514*B514,""),IF('Customer Base'!$I$15="AUTOMATE",IFERROR(AM514*A514,""),""))</f>
        <v>0</v>
      </c>
      <c r="AV514" s="103">
        <f t="shared" si="85"/>
        <v>0</v>
      </c>
    </row>
    <row r="515" spans="3:48">
      <c r="C515" s="253" t="s">
        <v>1753</v>
      </c>
      <c r="D515" s="325">
        <v>395.6</v>
      </c>
      <c r="E515" s="325">
        <v>372.6</v>
      </c>
      <c r="F515" s="255">
        <f t="shared" si="88"/>
        <v>324.52830188679246</v>
      </c>
      <c r="G515" s="255">
        <f>IFERROR(ROUNDUP(F515*'Customer Base'!$J$5,2),0)</f>
        <v>5419.63</v>
      </c>
      <c r="H515" s="255">
        <f t="shared" si="89"/>
        <v>305.66037735849056</v>
      </c>
      <c r="I515" s="255">
        <f>IFERROR(ROUNDUP(H515*'Customer Base'!$J$5,2),0)</f>
        <v>5104.5300000000007</v>
      </c>
      <c r="J515" s="103" t="str">
        <f t="shared" si="79"/>
        <v/>
      </c>
      <c r="L515" s="103" t="str">
        <f t="shared" si="80"/>
        <v/>
      </c>
      <c r="N515" s="103">
        <v>524</v>
      </c>
      <c r="O515" s="103" t="str">
        <f>IF('Customer Base'!$I$15="MANUAL",IF(B515&lt;&gt;"",C515,""),IF('Customer Base'!$I$15="AUTOMATE",IF(A515&lt;&gt;"",C515,""),""))</f>
        <v/>
      </c>
      <c r="AO515" s="103">
        <f>IF('Customer Base'!$I$15="MANUAL",IFERROR(AM515*B515,""),IF('Customer Base'!$I$15="AUTOMATE",IFERROR(AM515*A515,""),""))</f>
        <v>0</v>
      </c>
      <c r="AV515" s="103">
        <f t="shared" si="85"/>
        <v>0</v>
      </c>
    </row>
    <row r="516" spans="3:48">
      <c r="C516" s="253" t="s">
        <v>1754</v>
      </c>
      <c r="D516" s="325">
        <v>636.4</v>
      </c>
      <c r="E516" s="325">
        <v>599.4</v>
      </c>
      <c r="F516" s="255">
        <f t="shared" si="88"/>
        <v>522.06726825266605</v>
      </c>
      <c r="G516" s="255">
        <f>IFERROR(ROUNDUP(F516*'Customer Base'!$J$5,2),0)</f>
        <v>8718.5300000000007</v>
      </c>
      <c r="H516" s="255">
        <f t="shared" si="89"/>
        <v>491.71452009844131</v>
      </c>
      <c r="I516" s="255">
        <f>IFERROR(ROUNDUP(H516*'Customer Base'!$J$5,2),0)</f>
        <v>8211.64</v>
      </c>
      <c r="J516" s="103" t="str">
        <f t="shared" si="79"/>
        <v/>
      </c>
      <c r="L516" s="103" t="str">
        <f t="shared" si="80"/>
        <v/>
      </c>
      <c r="N516" s="103">
        <v>525</v>
      </c>
      <c r="O516" s="103" t="str">
        <f>IF('Customer Base'!$I$15="MANUAL",IF(B516&lt;&gt;"",C516,""),IF('Customer Base'!$I$15="AUTOMATE",IF(A516&lt;&gt;"",C516,""),""))</f>
        <v/>
      </c>
      <c r="AO516" s="103">
        <f>IF('Customer Base'!$I$15="MANUAL",IFERROR(AM516*B516,""),IF('Customer Base'!$I$15="AUTOMATE",IFERROR(AM516*A516,""),""))</f>
        <v>0</v>
      </c>
      <c r="AV516" s="103">
        <f t="shared" si="85"/>
        <v>0</v>
      </c>
    </row>
    <row r="517" spans="3:48">
      <c r="C517" s="253" t="s">
        <v>1755</v>
      </c>
      <c r="D517" s="325">
        <v>481.6</v>
      </c>
      <c r="E517" s="325">
        <v>453.6</v>
      </c>
      <c r="F517" s="255">
        <f t="shared" si="88"/>
        <v>395.07793273174735</v>
      </c>
      <c r="G517" s="255">
        <f>IFERROR(ROUNDUP(F517*'Customer Base'!$J$5,2),0)</f>
        <v>6597.81</v>
      </c>
      <c r="H517" s="255">
        <f t="shared" si="89"/>
        <v>372.10828547990155</v>
      </c>
      <c r="I517" s="255">
        <f>IFERROR(ROUNDUP(H517*'Customer Base'!$J$5,2),0)</f>
        <v>6214.21</v>
      </c>
      <c r="J517" s="103" t="str">
        <f t="shared" si="79"/>
        <v/>
      </c>
      <c r="L517" s="103" t="str">
        <f t="shared" si="80"/>
        <v/>
      </c>
      <c r="N517" s="103">
        <v>526</v>
      </c>
      <c r="O517" s="103" t="str">
        <f>IF('Customer Base'!$I$15="MANUAL",IF(B517&lt;&gt;"",C517,""),IF('Customer Base'!$I$15="AUTOMATE",IF(A517&lt;&gt;"",C517,""),""))</f>
        <v/>
      </c>
      <c r="AO517" s="103">
        <f>IF('Customer Base'!$I$15="MANUAL",IFERROR(AM517*B517,""),IF('Customer Base'!$I$15="AUTOMATE",IFERROR(AM517*A517,""),""))</f>
        <v>0</v>
      </c>
      <c r="AV517" s="103">
        <f t="shared" si="85"/>
        <v>0</v>
      </c>
    </row>
    <row r="518" spans="3:48">
      <c r="C518" s="253" t="s">
        <v>1756</v>
      </c>
      <c r="D518" s="325">
        <v>834.2</v>
      </c>
      <c r="E518" s="325">
        <v>785.7</v>
      </c>
      <c r="F518" s="255">
        <f t="shared" si="88"/>
        <v>684.33141919606237</v>
      </c>
      <c r="G518" s="255">
        <f>IFERROR(ROUNDUP(F518*'Customer Base'!$J$5,2),0)</f>
        <v>11428.34</v>
      </c>
      <c r="H518" s="255">
        <f t="shared" si="89"/>
        <v>644.54470877768665</v>
      </c>
      <c r="I518" s="255">
        <f>IFERROR(ROUNDUP(H518*'Customer Base'!$J$5,2),0)</f>
        <v>10763.9</v>
      </c>
      <c r="J518" s="103" t="str">
        <f t="shared" si="79"/>
        <v/>
      </c>
      <c r="L518" s="103" t="str">
        <f t="shared" si="80"/>
        <v/>
      </c>
      <c r="N518" s="103">
        <v>527</v>
      </c>
      <c r="O518" s="103" t="str">
        <f>IF('Customer Base'!$I$15="MANUAL",IF(B518&lt;&gt;"",C518,""),IF('Customer Base'!$I$15="AUTOMATE",IF(A518&lt;&gt;"",C518,""),""))</f>
        <v/>
      </c>
      <c r="AO518" s="103">
        <f>IF('Customer Base'!$I$15="MANUAL",IFERROR(AM518*B518,""),IF('Customer Base'!$I$15="AUTOMATE",IFERROR(AM518*A518,""),""))</f>
        <v>0</v>
      </c>
      <c r="AV518" s="103">
        <f t="shared" si="85"/>
        <v>0</v>
      </c>
    </row>
    <row r="519" spans="3:48">
      <c r="D519" s="319"/>
      <c r="E519" s="319"/>
      <c r="F519" s="224">
        <f t="shared" si="88"/>
        <v>0</v>
      </c>
      <c r="G519" s="224">
        <f>IFERROR(ROUNDUP(F519*'Customer Base'!$J$5,2),0)</f>
        <v>0</v>
      </c>
      <c r="H519" s="224">
        <f t="shared" si="89"/>
        <v>0</v>
      </c>
      <c r="I519" s="224">
        <f>IFERROR(ROUNDUP(H519*'Customer Base'!$J$5,2),0)</f>
        <v>0</v>
      </c>
      <c r="J519" s="103" t="str">
        <f t="shared" si="79"/>
        <v/>
      </c>
      <c r="L519" s="103" t="str">
        <f t="shared" si="80"/>
        <v/>
      </c>
      <c r="N519" s="103">
        <v>528</v>
      </c>
      <c r="O519" s="103" t="str">
        <f>IF('Customer Base'!$I$15="MANUAL",IF(B519&lt;&gt;"",C519,""),IF('Customer Base'!$I$15="AUTOMATE",IF(A519&lt;&gt;"",C519,""),""))</f>
        <v/>
      </c>
      <c r="AO519" s="103">
        <f>IF('Customer Base'!$I$15="MANUAL",IFERROR(AM519*B519,""),IF('Customer Base'!$I$15="AUTOMATE",IFERROR(AM519*A519,""),""))</f>
        <v>0</v>
      </c>
      <c r="AV519" s="103">
        <f t="shared" si="85"/>
        <v>0</v>
      </c>
    </row>
    <row r="520" spans="3:48">
      <c r="C520" s="253" t="s">
        <v>1757</v>
      </c>
      <c r="D520" s="344">
        <f>ROUNDUP(0.15*SUMPRODUCT(D513:D518,$B513:$B518),2)</f>
        <v>0</v>
      </c>
      <c r="E520" s="344">
        <f>ROUNDUP(0.15*SUMPRODUCT(E513:E518,$B513:$B518),2)</f>
        <v>0</v>
      </c>
      <c r="F520" s="255">
        <f t="shared" si="88"/>
        <v>0</v>
      </c>
      <c r="G520" s="255">
        <f>IFERROR(ROUNDUP(F520*'Customer Base'!$J$5,2),0)</f>
        <v>0</v>
      </c>
      <c r="H520" s="255">
        <f t="shared" si="89"/>
        <v>0</v>
      </c>
      <c r="I520" s="255">
        <f>IFERROR(ROUNDUP(H520*'Customer Base'!$J$5,2),0)</f>
        <v>0</v>
      </c>
      <c r="J520" s="103" t="str">
        <f t="shared" si="79"/>
        <v/>
      </c>
      <c r="L520" s="103" t="str">
        <f t="shared" si="80"/>
        <v/>
      </c>
      <c r="N520" s="103">
        <v>529</v>
      </c>
      <c r="O520" s="103" t="str">
        <f>IF('Customer Base'!$I$15="MANUAL",IF(B520&lt;&gt;"",C520,""),IF('Customer Base'!$I$15="AUTOMATE",IF(A520&lt;&gt;"",C520,""),""))</f>
        <v/>
      </c>
      <c r="AO520" s="103">
        <f>IF('Customer Base'!$I$15="MANUAL",IFERROR(AM520*B520,""),IF('Customer Base'!$I$15="AUTOMATE",IFERROR(AM520*A520,""),""))</f>
        <v>0</v>
      </c>
      <c r="AV520" s="103">
        <f t="shared" si="85"/>
        <v>0</v>
      </c>
    </row>
    <row r="521" spans="3:48">
      <c r="D521" s="319"/>
      <c r="E521" s="319"/>
      <c r="F521" s="224">
        <f t="shared" si="88"/>
        <v>0</v>
      </c>
      <c r="G521" s="224">
        <f>IFERROR(ROUNDUP(F521*'Customer Base'!$J$5,2),0)</f>
        <v>0</v>
      </c>
      <c r="H521" s="224">
        <f t="shared" si="89"/>
        <v>0</v>
      </c>
      <c r="I521" s="224">
        <f>IFERROR(ROUNDUP(H521*'Customer Base'!$J$5,2),0)</f>
        <v>0</v>
      </c>
      <c r="J521" s="103" t="str">
        <f t="shared" si="79"/>
        <v/>
      </c>
      <c r="L521" s="103" t="str">
        <f t="shared" si="80"/>
        <v/>
      </c>
      <c r="N521" s="103">
        <v>530</v>
      </c>
      <c r="O521" s="103" t="str">
        <f>IF('Customer Base'!$I$15="MANUAL",IF(B521&lt;&gt;"",C521,""),IF('Customer Base'!$I$15="AUTOMATE",IF(A521&lt;&gt;"",C521,""),""))</f>
        <v/>
      </c>
      <c r="AO521" s="103">
        <f>IF('Customer Base'!$I$15="MANUAL",IFERROR(AM521*B521,""),IF('Customer Base'!$I$15="AUTOMATE",IFERROR(AM521*A521,""),""))</f>
        <v>0</v>
      </c>
      <c r="AV521" s="103">
        <f t="shared" si="85"/>
        <v>0</v>
      </c>
    </row>
    <row r="522" spans="3:48" ht="17">
      <c r="C522" s="345" t="s">
        <v>1746</v>
      </c>
      <c r="D522" s="325">
        <v>344</v>
      </c>
      <c r="E522" s="325">
        <v>324</v>
      </c>
      <c r="F522" s="255">
        <f t="shared" si="88"/>
        <v>282.19852337981951</v>
      </c>
      <c r="G522" s="255">
        <f>IFERROR(ROUNDUP(F522*'Customer Base'!$J$5,2),0)</f>
        <v>4712.72</v>
      </c>
      <c r="H522" s="255">
        <f t="shared" si="89"/>
        <v>265.79163248564396</v>
      </c>
      <c r="I522" s="255">
        <f>IFERROR(ROUNDUP(H522*'Customer Base'!$J$5,2),0)</f>
        <v>4438.7300000000005</v>
      </c>
      <c r="J522" s="103" t="str">
        <f t="shared" si="79"/>
        <v/>
      </c>
      <c r="L522" s="103" t="str">
        <f t="shared" si="80"/>
        <v/>
      </c>
      <c r="N522" s="103">
        <v>531</v>
      </c>
      <c r="O522" s="103" t="str">
        <f>IF('Customer Base'!$I$15="MANUAL",IF(B522&lt;&gt;"",C522,""),IF('Customer Base'!$I$15="AUTOMATE",IF(A522&lt;&gt;"",C522,""),""))</f>
        <v/>
      </c>
      <c r="AO522" s="103">
        <f>IF('Customer Base'!$I$15="MANUAL",IFERROR(AM522*B522,""),IF('Customer Base'!$I$15="AUTOMATE",IFERROR(AM522*A522,""),""))</f>
        <v>0</v>
      </c>
      <c r="AV522" s="103">
        <f t="shared" si="85"/>
        <v>0</v>
      </c>
    </row>
    <row r="523" spans="3:48" ht="17">
      <c r="C523" s="345" t="s">
        <v>1747</v>
      </c>
      <c r="D523" s="325">
        <v>481.6</v>
      </c>
      <c r="E523" s="325">
        <v>453.6</v>
      </c>
      <c r="F523" s="255">
        <f t="shared" si="88"/>
        <v>395.07793273174735</v>
      </c>
      <c r="G523" s="255">
        <f>IFERROR(ROUNDUP(F523*'Customer Base'!$J$5,2),0)</f>
        <v>6597.81</v>
      </c>
      <c r="H523" s="255">
        <f t="shared" si="89"/>
        <v>372.10828547990155</v>
      </c>
      <c r="I523" s="255">
        <f>IFERROR(ROUNDUP(H523*'Customer Base'!$J$5,2),0)</f>
        <v>6214.21</v>
      </c>
      <c r="J523" s="103" t="str">
        <f t="shared" si="79"/>
        <v/>
      </c>
      <c r="L523" s="103" t="str">
        <f t="shared" si="80"/>
        <v/>
      </c>
      <c r="N523" s="103">
        <v>532</v>
      </c>
      <c r="O523" s="103" t="str">
        <f>IF('Customer Base'!$I$15="MANUAL",IF(B523&lt;&gt;"",C523,""),IF('Customer Base'!$I$15="AUTOMATE",IF(A523&lt;&gt;"",C523,""),""))</f>
        <v/>
      </c>
      <c r="AO523" s="103">
        <f>IF('Customer Base'!$I$15="MANUAL",IFERROR(AM523*B523,""),IF('Customer Base'!$I$15="AUTOMATE",IFERROR(AM523*A523,""),""))</f>
        <v>0</v>
      </c>
      <c r="AV523" s="103">
        <f t="shared" si="85"/>
        <v>0</v>
      </c>
    </row>
    <row r="524" spans="3:48">
      <c r="C524" s="253" t="s">
        <v>1748</v>
      </c>
      <c r="D524" s="325">
        <v>524.6</v>
      </c>
      <c r="E524" s="325">
        <v>494.1</v>
      </c>
      <c r="F524" s="255">
        <f t="shared" si="88"/>
        <v>430.35274815422474</v>
      </c>
      <c r="G524" s="255">
        <f>IFERROR(ROUNDUP(F524*'Customer Base'!$J$5,2),0)</f>
        <v>7186.9000000000005</v>
      </c>
      <c r="H524" s="255">
        <f t="shared" si="89"/>
        <v>405.33223954060702</v>
      </c>
      <c r="I524" s="255">
        <f>IFERROR(ROUNDUP(H524*'Customer Base'!$J$5,2),0)</f>
        <v>6769.05</v>
      </c>
      <c r="J524" s="103" t="str">
        <f t="shared" si="79"/>
        <v/>
      </c>
      <c r="L524" s="103" t="str">
        <f t="shared" si="80"/>
        <v/>
      </c>
      <c r="N524" s="103">
        <v>533</v>
      </c>
      <c r="O524" s="103" t="str">
        <f>IF('Customer Base'!$I$15="MANUAL",IF(B524&lt;&gt;"",C524,""),IF('Customer Base'!$I$15="AUTOMATE",IF(A524&lt;&gt;"",C524,""),""))</f>
        <v/>
      </c>
      <c r="AO524" s="103">
        <f>IF('Customer Base'!$I$15="MANUAL",IFERROR(AM524*B524,""),IF('Customer Base'!$I$15="AUTOMATE",IFERROR(AM524*A524,""),""))</f>
        <v>0</v>
      </c>
      <c r="AV524" s="103">
        <f t="shared" si="85"/>
        <v>0</v>
      </c>
    </row>
    <row r="525" spans="3:48">
      <c r="C525" s="253" t="s">
        <v>1749</v>
      </c>
      <c r="D525" s="325">
        <v>645</v>
      </c>
      <c r="E525" s="325">
        <v>607.5</v>
      </c>
      <c r="F525" s="255">
        <f t="shared" si="88"/>
        <v>529.12223133716157</v>
      </c>
      <c r="G525" s="255">
        <f>IFERROR(ROUNDUP(F525*'Customer Base'!$J$5,2),0)</f>
        <v>8836.35</v>
      </c>
      <c r="H525" s="255">
        <f t="shared" si="89"/>
        <v>498.35931091058239</v>
      </c>
      <c r="I525" s="255">
        <f>IFERROR(ROUNDUP(H525*'Customer Base'!$J$5,2),0)</f>
        <v>8322.61</v>
      </c>
      <c r="J525" s="103" t="str">
        <f t="shared" si="79"/>
        <v/>
      </c>
      <c r="L525" s="103" t="str">
        <f t="shared" si="80"/>
        <v/>
      </c>
      <c r="N525" s="103">
        <v>534</v>
      </c>
      <c r="O525" s="103" t="str">
        <f>IF('Customer Base'!$I$15="MANUAL",IF(B525&lt;&gt;"",C525,""),IF('Customer Base'!$I$15="AUTOMATE",IF(A525&lt;&gt;"",C525,""),""))</f>
        <v/>
      </c>
      <c r="AO525" s="103">
        <f>IF('Customer Base'!$I$15="MANUAL",IFERROR(AM525*B525,""),IF('Customer Base'!$I$15="AUTOMATE",IFERROR(AM525*A525,""),""))</f>
        <v>0</v>
      </c>
      <c r="AV525" s="103">
        <f t="shared" si="85"/>
        <v>0</v>
      </c>
    </row>
    <row r="526" spans="3:48" ht="17">
      <c r="C526" s="345" t="s">
        <v>1750</v>
      </c>
      <c r="D526" s="325">
        <v>722.4</v>
      </c>
      <c r="E526" s="325">
        <v>680.4</v>
      </c>
      <c r="F526" s="255">
        <f t="shared" si="88"/>
        <v>592.61689909762094</v>
      </c>
      <c r="G526" s="255">
        <f>IFERROR(ROUNDUP(F526*'Customer Base'!$J$5,2),0)</f>
        <v>9896.7100000000009</v>
      </c>
      <c r="H526" s="255">
        <f t="shared" si="89"/>
        <v>558.16242821985225</v>
      </c>
      <c r="I526" s="255">
        <f>IFERROR(ROUNDUP(H526*'Customer Base'!$J$5,2),0)</f>
        <v>9321.32</v>
      </c>
      <c r="J526" s="103" t="str">
        <f t="shared" si="79"/>
        <v/>
      </c>
      <c r="L526" s="103" t="str">
        <f t="shared" si="80"/>
        <v/>
      </c>
      <c r="N526" s="103">
        <v>535</v>
      </c>
      <c r="O526" s="103" t="str">
        <f>IF('Customer Base'!$I$15="MANUAL",IF(B526&lt;&gt;"",C526,""),IF('Customer Base'!$I$15="AUTOMATE",IF(A526&lt;&gt;"",C526,""),""))</f>
        <v/>
      </c>
      <c r="AO526" s="103">
        <f>IF('Customer Base'!$I$15="MANUAL",IFERROR(AM526*B526,""),IF('Customer Base'!$I$15="AUTOMATE",IFERROR(AM526*A526,""),""))</f>
        <v>0</v>
      </c>
      <c r="AV526" s="103">
        <f t="shared" si="85"/>
        <v>0</v>
      </c>
    </row>
    <row r="527" spans="3:48">
      <c r="D527" s="319"/>
      <c r="E527" s="319"/>
      <c r="F527" s="224">
        <f>$D527/1.219</f>
        <v>0</v>
      </c>
      <c r="G527" s="224">
        <f>IFERROR(ROUNDUP(F527*'Customer Base'!$J$5,2),0)</f>
        <v>0</v>
      </c>
      <c r="H527" s="224">
        <f>$E527/1.219</f>
        <v>0</v>
      </c>
      <c r="I527" s="224"/>
      <c r="J527" s="103" t="str">
        <f t="shared" si="79"/>
        <v/>
      </c>
      <c r="L527" s="103" t="str">
        <f t="shared" si="80"/>
        <v/>
      </c>
      <c r="N527" s="103">
        <v>536</v>
      </c>
      <c r="O527" s="103" t="str">
        <f>IF('Customer Base'!$I$15="MANUAL",IF(B527&lt;&gt;"",C527,""),IF('Customer Base'!$I$15="AUTOMATE",IF(A527&lt;&gt;"",C527,""),""))</f>
        <v/>
      </c>
      <c r="AO527" s="103">
        <f>IF('Customer Base'!$I$15="MANUAL",IFERROR(AM527*B527,""),IF('Customer Base'!$I$15="AUTOMATE",IFERROR(AM527*A527,""),""))</f>
        <v>0</v>
      </c>
      <c r="AV527" s="103">
        <f t="shared" si="85"/>
        <v>0</v>
      </c>
    </row>
    <row r="528" spans="3:48">
      <c r="C528" s="232" t="s">
        <v>1892</v>
      </c>
      <c r="D528" s="320"/>
      <c r="E528" s="320"/>
      <c r="F528" s="234"/>
      <c r="G528" s="234"/>
      <c r="H528" s="234"/>
      <c r="I528" s="234"/>
      <c r="J528" s="103" t="str">
        <f t="shared" si="79"/>
        <v/>
      </c>
      <c r="L528" s="103" t="str">
        <f t="shared" si="80"/>
        <v/>
      </c>
      <c r="N528" s="103">
        <v>537</v>
      </c>
      <c r="O528" s="103" t="str">
        <f>IF('Customer Base'!$I$15="MANUAL",IF(B528&lt;&gt;"",C528,""),IF('Customer Base'!$I$15="AUTOMATE",IF(A528&lt;&gt;"",C528,""),""))</f>
        <v/>
      </c>
      <c r="AO528" s="103">
        <f>IF('Customer Base'!$I$15="MANUAL",IFERROR(AM528*B528,""),IF('Customer Base'!$I$15="AUTOMATE",IFERROR(AM528*A528,""),""))</f>
        <v>0</v>
      </c>
      <c r="AV528" s="103">
        <f t="shared" si="85"/>
        <v>0</v>
      </c>
    </row>
    <row r="529" spans="1:48">
      <c r="A529" s="103" t="str">
        <f>IF(AND('Customer Base'!$D$19="12V Lead-Acid",SUM(Items!$A$205:$A$209,Items!$A$211:$A$236)&gt;0,SUM(Items!$A$205:$A$209,Items!$A$211:$A$236)&lt;=4),1,"")</f>
        <v/>
      </c>
      <c r="B529" s="270" t="s">
        <v>1</v>
      </c>
      <c r="C529" s="265" t="s">
        <v>1319</v>
      </c>
      <c r="D529" s="332">
        <v>127.118644</v>
      </c>
      <c r="E529" s="332">
        <v>127.118644</v>
      </c>
      <c r="F529" s="266">
        <f t="shared" ref="F529:F538" si="90">$D529/1.219</f>
        <v>104.28108613617719</v>
      </c>
      <c r="G529" s="266">
        <f>IFERROR(ROUNDUP(F529*'Customer Base'!$J$5,2),0)</f>
        <v>1741.5</v>
      </c>
      <c r="H529" s="266">
        <f t="shared" ref="H529:H538" si="91">$E529/1.219</f>
        <v>104.28108613617719</v>
      </c>
      <c r="I529" s="266">
        <f>IFERROR(ROUNDUP(H529*'Customer Base'!$J$5,2),0)</f>
        <v>1741.5</v>
      </c>
      <c r="J529" s="103" t="str">
        <f t="shared" ref="J529:J559" si="92">IF(D529&lt;&gt;"",IF(D529&lt;E529,"lkdfjk",""),"")</f>
        <v/>
      </c>
      <c r="L529" s="103" t="str">
        <f t="shared" ref="L529:L592" si="93">IF(H529&gt;F529,"lkkajdfkj","")</f>
        <v/>
      </c>
      <c r="N529" s="103">
        <v>538</v>
      </c>
      <c r="O529" s="103" t="str">
        <f>IF('Customer Base'!$I$15="MANUAL",IF(B529&lt;&gt;"",C529,""),IF('Customer Base'!$I$15="AUTOMATE",IF(A529&lt;&gt;"",C529,""),""))</f>
        <v/>
      </c>
      <c r="AO529" s="103" t="str">
        <f>IF('Customer Base'!$I$15="MANUAL",IFERROR(AM529*B529,""),IF('Customer Base'!$I$15="AUTOMATE",IFERROR(AM529*A529,""),""))</f>
        <v/>
      </c>
      <c r="AV529" s="103">
        <f t="shared" si="85"/>
        <v>0</v>
      </c>
    </row>
    <row r="530" spans="1:48">
      <c r="A530" s="103" t="str">
        <f>IF(AND('Customer Base'!$D$19="12V Lead-Acid",SUM(Items!$A$205:$A$209,Items!$A$211:$A$236)&gt;4,SUM(Items!$A$205:$A$209,Items!$A$211:$A$236)&lt;=8),1,"")</f>
        <v/>
      </c>
      <c r="B530" s="270" t="s">
        <v>1</v>
      </c>
      <c r="C530" s="265" t="s">
        <v>1320</v>
      </c>
      <c r="D530" s="332">
        <v>161.01694915249999</v>
      </c>
      <c r="E530" s="332">
        <v>161.01694915249999</v>
      </c>
      <c r="F530" s="266">
        <f t="shared" si="90"/>
        <v>132.08937584290399</v>
      </c>
      <c r="G530" s="266">
        <f>IFERROR(ROUNDUP(F530*'Customer Base'!$J$5,2),0)</f>
        <v>2205.9</v>
      </c>
      <c r="H530" s="266">
        <f t="shared" si="91"/>
        <v>132.08937584290399</v>
      </c>
      <c r="I530" s="266">
        <f>IFERROR(ROUNDUP(H530*'Customer Base'!$J$5,2),0)</f>
        <v>2205.9</v>
      </c>
      <c r="J530" s="103" t="str">
        <f t="shared" si="92"/>
        <v/>
      </c>
      <c r="L530" s="103" t="str">
        <f t="shared" si="93"/>
        <v/>
      </c>
      <c r="N530" s="103">
        <v>539</v>
      </c>
      <c r="O530" s="103" t="str">
        <f>IF('Customer Base'!$I$15="MANUAL",IF(B530&lt;&gt;"",C530,""),IF('Customer Base'!$I$15="AUTOMATE",IF(A530&lt;&gt;"",C530,""),""))</f>
        <v/>
      </c>
      <c r="AO530" s="103" t="str">
        <f>IF('Customer Base'!$I$15="MANUAL",IFERROR(AM530*B530,""),IF('Customer Base'!$I$15="AUTOMATE",IFERROR(AM530*A530,""),""))</f>
        <v/>
      </c>
      <c r="AV530" s="103">
        <f t="shared" si="85"/>
        <v>0</v>
      </c>
    </row>
    <row r="531" spans="1:48">
      <c r="A531" s="103" t="str">
        <f>IF(AND('Customer Base'!$D$19="12V Lead-Acid",SUM(Items!$A$205:$A$209,Items!$A$211:$A$236)&gt;8,SUM(Items!$A$205:$A$209,Items!$A$211:$A$236)&lt;=12),1,"")</f>
        <v/>
      </c>
      <c r="B531" s="270" t="s">
        <v>1</v>
      </c>
      <c r="C531" s="265" t="s">
        <v>1321</v>
      </c>
      <c r="D531" s="332">
        <v>254.23728813549999</v>
      </c>
      <c r="E531" s="332">
        <v>254.23728813549999</v>
      </c>
      <c r="F531" s="266">
        <f t="shared" si="90"/>
        <v>208.56217238351107</v>
      </c>
      <c r="G531" s="266">
        <f>IFERROR(ROUNDUP(F531*'Customer Base'!$J$5,2),0)</f>
        <v>3482.9900000000002</v>
      </c>
      <c r="H531" s="266">
        <f t="shared" si="91"/>
        <v>208.56217238351107</v>
      </c>
      <c r="I531" s="266">
        <f>IFERROR(ROUNDUP(H531*'Customer Base'!$J$5,2),0)</f>
        <v>3482.9900000000002</v>
      </c>
      <c r="J531" s="103" t="str">
        <f t="shared" si="92"/>
        <v/>
      </c>
      <c r="L531" s="103" t="str">
        <f t="shared" si="93"/>
        <v/>
      </c>
      <c r="N531" s="103">
        <v>540</v>
      </c>
      <c r="O531" s="103" t="str">
        <f>IF('Customer Base'!$I$15="MANUAL",IF(B531&lt;&gt;"",C531,""),IF('Customer Base'!$I$15="AUTOMATE",IF(A531&lt;&gt;"",C531,""),""))</f>
        <v/>
      </c>
      <c r="AO531" s="103" t="str">
        <f>IF('Customer Base'!$I$15="MANUAL",IFERROR(AM531*B531,""),IF('Customer Base'!$I$15="AUTOMATE",IFERROR(AM531*A531,""),""))</f>
        <v/>
      </c>
      <c r="AV531" s="103">
        <f t="shared" si="85"/>
        <v>0</v>
      </c>
    </row>
    <row r="532" spans="1:48">
      <c r="A532" s="103" t="str">
        <f>IF(AND('Customer Base'!$D$19="12V Lead-Acid",SUM(Items!$A$205:$A$209,Items!$A$211:$A$236)&gt;12,SUM(Items!$A$205:$A$209,Items!$A$211:$A$236)&lt;=16),1,"")</f>
        <v/>
      </c>
      <c r="B532" s="270" t="s">
        <v>1</v>
      </c>
      <c r="C532" s="265" t="s">
        <v>1322</v>
      </c>
      <c r="D532" s="332">
        <v>305.08474576269998</v>
      </c>
      <c r="E532" s="332">
        <v>305.08474576269998</v>
      </c>
      <c r="F532" s="266">
        <f t="shared" si="90"/>
        <v>250.27460686029528</v>
      </c>
      <c r="G532" s="266">
        <f>IFERROR(ROUNDUP(F532*'Customer Base'!$J$5,2),0)</f>
        <v>4179.59</v>
      </c>
      <c r="H532" s="266">
        <f t="shared" si="91"/>
        <v>250.27460686029528</v>
      </c>
      <c r="I532" s="266">
        <f>IFERROR(ROUNDUP(H532*'Customer Base'!$J$5,2),0)</f>
        <v>4179.59</v>
      </c>
      <c r="J532" s="103" t="str">
        <f t="shared" si="92"/>
        <v/>
      </c>
      <c r="L532" s="103" t="str">
        <f t="shared" si="93"/>
        <v/>
      </c>
      <c r="N532" s="103">
        <v>541</v>
      </c>
      <c r="O532" s="103" t="str">
        <f>IF('Customer Base'!$I$15="MANUAL",IF(B532&lt;&gt;"",C532,""),IF('Customer Base'!$I$15="AUTOMATE",IF(A532&lt;&gt;"",C532,""),""))</f>
        <v/>
      </c>
      <c r="AO532" s="103" t="str">
        <f>IF('Customer Base'!$I$15="MANUAL",IFERROR(AM532*B532,""),IF('Customer Base'!$I$15="AUTOMATE",IFERROR(AM532*A532,""),""))</f>
        <v/>
      </c>
      <c r="AV532" s="103">
        <f t="shared" si="85"/>
        <v>0</v>
      </c>
    </row>
    <row r="533" spans="1:48">
      <c r="C533" s="265"/>
      <c r="D533" s="332"/>
      <c r="E533" s="332"/>
      <c r="F533" s="266"/>
      <c r="G533" s="266"/>
      <c r="H533" s="266"/>
      <c r="I533" s="266"/>
      <c r="J533" s="103" t="str">
        <f t="shared" si="92"/>
        <v/>
      </c>
      <c r="L533" s="103" t="str">
        <f t="shared" si="93"/>
        <v/>
      </c>
      <c r="N533" s="103">
        <v>542</v>
      </c>
      <c r="O533" s="103" t="str">
        <f>IF('Customer Base'!$I$15="MANUAL",IF(B533&lt;&gt;"",C533,""),IF('Customer Base'!$I$15="AUTOMATE",IF(A533&lt;&gt;"",C533,""),""))</f>
        <v/>
      </c>
      <c r="AO533" s="103">
        <f>IF('Customer Base'!$I$15="MANUAL",IFERROR(AM533*B533,""),IF('Customer Base'!$I$15="AUTOMATE",IFERROR(AM533*A533,""),""))</f>
        <v>0</v>
      </c>
    </row>
    <row r="534" spans="1:48">
      <c r="A534" s="103" t="str">
        <f>IF(AND('Customer Base'!$D$19="LITHIUM",A207="",A211="",SUM(Items!$A$205:$A$209,Items!$A$211:$A$236)&gt;0,SUM(Items!$A$205:$A$209,Items!$A$211:$A$236)&lt;=2),1,"")</f>
        <v/>
      </c>
      <c r="B534" s="270" t="s">
        <v>1</v>
      </c>
      <c r="C534" s="265" t="s">
        <v>2330</v>
      </c>
      <c r="D534" s="332">
        <v>60.95</v>
      </c>
      <c r="E534" s="332">
        <v>60.95</v>
      </c>
      <c r="F534" s="266">
        <f t="shared" si="90"/>
        <v>50</v>
      </c>
      <c r="G534" s="266">
        <f>IFERROR(ROUNDUP(F534*'Customer Base'!$J$5,2),0)</f>
        <v>835</v>
      </c>
      <c r="H534" s="266">
        <f t="shared" si="91"/>
        <v>50</v>
      </c>
      <c r="I534" s="266">
        <f>IFERROR(ROUNDUP(H534*'Customer Base'!$J$5,2),0)</f>
        <v>835</v>
      </c>
      <c r="J534" s="103" t="str">
        <f t="shared" si="92"/>
        <v/>
      </c>
      <c r="L534" s="103" t="str">
        <f t="shared" si="93"/>
        <v/>
      </c>
      <c r="N534" s="103">
        <v>543</v>
      </c>
      <c r="O534" s="103" t="str">
        <f>IF('Customer Base'!$I$15="MANUAL",IF(B534&lt;&gt;"",C534,""),IF('Customer Base'!$I$15="AUTOMATE",IF(A534&lt;&gt;"",C534,""),""))</f>
        <v/>
      </c>
      <c r="AO534" s="103" t="str">
        <f>IF('Customer Base'!$I$15="MANUAL",IFERROR(AM534*B534,""),IF('Customer Base'!$I$15="AUTOMATE",IFERROR(AM534*A534,""),""))</f>
        <v/>
      </c>
      <c r="AV534" s="103">
        <f t="shared" ref="AV534" si="94">IF(AU534&lt;&gt;"",AU534,AT534)</f>
        <v>0</v>
      </c>
    </row>
    <row r="535" spans="1:48">
      <c r="A535" s="103" t="str">
        <f>IF(AND('Customer Base'!$D$19="LITHIUM",A207="",A211="",SUM(Items!$A$205:$A$209,Items!$A$211:$A$236)&gt;2,SUM(Items!$A$205:$A$209,Items!$A$211:$A$236)&lt;=4),1,"")</f>
        <v/>
      </c>
      <c r="B535" s="270" t="s">
        <v>1</v>
      </c>
      <c r="C535" s="265" t="s">
        <v>1315</v>
      </c>
      <c r="D535" s="332">
        <v>161.02000000000001</v>
      </c>
      <c r="E535" s="332">
        <v>161.02000000000001</v>
      </c>
      <c r="F535" s="266">
        <f t="shared" si="90"/>
        <v>132.09187858900739</v>
      </c>
      <c r="G535" s="266">
        <f>IFERROR(ROUNDUP(F535*'Customer Base'!$J$5,2),0)</f>
        <v>2205.94</v>
      </c>
      <c r="H535" s="266">
        <f t="shared" si="91"/>
        <v>132.09187858900739</v>
      </c>
      <c r="I535" s="266">
        <f>IFERROR(ROUNDUP(H535*'Customer Base'!$J$5,2),0)</f>
        <v>2205.94</v>
      </c>
      <c r="J535" s="103" t="str">
        <f t="shared" si="92"/>
        <v/>
      </c>
      <c r="L535" s="103" t="str">
        <f t="shared" si="93"/>
        <v/>
      </c>
      <c r="N535" s="103">
        <v>544</v>
      </c>
      <c r="O535" s="103" t="str">
        <f>IF('Customer Base'!$I$15="MANUAL",IF(B535&lt;&gt;"",C535,""),IF('Customer Base'!$I$15="AUTOMATE",IF(A535&lt;&gt;"",C535,""),""))</f>
        <v/>
      </c>
      <c r="AO535" s="103" t="str">
        <f>IF('Customer Base'!$I$15="MANUAL",IFERROR(AM535*B535,""),IF('Customer Base'!$I$15="AUTOMATE",IFERROR(AM535*A535,""),""))</f>
        <v/>
      </c>
      <c r="AV535" s="103">
        <f t="shared" si="85"/>
        <v>0</v>
      </c>
    </row>
    <row r="536" spans="1:48">
      <c r="A536" s="103" t="str">
        <f>IF(AND('Customer Base'!$D$19="LITHIUM",A207="",A211="",SUM(Items!$A$205:$A$209,Items!$A$211:$A$236)&gt;4,SUM(Items!$A$205:$A$209,Items!$A$211:$A$236)&lt;=8),1,"")</f>
        <v/>
      </c>
      <c r="B536" s="270" t="s">
        <v>1</v>
      </c>
      <c r="C536" s="265" t="s">
        <v>1316</v>
      </c>
      <c r="D536" s="332">
        <v>254.24</v>
      </c>
      <c r="E536" s="332">
        <v>254.24</v>
      </c>
      <c r="F536" s="266">
        <f t="shared" si="90"/>
        <v>208.56439704675964</v>
      </c>
      <c r="G536" s="266">
        <f>IFERROR(ROUNDUP(F536*'Customer Base'!$J$5,2),0)</f>
        <v>3483.03</v>
      </c>
      <c r="H536" s="266">
        <f t="shared" si="91"/>
        <v>208.56439704675964</v>
      </c>
      <c r="I536" s="266">
        <f>IFERROR(ROUNDUP(H536*'Customer Base'!$J$5,2),0)</f>
        <v>3483.03</v>
      </c>
      <c r="J536" s="103" t="str">
        <f t="shared" si="92"/>
        <v/>
      </c>
      <c r="L536" s="103" t="str">
        <f t="shared" si="93"/>
        <v/>
      </c>
      <c r="N536" s="103">
        <v>545</v>
      </c>
      <c r="O536" s="103" t="str">
        <f>IF('Customer Base'!$I$15="MANUAL",IF(B536&lt;&gt;"",C536,""),IF('Customer Base'!$I$15="AUTOMATE",IF(A536&lt;&gt;"",C536,""),""))</f>
        <v/>
      </c>
      <c r="AO536" s="103" t="str">
        <f>IF('Customer Base'!$I$15="MANUAL",IFERROR(AM536*B536,""),IF('Customer Base'!$I$15="AUTOMATE",IFERROR(AM536*A536,""),""))</f>
        <v/>
      </c>
      <c r="AV536" s="103">
        <f t="shared" si="85"/>
        <v>0</v>
      </c>
    </row>
    <row r="537" spans="1:48">
      <c r="A537" s="103" t="str">
        <f>IF(AND('Customer Base'!$D$19="LITHIUM",A207="",A211="",SUM(Items!$A$205:$A$209,Items!$A$211:$A$236)&gt;8,SUM(Items!$A$205:$A$209,Items!$A$211:$A$236)&lt;=12),1,"")</f>
        <v/>
      </c>
      <c r="B537" s="270" t="s">
        <v>1</v>
      </c>
      <c r="C537" s="265" t="s">
        <v>1317</v>
      </c>
      <c r="D537" s="332">
        <v>305.08</v>
      </c>
      <c r="E537" s="332">
        <v>305.08</v>
      </c>
      <c r="F537" s="266">
        <f t="shared" si="90"/>
        <v>250.27071369975386</v>
      </c>
      <c r="G537" s="266">
        <f>IFERROR(ROUNDUP(F537*'Customer Base'!$J$5,2),0)</f>
        <v>4179.5300000000007</v>
      </c>
      <c r="H537" s="266">
        <f t="shared" si="91"/>
        <v>250.27071369975386</v>
      </c>
      <c r="I537" s="266">
        <f>IFERROR(ROUNDUP(H537*'Customer Base'!$J$5,2),0)</f>
        <v>4179.5300000000007</v>
      </c>
      <c r="J537" s="103" t="str">
        <f t="shared" si="92"/>
        <v/>
      </c>
      <c r="L537" s="103" t="str">
        <f t="shared" si="93"/>
        <v/>
      </c>
      <c r="N537" s="103">
        <v>546</v>
      </c>
      <c r="O537" s="103" t="str">
        <f>IF('Customer Base'!$I$15="MANUAL",IF(B537&lt;&gt;"",C537,""),IF('Customer Base'!$I$15="AUTOMATE",IF(A537&lt;&gt;"",C537,""),""))</f>
        <v/>
      </c>
      <c r="AO537" s="103" t="str">
        <f>IF('Customer Base'!$I$15="MANUAL",IFERROR(AM537*B537,""),IF('Customer Base'!$I$15="AUTOMATE",IFERROR(AM537*A537,""),""))</f>
        <v/>
      </c>
      <c r="AV537" s="103">
        <f t="shared" si="85"/>
        <v>0</v>
      </c>
    </row>
    <row r="538" spans="1:48">
      <c r="A538" s="103" t="str">
        <f>IF(AND('Customer Base'!$D$19="LITHIUM",A207="",A211="",SUM(Items!$A$205:$A$209,Items!$A$211:$A$236)&gt;12,SUM(Items!$A$205:$A$209,Items!$A$211:$A$236)&lt;=16),1,"")</f>
        <v/>
      </c>
      <c r="B538" s="270" t="s">
        <v>1</v>
      </c>
      <c r="C538" s="265" t="s">
        <v>1318</v>
      </c>
      <c r="D538" s="332">
        <v>415.28</v>
      </c>
      <c r="E538" s="332">
        <v>415.28</v>
      </c>
      <c r="F538" s="266">
        <f t="shared" si="90"/>
        <v>340.67268252666116</v>
      </c>
      <c r="G538" s="266">
        <f>IFERROR(ROUNDUP(F538*'Customer Base'!$J$5,2),0)</f>
        <v>5689.24</v>
      </c>
      <c r="H538" s="266">
        <f t="shared" si="91"/>
        <v>340.67268252666116</v>
      </c>
      <c r="I538" s="266">
        <f>IFERROR(ROUNDUP(H538*'Customer Base'!$J$5,2),0)</f>
        <v>5689.24</v>
      </c>
      <c r="J538" s="103" t="str">
        <f t="shared" si="92"/>
        <v/>
      </c>
      <c r="L538" s="103" t="str">
        <f t="shared" si="93"/>
        <v/>
      </c>
      <c r="N538" s="103">
        <v>547</v>
      </c>
      <c r="O538" s="103" t="str">
        <f>IF('Customer Base'!$I$15="MANUAL",IF(B538&lt;&gt;"",C538,""),IF('Customer Base'!$I$15="AUTOMATE",IF(A538&lt;&gt;"",C538,""),""))</f>
        <v/>
      </c>
      <c r="AO538" s="103" t="str">
        <f>IF('Customer Base'!$I$15="MANUAL",IFERROR(AM538*B538,""),IF('Customer Base'!$I$15="AUTOMATE",IFERROR(AM538*A538,""),""))</f>
        <v/>
      </c>
      <c r="AV538" s="103">
        <f t="shared" si="85"/>
        <v>0</v>
      </c>
    </row>
    <row r="539" spans="1:48">
      <c r="D539" s="319"/>
      <c r="E539" s="319"/>
      <c r="I539" s="224"/>
      <c r="J539" s="103" t="str">
        <f t="shared" si="92"/>
        <v/>
      </c>
      <c r="L539" s="103" t="str">
        <f t="shared" si="93"/>
        <v/>
      </c>
      <c r="N539" s="103">
        <v>548</v>
      </c>
      <c r="O539" s="103" t="str">
        <f>IF('Customer Base'!$I$15="MANUAL",IF(B539&lt;&gt;"",C539,""),IF('Customer Base'!$I$15="AUTOMATE",IF(A539&lt;&gt;"",C539,""),""))</f>
        <v/>
      </c>
      <c r="AO539" s="103">
        <f>IF('Customer Base'!$I$15="MANUAL",IFERROR(AM539*B539,""),IF('Customer Base'!$I$15="AUTOMATE",IFERROR(AM539*A539,""),""))</f>
        <v>0</v>
      </c>
      <c r="AV539" s="103">
        <f t="shared" si="85"/>
        <v>0</v>
      </c>
    </row>
    <row r="540" spans="1:48">
      <c r="A540" s="103">
        <f ca="1">IF(SUM(A6:A539)&gt;0,1,"")</f>
        <v>1</v>
      </c>
      <c r="B540" s="270">
        <v>1</v>
      </c>
      <c r="C540" s="265" t="s">
        <v>953</v>
      </c>
      <c r="D540" s="332">
        <f>IF(F540="",IF(G540&lt;&gt;"",ROUNDUP(G540*1.219/'Customer Base'!$J$5,1),""),ROUNDUP(F540*1.219,1))</f>
        <v>35.800000000000004</v>
      </c>
      <c r="E540" s="332" t="str">
        <f>IF(H540="",IF(I540&lt;&gt;"",ROUNDUP(I540*1.219/'Customer Base'!$J$5,1),""),ROUNDUP(H540*1.219,1))</f>
        <v/>
      </c>
      <c r="F540" s="266" t="str">
        <f>IF('Customer Base'!$I$15="MANUAL",IF($B540="","",IF(AND(INVOICE!$K$14="USD",'Customer Base'!$I$17="Retail"),ROUNDUP(SUM(2.5%*SUMPRODUCT($B$242:$B$254,F$242:F$254),1%*SUMPRODUCT($B$1:$B$160,F$1:F$160)),0),"")),IF('Customer Base'!$I$15="AUTOMATE",IF($A540="","",IF(AND(INVOICE!$K$14="USD",'Customer Base'!$I$17="Retail"),ROUNDUP(SUM(2.5%*SUMPRODUCT($A$242:$A$254,F$242:F$254),1%*SUMPRODUCT($A$1:$A$160,F$1:F$160)),0),"")),""))</f>
        <v/>
      </c>
      <c r="G540" s="266">
        <f>IF('Customer Base'!$I$15="MANUAL",IF($B540="","",IF(AND(INVOICE!$K$14="GH₵",'Customer Base'!$I$17="Retail"),ROUNDUP(SUM(2.5%*SUMPRODUCT($B$242:$B$254,G$242:G$254),1%*SUMPRODUCT($B$1:$B$160,G$1:G$160)),-1),"")),IF('Customer Base'!$I$15="AUTOMATE",IF($A540="","",IF(AND(INVOICE!$K$14="GH₵",'Customer Base'!$I$17="Retail"),ROUNDUP(SUM(2.5%*SUMPRODUCT($A$242:$A$254,G$242:G$254),1%*SUMPRODUCT($A$1:$A$160,G$1:G$160)),-1),"")),""))</f>
        <v>490</v>
      </c>
      <c r="H540" s="266" t="str">
        <f>IF('Customer Base'!$I$15="MANUAL",IF($B540="","",IF(AND(INVOICE!$K$14="USD",'Customer Base'!$I$17="Super Dealer"),ROUNDUP(SUM(2.5%*SUMPRODUCT($B$242:$B$254,H$242:H$254),1%*SUMPRODUCT($B$1:$B$160,H$1:H$160)),0),"")),IF('Customer Base'!$I$15="AUTOMATE",IF($A540="","",IF(AND(INVOICE!$K$14="USD",'Customer Base'!$I$17="Super Dealer"),ROUNDUP(SUM(2.5%*SUMPRODUCT($A$242:$A$254,H$242:H$254),1%*SUMPRODUCT($A$1:$A$160,H$1:H$160)),0),"")),""))</f>
        <v/>
      </c>
      <c r="I540" s="266" t="str">
        <f>IF('Customer Base'!$I$15="MANUAL",IF($B540="","",IF(AND(INVOICE!$K$14="GH₵",'Customer Base'!$I$17="Super Dealer"),ROUNDUP(SUM(2.5%*SUMPRODUCT($B$242:$B$254,I$242:I$254),1%*SUMPRODUCT($B$1:$B$160,I$1:I$160)),-1),"")),IF('Customer Base'!$I$15="AUTOMATE",IF($A540="","",IF(AND(INVOICE!$K$14="GH₵",'Customer Base'!$I$17="Super Dealer"),ROUNDUP(SUM(2.5%*SUMPRODUCT($A$242:$A$254,I$242:I$254),1%*SUMPRODUCT($A$1:$A$160,I$1:I$160)),-1),"")),""))</f>
        <v/>
      </c>
      <c r="J540" s="103" t="str">
        <f t="shared" si="92"/>
        <v>lkdfjk</v>
      </c>
      <c r="L540" s="103" t="str">
        <f t="shared" si="93"/>
        <v/>
      </c>
      <c r="N540" s="103">
        <v>549</v>
      </c>
      <c r="O540" s="103" t="str">
        <f>IF('Customer Base'!$I$15="MANUAL",IF(B540&lt;&gt;"",C540,""),IF('Customer Base'!$I$15="AUTOMATE",IF(A540&lt;&gt;"",C540,""),""))</f>
        <v>PVC Pipes, Trunking, Cable Lugs and Assessories</v>
      </c>
      <c r="AO540" s="103">
        <f>IF('Customer Base'!$I$15="MANUAL",IFERROR(AM540*B540,""),IF('Customer Base'!$I$15="AUTOMATE",IFERROR(AM540*A540,""),""))</f>
        <v>0</v>
      </c>
      <c r="AV540" s="103">
        <f t="shared" si="85"/>
        <v>0</v>
      </c>
    </row>
    <row r="541" spans="1:48">
      <c r="C541" s="265" t="s">
        <v>952</v>
      </c>
      <c r="D541" s="332" t="str">
        <f>IF(F541="",IF(G541&lt;&gt;"",ROUNDUP(G541*1.219/'Customer Base'!$J$5,1),""),ROUNDUP(F541*1.219,1))</f>
        <v/>
      </c>
      <c r="E541" s="332" t="str">
        <f>IF(H541="",IF(I541&lt;&gt;"",ROUNDUP(I541*1.219/'Customer Base'!$J$5,1),""),ROUNDUP(H541*1.219,1))</f>
        <v/>
      </c>
      <c r="F541" s="266" t="str">
        <f>IF($B541="","",IF(AND(INVOICE!$K$14="USD",'Customer Base'!$I$17="Retail"),ROUNDUP(SUM(4%*SUMPRODUCT($B$242:$B$254,F$242:F$254),1%*SUMPRODUCT($B$1:$B$160,F$1:F$160)),-1),""))</f>
        <v/>
      </c>
      <c r="G541" s="266" t="str">
        <f>IF($B541="","",IF(AND(INVOICE!$K$14="GH₵",'Customer Base'!$I$17="Retail"),ROUNDUP(SUM(4%*SUMPRODUCT($B$242:$B$254,G$242:G$254),1%*SUMPRODUCT($B$1:$B$160,G$1:G$160)),-1),""))</f>
        <v/>
      </c>
      <c r="H541" s="266" t="str">
        <f>IF($B541="","",IF(AND(INVOICE!$K$14="USD",'Customer Base'!$I$17="Super Dealer"),ROUNDUP(SUM(4%*SUMPRODUCT($B$242:$B$254,H$242:H$254),1%*SUMPRODUCT($B$1:$B$160,H$1:H$160)),-1),""))</f>
        <v/>
      </c>
      <c r="I541" s="266" t="str">
        <f>IF($B541="","",IF(AND(INVOICE!$K$14="GH₵",'Customer Base'!$I$17="Super Dealer"),ROUNDUP(SUM(4%*SUMPRODUCT($B$242:$B$254,I$242:I$254),1%*SUMPRODUCT($B$1:$B$160,I$1:I$160)),-1),""))</f>
        <v/>
      </c>
      <c r="J541" s="103" t="str">
        <f t="shared" si="92"/>
        <v/>
      </c>
      <c r="L541" s="103" t="str">
        <f t="shared" si="93"/>
        <v/>
      </c>
      <c r="N541" s="103">
        <v>550</v>
      </c>
      <c r="O541" s="103" t="str">
        <f>IF('Customer Base'!$I$15="MANUAL",IF(B541&lt;&gt;"",C541,""),IF('Customer Base'!$I$15="AUTOMATE",IF(A541&lt;&gt;"",C541,""),""))</f>
        <v/>
      </c>
      <c r="AO541" s="103">
        <f>IF('Customer Base'!$I$15="MANUAL",IFERROR(AM541*B541,""),IF('Customer Base'!$I$15="AUTOMATE",IFERROR(AM541*A541,""),""))</f>
        <v>0</v>
      </c>
      <c r="AV541" s="103">
        <f t="shared" si="85"/>
        <v>0</v>
      </c>
    </row>
    <row r="542" spans="1:48">
      <c r="D542" s="319"/>
      <c r="E542" s="319"/>
      <c r="I542" s="224"/>
      <c r="J542" s="103" t="str">
        <f t="shared" si="92"/>
        <v/>
      </c>
      <c r="L542" s="103" t="str">
        <f t="shared" si="93"/>
        <v/>
      </c>
      <c r="N542" s="103">
        <v>551</v>
      </c>
      <c r="O542" s="103" t="str">
        <f>IF('Customer Base'!$I$15="MANUAL",IF(B542&lt;&gt;"",C542,""),IF('Customer Base'!$I$15="AUTOMATE",IF(A542&lt;&gt;"",C542,""),""))</f>
        <v/>
      </c>
      <c r="AO542" s="103">
        <f>IF('Customer Base'!$I$15="MANUAL",IFERROR(AM542*B542,""),IF('Customer Base'!$I$15="AUTOMATE",IFERROR(AM542*A542,""),""))</f>
        <v>0</v>
      </c>
      <c r="AV542" s="103">
        <f t="shared" si="85"/>
        <v>0</v>
      </c>
    </row>
    <row r="543" spans="1:48">
      <c r="C543" s="232" t="s">
        <v>1891</v>
      </c>
      <c r="D543" s="320"/>
      <c r="E543" s="320"/>
      <c r="F543" s="234">
        <f t="shared" ref="F543:F544" si="95">$D543/1.219</f>
        <v>0</v>
      </c>
      <c r="G543" s="234">
        <f>IFERROR(ROUNDUP(F543*'Customer Base'!$J$5,2),0)</f>
        <v>0</v>
      </c>
      <c r="H543" s="234">
        <f t="shared" ref="H543:H544" si="96">$E543/1.219</f>
        <v>0</v>
      </c>
      <c r="I543" s="234">
        <f>IFERROR(ROUNDUP(H543*'Customer Base'!$J$5,2),0)</f>
        <v>0</v>
      </c>
      <c r="J543" s="103" t="str">
        <f t="shared" si="92"/>
        <v/>
      </c>
      <c r="L543" s="103" t="str">
        <f t="shared" si="93"/>
        <v/>
      </c>
      <c r="N543" s="103">
        <v>552</v>
      </c>
      <c r="O543" s="103" t="str">
        <f>IF('Customer Base'!$I$15="MANUAL",IF(B543&lt;&gt;"",C543,""),IF('Customer Base'!$I$15="AUTOMATE",IF(A543&lt;&gt;"",C543,""),""))</f>
        <v/>
      </c>
      <c r="AO543" s="103">
        <f>IF('Customer Base'!$I$15="MANUAL",IFERROR(AM543*B543,""),IF('Customer Base'!$I$15="AUTOMATE",IFERROR(AM543*A543,""),""))</f>
        <v>0</v>
      </c>
      <c r="AV543" s="103">
        <f t="shared" si="85"/>
        <v>0</v>
      </c>
    </row>
    <row r="544" spans="1:48">
      <c r="C544" s="262" t="s">
        <v>1618</v>
      </c>
      <c r="D544" s="330">
        <f>ROUNDUP('Customer Base'!J9*4,-2)</f>
        <v>100</v>
      </c>
      <c r="E544" s="330">
        <f>ROUNDUP('Customer Base'!J9*4,-2)</f>
        <v>100</v>
      </c>
      <c r="F544" s="263">
        <f t="shared" si="95"/>
        <v>82.034454470877762</v>
      </c>
      <c r="G544" s="263">
        <f>IFERROR(ROUNDUP(F544*'Customer Base'!$J$5,2),0)</f>
        <v>1369.98</v>
      </c>
      <c r="H544" s="263">
        <f t="shared" si="96"/>
        <v>82.034454470877762</v>
      </c>
      <c r="I544" s="263">
        <f>IFERROR(ROUNDUP(H544*'Customer Base'!$J$5,2),0)</f>
        <v>1369.98</v>
      </c>
      <c r="J544" s="103" t="str">
        <f t="shared" si="92"/>
        <v/>
      </c>
      <c r="L544" s="103" t="str">
        <f t="shared" si="93"/>
        <v/>
      </c>
      <c r="N544" s="103">
        <v>553</v>
      </c>
      <c r="O544" s="103" t="str">
        <f>IF('Customer Base'!$I$15="MANUAL",IF(B544&lt;&gt;"",C544,""),IF('Customer Base'!$I$15="AUTOMATE",IF(A544&lt;&gt;"",C544,""),""))</f>
        <v/>
      </c>
      <c r="AO544" s="103">
        <f>IF('Customer Base'!$I$15="MANUAL",IFERROR(AM544*B544,""),IF('Customer Base'!$I$15="AUTOMATE",IFERROR(AM544*A544,""),""))</f>
        <v>0</v>
      </c>
      <c r="AV544" s="103">
        <f t="shared" ref="AV544:AV560" si="97">IF(AU544&lt;&gt;"",AU544,AT544)</f>
        <v>0</v>
      </c>
    </row>
    <row r="545" spans="1:48">
      <c r="D545" s="319"/>
      <c r="E545" s="319"/>
      <c r="G545" s="224">
        <f>IFERROR(ROUNDUP(F545*'Customer Base'!$J$5,2),0)</f>
        <v>0</v>
      </c>
      <c r="I545" s="224">
        <f>IFERROR(ROUNDUP(H545*'Customer Base'!$J$5,2),0)</f>
        <v>0</v>
      </c>
      <c r="J545" s="103" t="str">
        <f t="shared" si="92"/>
        <v/>
      </c>
      <c r="L545" s="103" t="str">
        <f t="shared" si="93"/>
        <v/>
      </c>
      <c r="N545" s="103">
        <v>554</v>
      </c>
      <c r="O545" s="103" t="str">
        <f>IF('Customer Base'!$I$15="MANUAL",IF(B545&lt;&gt;"",C545,""),IF('Customer Base'!$I$15="AUTOMATE",IF(A545&lt;&gt;"",C545,""),""))</f>
        <v/>
      </c>
      <c r="AO545" s="103">
        <f>IF('Customer Base'!$I$15="MANUAL",IFERROR(AM545*B545,""),IF('Customer Base'!$I$15="AUTOMATE",IFERROR(AM545*A545,""),""))</f>
        <v>0</v>
      </c>
      <c r="AV545" s="103">
        <f t="shared" si="97"/>
        <v>0</v>
      </c>
    </row>
    <row r="546" spans="1:48">
      <c r="C546" s="262" t="s">
        <v>1171</v>
      </c>
      <c r="D546" s="330">
        <v>20</v>
      </c>
      <c r="E546" s="330">
        <v>20</v>
      </c>
      <c r="F546" s="263">
        <f>$D546/1.219</f>
        <v>16.406890894175554</v>
      </c>
      <c r="G546" s="263">
        <f>IFERROR(ROUNDUP(F546*'Customer Base'!$J$5,2),0)</f>
        <v>274</v>
      </c>
      <c r="H546" s="263">
        <f>$E546/1.219</f>
        <v>16.406890894175554</v>
      </c>
      <c r="I546" s="263">
        <f>IFERROR(ROUNDUP(H546*'Customer Base'!$J$5,2),0)</f>
        <v>274</v>
      </c>
      <c r="J546" s="103" t="str">
        <f t="shared" si="92"/>
        <v/>
      </c>
      <c r="L546" s="103" t="str">
        <f t="shared" si="93"/>
        <v/>
      </c>
      <c r="N546" s="103">
        <v>555</v>
      </c>
      <c r="O546" s="103" t="str">
        <f>IF('Customer Base'!$I$15="MANUAL",IF(B546&lt;&gt;"",C546,""),IF('Customer Base'!$I$15="AUTOMATE",IF(A546&lt;&gt;"",C546,""),""))</f>
        <v/>
      </c>
      <c r="AO546" s="103">
        <f>IF('Customer Base'!$I$15="MANUAL",IFERROR(AM546*B546,""),IF('Customer Base'!$I$15="AUTOMATE",IFERROR(AM546*A546,""),""))</f>
        <v>0</v>
      </c>
      <c r="AV546" s="103">
        <f t="shared" si="97"/>
        <v>0</v>
      </c>
    </row>
    <row r="547" spans="1:48">
      <c r="C547" s="262" t="s">
        <v>1224</v>
      </c>
      <c r="D547" s="330">
        <v>43.75</v>
      </c>
      <c r="E547" s="330">
        <v>43.75</v>
      </c>
      <c r="F547" s="263">
        <f>$D547/1.219</f>
        <v>35.890073831009019</v>
      </c>
      <c r="G547" s="263">
        <f>IFERROR(ROUNDUP(F547*'Customer Base'!$J$5,2),0)</f>
        <v>599.37</v>
      </c>
      <c r="H547" s="263">
        <f>$E547/1.219</f>
        <v>35.890073831009019</v>
      </c>
      <c r="I547" s="263">
        <f>IFERROR(ROUNDUP(H547*'Customer Base'!$J$5,2),0)</f>
        <v>599.37</v>
      </c>
      <c r="J547" s="103" t="str">
        <f t="shared" si="92"/>
        <v/>
      </c>
      <c r="L547" s="103" t="str">
        <f t="shared" si="93"/>
        <v/>
      </c>
      <c r="N547" s="103">
        <v>556</v>
      </c>
      <c r="O547" s="103" t="str">
        <f>IF('Customer Base'!$I$15="MANUAL",IF(B547&lt;&gt;"",C547,""),IF('Customer Base'!$I$15="AUTOMATE",IF(A547&lt;&gt;"",C547,""),""))</f>
        <v/>
      </c>
      <c r="AO547" s="103">
        <f>IF('Customer Base'!$I$15="MANUAL",IFERROR(AM547*B547,""),IF('Customer Base'!$I$15="AUTOMATE",IFERROR(AM547*A547,""),""))</f>
        <v>0</v>
      </c>
      <c r="AV547" s="103">
        <f t="shared" si="97"/>
        <v>0</v>
      </c>
    </row>
    <row r="548" spans="1:48">
      <c r="D548" s="319"/>
      <c r="E548" s="319"/>
      <c r="I548" s="224"/>
      <c r="J548" s="103" t="str">
        <f t="shared" si="92"/>
        <v/>
      </c>
      <c r="L548" s="103" t="str">
        <f t="shared" si="93"/>
        <v/>
      </c>
      <c r="N548" s="103">
        <v>557</v>
      </c>
      <c r="O548" s="103" t="str">
        <f>IF('Customer Base'!$I$15="MANUAL",IF(B548&lt;&gt;"",C548,""),IF('Customer Base'!$I$15="AUTOMATE",IF(A548&lt;&gt;"",C548,""),""))</f>
        <v/>
      </c>
      <c r="AO548" s="103">
        <f>IF('Customer Base'!$I$15="MANUAL",IFERROR(AM548*B548,""),IF('Customer Base'!$I$15="AUTOMATE",IFERROR(AM548*A548,""),""))</f>
        <v>0</v>
      </c>
      <c r="AV548" s="103">
        <f t="shared" si="97"/>
        <v>0</v>
      </c>
    </row>
    <row r="549" spans="1:48">
      <c r="C549" s="232" t="s">
        <v>1890</v>
      </c>
      <c r="D549" s="322"/>
      <c r="E549" s="322"/>
      <c r="F549" s="252"/>
      <c r="G549" s="234">
        <f>IFERROR(ROUNDUP(F549*'Customer Base'!$J$5,2),0)</f>
        <v>0</v>
      </c>
      <c r="H549" s="252"/>
      <c r="I549" s="234">
        <f>IFERROR(ROUNDUP(H549*'Customer Base'!$J$5,2),0)</f>
        <v>0</v>
      </c>
      <c r="J549" s="103" t="str">
        <f t="shared" si="92"/>
        <v/>
      </c>
      <c r="L549" s="103" t="str">
        <f t="shared" si="93"/>
        <v/>
      </c>
      <c r="N549" s="103">
        <v>558</v>
      </c>
      <c r="O549" s="103" t="str">
        <f>IF('Customer Base'!$I$15="MANUAL",IF(B549&lt;&gt;"",C549,""),IF('Customer Base'!$I$15="AUTOMATE",IF(A549&lt;&gt;"",C549,""),""))</f>
        <v/>
      </c>
      <c r="AO549" s="103">
        <f>IF('Customer Base'!$I$15="MANUAL",IFERROR(AM549*B549,""),IF('Customer Base'!$I$15="AUTOMATE",IFERROR(AM549*A549,""),""))</f>
        <v>0</v>
      </c>
      <c r="AV549" s="103">
        <f t="shared" si="97"/>
        <v>0</v>
      </c>
    </row>
    <row r="550" spans="1:48">
      <c r="A550" s="103">
        <f ca="1">IF(INVOICE!C13&lt;&gt;"Accra",IF(SUM(A1:A549)&gt;0,1,""),"")</f>
        <v>1</v>
      </c>
      <c r="B550" s="270">
        <v>1</v>
      </c>
      <c r="C550" s="250" t="s">
        <v>1528</v>
      </c>
      <c r="D550" s="333">
        <f>F550*1.219</f>
        <v>89.116198762500005</v>
      </c>
      <c r="E550" s="333">
        <f>H550*1.219</f>
        <v>88.883750700000007</v>
      </c>
      <c r="F550" s="249">
        <f>(IF(ISNA(VLOOKUP(INVOICE!$C$13,Items!$K$6:$L$56,2,0)),0,ROUNDUP(VLOOKUP(INVOICE!$C$13,Items!$K$6:$L$56,2,0),0))+(0.25%*ROUNDUP(SUMPRODUCT($B$242:$B$254,F$242:F$254),-1)*'Customer Base'!J9/10))*(IF('Customer Base'!J9&lt;10,1,'Customer Base'!J9/10))</f>
        <v>73.105987499999998</v>
      </c>
      <c r="G550" s="249">
        <f>IFERROR(ROUNDUP(F550*'Customer Base'!$J$5,0),0)</f>
        <v>1221</v>
      </c>
      <c r="H550" s="249">
        <f>(IF(ISNA(VLOOKUP(INVOICE!$C$13,Items!$K$6:$L$56,2,0)),0,ROUNDUP(VLOOKUP(INVOICE!$C$13,Items!$K$6:$L$56,2,0),0))+(0.25%*ROUNDUP(SUMPRODUCT($B$242:$B$254,H$242:H$254),-1)*'Customer Base'!J9/10))*(IF('Customer Base'!J9&lt;10,1,'Customer Base'!J9/10))</f>
        <v>72.915300000000002</v>
      </c>
      <c r="I550" s="249">
        <f>IFERROR(ROUNDUP(H550*'Customer Base'!$J$5,0),0)</f>
        <v>1218</v>
      </c>
      <c r="J550" s="103" t="str">
        <f t="shared" si="92"/>
        <v/>
      </c>
      <c r="L550" s="103" t="str">
        <f t="shared" si="93"/>
        <v/>
      </c>
      <c r="N550" s="103">
        <v>559</v>
      </c>
      <c r="O550" s="103" t="str">
        <f>IF('Customer Base'!$I$15="MANUAL",IF(B550&lt;&gt;"",C550,""),IF('Customer Base'!$I$15="AUTOMATE",IF(A550&lt;&gt;"",C550,""),""))</f>
        <v>Transportation Expenses</v>
      </c>
      <c r="AO550" s="103">
        <f>IF('Customer Base'!$I$15="MANUAL",IFERROR(AM550*B550,""),IF('Customer Base'!$I$15="AUTOMATE",IFERROR(AM550*A550,""),""))</f>
        <v>0</v>
      </c>
      <c r="AV550" s="103">
        <f t="shared" si="97"/>
        <v>0</v>
      </c>
    </row>
    <row r="551" spans="1:48">
      <c r="C551" s="250" t="s">
        <v>1304</v>
      </c>
      <c r="D551" s="333">
        <f>F551*1.219</f>
        <v>89.116198762500005</v>
      </c>
      <c r="E551" s="333">
        <f>H551*1.219</f>
        <v>88.883750700000007</v>
      </c>
      <c r="F551" s="249">
        <f>IF(ISNA(VLOOKUP(INVOICE!$C$13,Items!$K$6:$L$56,2,0)),0,ROUNDUP(VLOOKUP(INVOICE!$C$13,Items!$K$6:$L$56,2,0),0))+0.25%*ROUNDUP(SUMPRODUCT($B$242:$B$254,F$242:F$254),-1)*'Customer Base'!J9/10</f>
        <v>73.105987499999998</v>
      </c>
      <c r="G551" s="249">
        <f>IFERROR(ROUNDUP(F551*'Customer Base'!$J$5,0),0)</f>
        <v>1221</v>
      </c>
      <c r="H551" s="249">
        <f>IF(ISNA(VLOOKUP(INVOICE!$C$13,Items!$K$6:$L$56,2,0)),0,ROUNDUP(VLOOKUP(INVOICE!$C$13,Items!$K$6:$L$56,2,0),0))+0.25%*ROUNDUP(SUMPRODUCT($B$242:$B$254,H$242:H$254),-1)*'Customer Base'!J9/10</f>
        <v>72.915300000000002</v>
      </c>
      <c r="I551" s="249">
        <f>IFERROR(ROUNDUP(H551*'Customer Base'!$J$5,0),0)</f>
        <v>1218</v>
      </c>
      <c r="J551" s="103" t="str">
        <f t="shared" si="92"/>
        <v/>
      </c>
      <c r="L551" s="103" t="str">
        <f t="shared" si="93"/>
        <v/>
      </c>
      <c r="N551" s="103">
        <v>560</v>
      </c>
      <c r="O551" s="103" t="str">
        <f>IF('Customer Base'!$I$15="MANUAL",IF(B551&lt;&gt;"",C551,""),IF('Customer Base'!$I$15="AUTOMATE",IF(A551&lt;&gt;"",C551,""),""))</f>
        <v/>
      </c>
      <c r="AO551" s="103">
        <f>IF('Customer Base'!$I$15="MANUAL",IFERROR(AM551*B551,""),IF('Customer Base'!$I$15="AUTOMATE",IFERROR(AM551*A551,""),""))</f>
        <v>0</v>
      </c>
      <c r="AV551" s="103">
        <f t="shared" si="97"/>
        <v>0</v>
      </c>
    </row>
    <row r="552" spans="1:48">
      <c r="C552" s="250" t="s">
        <v>990</v>
      </c>
      <c r="D552" s="333">
        <f>F552*1.219</f>
        <v>0</v>
      </c>
      <c r="E552" s="333">
        <f>H552*1.219</f>
        <v>0</v>
      </c>
      <c r="F552" s="268">
        <f>$L$2/'Customer Base'!$J$5*'Customer Base'!$K$15*'Customer Base'!$K$17</f>
        <v>0</v>
      </c>
      <c r="G552" s="249">
        <f>IFERROR(ROUNDUP(F552*'Customer Base'!$J$5,2),0)</f>
        <v>0</v>
      </c>
      <c r="H552" s="268">
        <f>$L$2/'Customer Base'!$J$5*'Customer Base'!$K$15*'Customer Base'!$K$17</f>
        <v>0</v>
      </c>
      <c r="I552" s="249">
        <f>IFERROR(ROUNDUP(H552*'Customer Base'!$J$5,2),0)</f>
        <v>0</v>
      </c>
      <c r="J552" s="103" t="str">
        <f t="shared" si="92"/>
        <v/>
      </c>
      <c r="L552" s="103" t="str">
        <f t="shared" si="93"/>
        <v/>
      </c>
      <c r="N552" s="103">
        <v>561</v>
      </c>
      <c r="O552" s="103" t="str">
        <f>IF('Customer Base'!$I$15="MANUAL",IF(B552&lt;&gt;"",C552,""),IF('Customer Base'!$I$15="AUTOMATE",IF(A552&lt;&gt;"",C552,""),""))</f>
        <v/>
      </c>
      <c r="AO552" s="103">
        <f>IF('Customer Base'!$I$15="MANUAL",IFERROR(AM552*B552,""),IF('Customer Base'!$I$15="AUTOMATE",IFERROR(AM552*A552,""),""))</f>
        <v>0</v>
      </c>
      <c r="AV552" s="103">
        <f t="shared" si="97"/>
        <v>0</v>
      </c>
    </row>
    <row r="553" spans="1:48">
      <c r="C553" s="250" t="s">
        <v>988</v>
      </c>
      <c r="D553" s="333">
        <f>F553*1.219</f>
        <v>89.116198762500005</v>
      </c>
      <c r="E553" s="333">
        <f>H553*1.219</f>
        <v>88.883750700000007</v>
      </c>
      <c r="F553" s="268">
        <f>F550+F552</f>
        <v>73.105987499999998</v>
      </c>
      <c r="G553" s="249">
        <f>IFERROR(ROUNDUP(F553*'Customer Base'!$J$5,2),0)</f>
        <v>1220.8699999999999</v>
      </c>
      <c r="H553" s="268">
        <f>H550+H552</f>
        <v>72.915300000000002</v>
      </c>
      <c r="I553" s="249">
        <f>IFERROR(ROUNDUP(H553*'Customer Base'!$J$5,2),0)</f>
        <v>1217.69</v>
      </c>
      <c r="J553" s="103" t="str">
        <f t="shared" si="92"/>
        <v/>
      </c>
      <c r="L553" s="103" t="str">
        <f t="shared" si="93"/>
        <v/>
      </c>
      <c r="N553" s="103">
        <v>562</v>
      </c>
      <c r="O553" s="103" t="str">
        <f>IF('Customer Base'!$I$15="MANUAL",IF(B553&lt;&gt;"",C553,""),IF('Customer Base'!$I$15="AUTOMATE",IF(A553&lt;&gt;"",C553,""),""))</f>
        <v/>
      </c>
      <c r="AO553" s="103">
        <f>IF('Customer Base'!$I$15="MANUAL",IFERROR(AM553*B553,""),IF('Customer Base'!$I$15="AUTOMATE",IFERROR(AM553*A553,""),""))</f>
        <v>0</v>
      </c>
      <c r="AV553" s="103">
        <f t="shared" si="97"/>
        <v>0</v>
      </c>
    </row>
    <row r="554" spans="1:48">
      <c r="C554" s="250" t="s">
        <v>1597</v>
      </c>
      <c r="D554" s="321">
        <f>'Customer Base'!J9/35</f>
        <v>0.14528571428571427</v>
      </c>
      <c r="E554" s="321">
        <f>'Customer Base'!J9/35</f>
        <v>0.14528571428571427</v>
      </c>
      <c r="F554" s="249">
        <f t="shared" ref="F554" si="98">$D554/1.219</f>
        <v>0.11918434313840381</v>
      </c>
      <c r="G554" s="249">
        <f>IFERROR(ROUNDUP(F554*'Customer Base'!$J$5,2),0)</f>
        <v>2</v>
      </c>
      <c r="H554" s="249">
        <f t="shared" ref="H554" si="99">$E554/1.219</f>
        <v>0.11918434313840381</v>
      </c>
      <c r="I554" s="249">
        <f>IFERROR(ROUNDUP(H554*'Customer Base'!$J$5,2),0)</f>
        <v>2</v>
      </c>
      <c r="J554" s="103" t="str">
        <f t="shared" si="92"/>
        <v/>
      </c>
      <c r="L554" s="103" t="str">
        <f t="shared" si="93"/>
        <v/>
      </c>
      <c r="N554" s="103">
        <v>563</v>
      </c>
      <c r="O554" s="103" t="str">
        <f>IF('Customer Base'!$I$15="MANUAL",IF(B554&lt;&gt;"",C554,""),IF('Customer Base'!$I$15="AUTOMATE",IF(A554&lt;&gt;"",C554,""),""))</f>
        <v/>
      </c>
      <c r="AO554" s="103">
        <f>IF('Customer Base'!$I$15="MANUAL",IFERROR(AM554*B554,""),IF('Customer Base'!$I$15="AUTOMATE",IFERROR(AM554*A554,""),""))</f>
        <v>0</v>
      </c>
      <c r="AV554" s="103">
        <f t="shared" si="97"/>
        <v>0</v>
      </c>
    </row>
    <row r="555" spans="1:48">
      <c r="A555" s="103" t="str">
        <f>IF(INVOICE!C13="Accra",IF(SUM(A1:A554)&gt;0,1,""),"")</f>
        <v/>
      </c>
      <c r="B555" s="270" t="s">
        <v>1</v>
      </c>
      <c r="C555" s="250" t="s">
        <v>1070</v>
      </c>
      <c r="D555" s="321" t="str">
        <f>IF(F555="",IF(G555&lt;&gt;"",ROUNDUP(G555*1.219/'Customer Base'!$J$5,1),""),ROUNDUP(F555*1.219,1))</f>
        <v/>
      </c>
      <c r="E555" s="321" t="str">
        <f>IF(H555="",IF(I555&lt;&gt;"",ROUNDUP(I555*1.219/'Customer Base'!$J$5,1),""),ROUNDUP(H555*1.219,1))</f>
        <v/>
      </c>
      <c r="F555" s="249" t="str">
        <f>IF('Customer Base'!$I$15="MANUAL",IF($B555="","",IF(AND(INVOICE!$K$14="USD",'Customer Base'!$I$17="Retail"),ROUNDUP(3.5%*(SUMPRODUCT($B$1:$B$160,F$1:F$160)+SUMPRODUCT($B$242:$B$547,F$242:F$547)+F$550),0),"")),IF('Customer Base'!$I$15="AUTOMATE",IF($A555="","",IF(AND(INVOICE!$K$14="USD",'Customer Base'!$I$17="Retail"),ROUNDUP(3.5%*(SUMPRODUCT($A$1:$A$160,F$1:F$160)+SUMPRODUCT($A$242:$A$547,F$242:F$547)+F$550),0),"")),""))</f>
        <v/>
      </c>
      <c r="G555" s="249" t="str">
        <f>IF('Customer Base'!$I$15="MANUAL",IF($B555="","",IF(AND(INVOICE!$K$14="GH₵",'Customer Base'!$I$17="Retail"),ROUNDUP(3.5%*(SUMPRODUCT($B$1:$B$160,G$1:G$160)+SUMPRODUCT($B$242:$B$547,G$242:G$547)+G$550),-1),"")),IF('Customer Base'!$I$15="AUTOMATE",IF($A555="","",IF(AND(INVOICE!$K$14="GH₵",'Customer Base'!$I$17="Retail"),ROUNDUP(3.5%*(SUMPRODUCT($A$1:$A$160,G$1:G$160)+SUMPRODUCT($A$242:$A$547,G$242:G$547)+G$550),-1),"")),""))</f>
        <v/>
      </c>
      <c r="H555" s="249" t="str">
        <f>IF('Customer Base'!$I$15="MANUAL",IF($B555="","",IF(AND(INVOICE!$K$14="USD",'Customer Base'!$I$17="Super Dealer"),ROUNDUP(3.5%*(SUMPRODUCT($B$1:$B$160,H$1:H$160)+SUMPRODUCT($B$242:$B$547,H$242:H$547)+H$550),0),"")),IF('Customer Base'!$I$15="AUTOMATE",IF($A555="","",IF(AND(INVOICE!$K$14="USD",'Customer Base'!$I$17="Super Dealer"),ROUNDUP(3.5%*(SUMPRODUCT($A$1:$A$160,H$1:H$160)+SUMPRODUCT($A$242:$A$547,H$242:H$547)+H$550),0),"")),""))</f>
        <v/>
      </c>
      <c r="I555" s="249" t="str">
        <f>IF('Customer Base'!$I$15="MANUAL",IF($B555="","",IF(AND(INVOICE!$K$14="GH₵",'Customer Base'!$I$17="Super Dealer"),ROUNDUP(3.5%*(SUMPRODUCT($B$1:$B$160,I$1:I$160)+SUMPRODUCT($B$242:$B$547,I$242:I$547)+I$550),-1),"")),IF('Customer Base'!$I$15="AUTOMATE",IF($A555="","",IF(AND(INVOICE!$K$14="GH₵",'Customer Base'!$I$17="Super Dealer"),ROUNDUP(3.5%*(SUMPRODUCT($A$1:$A$160,I$1:I$160)+SUMPRODUCT($A$242:$A$547,I$242:I$547)+I$550),-1),"")),""))</f>
        <v/>
      </c>
      <c r="J555" s="103" t="str">
        <f t="shared" si="92"/>
        <v/>
      </c>
      <c r="L555" s="103" t="str">
        <f t="shared" si="93"/>
        <v/>
      </c>
      <c r="N555" s="103">
        <v>564</v>
      </c>
      <c r="O555" s="103" t="str">
        <f>IF('Customer Base'!$I$15="MANUAL",IF(B555&lt;&gt;"",C555,""),IF('Customer Base'!$I$15="AUTOMATE",IF(A555&lt;&gt;"",C555,""),""))</f>
        <v/>
      </c>
      <c r="AO555" s="103" t="str">
        <f>IF('Customer Base'!$I$15="MANUAL",IFERROR(AM555*B555,""),IF('Customer Base'!$I$15="AUTOMATE",IFERROR(AM555*A555,""),""))</f>
        <v/>
      </c>
      <c r="AV555" s="103">
        <f t="shared" si="97"/>
        <v>0</v>
      </c>
    </row>
    <row r="556" spans="1:48">
      <c r="A556" s="103">
        <f ca="1">IF(INVOICE!C13&lt;&gt;"Accra",IF(SUM(A1:A549)&gt;0,1,""),"")</f>
        <v>1</v>
      </c>
      <c r="B556" s="270">
        <v>1</v>
      </c>
      <c r="C556" s="250" t="s">
        <v>1679</v>
      </c>
      <c r="D556" s="321">
        <f>IF(F556="",IF(G556&lt;&gt;"",ROUNDUP(G556*1.219/'Customer Base'!$J$5,1),""),ROUNDUP(F556*1.219,1))</f>
        <v>149.69999999999999</v>
      </c>
      <c r="E556" s="321" t="str">
        <f>IF(H556="",IF(I556&lt;&gt;"",ROUNDUP(I556*1.219/'Customer Base'!$J$5,1),""),ROUNDUP(H556*1.219,1))</f>
        <v/>
      </c>
      <c r="F556" s="249" t="str">
        <f>IFERROR(IF('Customer Base'!$I$15="MANUAL",IF($B556="","",IF(AND(INVOICE!$K$14="USD",'Customer Base'!$I$17="Retail"),ROUNDUP(3.5%*(SUMPRODUCT($B$1:$B$160,F$1:F$160)+SUMPRODUCT($B$242:$B$547,F$242:F$547))+F552,0),"")),IF('Customer Base'!$I$15="AUTOMATE",IF($A556="","",IF(AND(INVOICE!$K$14="USD",'Customer Base'!$I$17="Retail"),ROUNDUP(3.5%*(SUMPRODUCT($A$1:$A$160,F$1:F$160)+SUMPRODUCT($A$242:$A$547,F$242:F$547))+F552,0),"")),"")),"")</f>
        <v/>
      </c>
      <c r="G556" s="249">
        <f>IFERROR(IF('Customer Base'!$I$15="MANUAL",IF($B556="","",IF(AND(INVOICE!$K$14="GH₵",'Customer Base'!$I$17="Retail"),ROUNDUP(3.5%*(SUMPRODUCT($B$1:$B$160,G$1:G$160)+SUMPRODUCT($B$242:$B$547,G$242:G$547))+G552,-1),"")),IF('Customer Base'!$I$15="AUTOMATE",IF($A556="","",IF(AND(INVOICE!$K$14="GH₵",'Customer Base'!$I$17="Retail"),ROUNDUP(3.5%*(SUMPRODUCT($A$1:$A$160,G$1:G$160)+SUMPRODUCT($A$242:$A$547,G$242:G$547))+G552,-1),"")),"")),"")</f>
        <v>2050</v>
      </c>
      <c r="H556" s="249" t="str">
        <f>IFERROR(IF('Customer Base'!$I$15="MANUAL",IF($B556="","",IF(AND(INVOICE!$K$14="USD",'Customer Base'!$I$17="Super Dealer"),ROUNDUP(3.5%*(SUMPRODUCT($B$1:$B$160,H$1:H$160)+SUMPRODUCT($B$242:$B$547,H$242:H$547))+H552,0),"")),IF('Customer Base'!$I$15="AUTOMATE",IF($A556="","",IF(AND(INVOICE!$K$14="USD",'Customer Base'!$I$17="Super Dealer"),ROUNDUP(3.5%*(SUMPRODUCT($A$1:$A$160,H$1:H$160)+SUMPRODUCT($A$242:$A$547,H$242:H$547))+H552,0),"")),"")),"")</f>
        <v/>
      </c>
      <c r="I556" s="249" t="str">
        <f>IFERROR(IF('Customer Base'!$I$15="MANUAL",IF($B556="","",IF(AND(INVOICE!$K$14="GH₵",'Customer Base'!$I$17="Super Dealer"),ROUNDUP(3.5%*(SUMPRODUCT($B$1:$B$160,I$1:I$160)+SUMPRODUCT($B$242:$B$547,I$242:I$547))+I552,-1),"")),IF('Customer Base'!$I$15="AUTOMATE",IF($A556="","",IF(AND(INVOICE!$K$14="GH₵",'Customer Base'!$I$17="Super Dealer"),ROUNDUP(3.5%*(SUMPRODUCT($A$1:$A$160,I$1:I$160)+SUMPRODUCT($A$242:$A$547,I$242:I$547))+I552,-1),"")),"")),"")</f>
        <v/>
      </c>
      <c r="J556" s="103" t="str">
        <f t="shared" si="92"/>
        <v>lkdfjk</v>
      </c>
      <c r="L556" s="103" t="str">
        <f t="shared" si="93"/>
        <v/>
      </c>
      <c r="N556" s="103">
        <v>565</v>
      </c>
      <c r="O556" s="103" t="str">
        <f>IF('Customer Base'!$I$15="MANUAL",IF(B556&lt;&gt;"",C556,""),IF('Customer Base'!$I$15="AUTOMATE",IF(A556&lt;&gt;"",C556,""),""))</f>
        <v>Engineering and Installation Works</v>
      </c>
      <c r="AO556" s="103">
        <f>IF('Customer Base'!$I$15="MANUAL",IFERROR(AM556*B556,""),IF('Customer Base'!$I$15="AUTOMATE",IFERROR(AM556*A556,""),""))</f>
        <v>0</v>
      </c>
      <c r="AV556" s="103">
        <f t="shared" si="97"/>
        <v>0</v>
      </c>
    </row>
    <row r="557" spans="1:48">
      <c r="C557" s="250" t="s">
        <v>1529</v>
      </c>
      <c r="D557" s="321" t="str">
        <f>IF(F557="",IF(G557&lt;&gt;"",ROUNDUP(G557*1.219/'Customer Base'!$J$5,1),""),ROUNDUP(F557*1.219,1))</f>
        <v/>
      </c>
      <c r="E557" s="321" t="str">
        <f>IF(H557="",IF(I557&lt;&gt;"",ROUNDUP(I557*1.219/'Customer Base'!$J$5,1),""),ROUNDUP(H557*1.219,1))</f>
        <v/>
      </c>
      <c r="F557" s="249" t="str">
        <f>IF($B557="","",IF(AND(INVOICE!$K$14="USD",'Customer Base'!$I$17="Retail"),ROUNDUP(3.5%*SUMPRODUCT($B$1:$B$547,F$1:F$547),-1),""))</f>
        <v/>
      </c>
      <c r="G557" s="249" t="str">
        <f>IF($B557="","",IF(AND(INVOICE!$K$14="GH₵",'Customer Base'!$I$17="Retail"),ROUNDUP(3.5%*SUMPRODUCT($B$1:$B$547,G$1:G$547),-1),""))</f>
        <v/>
      </c>
      <c r="H557" s="249" t="str">
        <f>IF($B557="","",IF(AND(INVOICE!$K$14="USD",'Customer Base'!$I$17="Super Dealer"),ROUNDUP(3.5%*SUMPRODUCT($B$1:$B$547,H$1:H$547),-1),""))</f>
        <v/>
      </c>
      <c r="I557" s="249" t="str">
        <f>IF($B557="","",IF(AND(INVOICE!$K$14="GH₵",'Customer Base'!$I$17="Super Dealer"),ROUNDUP(3.5%*SUMPRODUCT($B$1:$B$547,I$1:I$547),-1),""))</f>
        <v/>
      </c>
      <c r="J557" s="103" t="str">
        <f t="shared" si="92"/>
        <v/>
      </c>
      <c r="L557" s="103" t="str">
        <f t="shared" si="93"/>
        <v/>
      </c>
      <c r="N557" s="103">
        <v>566</v>
      </c>
      <c r="O557" s="103" t="str">
        <f>IF('Customer Base'!$I$15="MANUAL",IF(B557&lt;&gt;"",C557,""),IF('Customer Base'!$I$15="AUTOMATE",IF(A557&lt;&gt;"",C557,""),""))</f>
        <v/>
      </c>
      <c r="AO557" s="103">
        <f>IF('Customer Base'!$I$15="MANUAL",IFERROR(AM557*B557,""),IF('Customer Base'!$I$15="AUTOMATE",IFERROR(AM557*A557,""),""))</f>
        <v>0</v>
      </c>
      <c r="AV557" s="103">
        <f t="shared" si="97"/>
        <v>0</v>
      </c>
    </row>
    <row r="558" spans="1:48">
      <c r="D558" s="319"/>
      <c r="E558" s="319"/>
      <c r="G558" s="224">
        <f>IFERROR(ROUNDUP(F558*'Customer Base'!$J$5,2),0)</f>
        <v>0</v>
      </c>
      <c r="I558" s="224">
        <f>IFERROR(ROUNDUP(H558*'Customer Base'!$J$5,2),0)</f>
        <v>0</v>
      </c>
      <c r="J558" s="103" t="str">
        <f t="shared" si="92"/>
        <v/>
      </c>
      <c r="L558" s="103" t="str">
        <f t="shared" si="93"/>
        <v/>
      </c>
      <c r="N558" s="103">
        <v>567</v>
      </c>
      <c r="O558" s="103" t="str">
        <f>IF('Customer Base'!$I$15="MANUAL",IF(B558&lt;&gt;"",C558,""),IF('Customer Base'!$I$15="AUTOMATE",IF(A558&lt;&gt;"",C558,""),""))</f>
        <v/>
      </c>
      <c r="AO558" s="103">
        <f>IF('Customer Base'!$I$15="MANUAL",IFERROR(AM558*B558,""),IF('Customer Base'!$I$15="AUTOMATE",IFERROR(AM558*A558,""),""))</f>
        <v>0</v>
      </c>
      <c r="AV558" s="103">
        <f t="shared" si="97"/>
        <v>0</v>
      </c>
    </row>
    <row r="559" spans="1:48">
      <c r="C559" s="232" t="s">
        <v>1741</v>
      </c>
      <c r="D559" s="320"/>
      <c r="E559" s="320"/>
      <c r="F559" s="234"/>
      <c r="G559" s="234"/>
      <c r="H559" s="234"/>
      <c r="I559" s="234"/>
      <c r="J559" s="103" t="str">
        <f t="shared" si="92"/>
        <v/>
      </c>
      <c r="L559" s="103" t="str">
        <f t="shared" si="93"/>
        <v/>
      </c>
      <c r="N559" s="103">
        <v>568</v>
      </c>
      <c r="O559" s="103" t="str">
        <f>IF('Customer Base'!$I$15="MANUAL",IF(B559&lt;&gt;"",C559,""),IF('Customer Base'!$I$15="AUTOMATE",IF(A559&lt;&gt;"",C559,""),""))</f>
        <v/>
      </c>
      <c r="AO559" s="103">
        <f>IF('Customer Base'!$I$15="MANUAL",IFERROR(AM559*B559,""),IF('Customer Base'!$I$15="AUTOMATE",IFERROR(AM559*A559,""),""))</f>
        <v>0</v>
      </c>
      <c r="AV559" s="103">
        <f t="shared" si="97"/>
        <v>0</v>
      </c>
    </row>
    <row r="560" spans="1:48">
      <c r="A560" s="103" t="str">
        <f>IF('Customer Base'!J$2&lt;&gt;"",1,"")</f>
        <v/>
      </c>
      <c r="B560" s="270" t="s">
        <v>1</v>
      </c>
      <c r="C560" s="346" t="s">
        <v>1148</v>
      </c>
      <c r="D560" s="347">
        <f>-1*IF('Customer Base'!$J$2="",'Customer Base'!$L$2,'Customer Base'!$J$2%*IF('Customer Base'!$I$15="MANUAL",SUMPRODUCT($B5:$B558,D5:D558),IF('Customer Base'!$I$15="AUTOMATE",SUMPRODUCT($A5:$A558,D5:D558),0)))</f>
        <v>0</v>
      </c>
      <c r="E560" s="347">
        <f>-1*IF('Customer Base'!$J$2="",'Customer Base'!$L$2,'Customer Base'!$J$2%*IF('Customer Base'!$I$15="MANUAL",SUMPRODUCT($B5:$B558,E5:E558),IF('Customer Base'!$I$15="AUTOMATE",SUMPRODUCT($A5:$A558,E5:E558),0)))</f>
        <v>0</v>
      </c>
      <c r="F560" s="347">
        <f>-1*IF('Customer Base'!$J$2="",'Customer Base'!$L$2,'Customer Base'!$J$2%*IF('Customer Base'!$I$15="MANUAL",SUMPRODUCT($B5:$B558,F5:F558),IF('Customer Base'!$I$15="AUTOMATE",SUMPRODUCT($A5:$A558,F5:F558),0)))</f>
        <v>0</v>
      </c>
      <c r="G560" s="347">
        <f>-1*IF('Customer Base'!$J$2="",'Customer Base'!$L$2,'Customer Base'!$J$2%*IF('Customer Base'!$I$15="MANUAL",SUMPRODUCT($B5:$B558,G5:G558),IF('Customer Base'!$I$15="AUTOMATE",SUMPRODUCT($A5:$A558,G5:G558),0)))</f>
        <v>0</v>
      </c>
      <c r="H560" s="347">
        <f>-1*IF('Customer Base'!$J$2="",'Customer Base'!$L$2,'Customer Base'!$J$2%*IF('Customer Base'!$I$15="MANUAL",SUMPRODUCT($B5:$B558,H5:H558),IF('Customer Base'!$I$15="AUTOMATE",SUMPRODUCT($A5:$A558,H5:H558),0)))</f>
        <v>0</v>
      </c>
      <c r="I560" s="347">
        <f>-1*IF('Customer Base'!$J$2="",'Customer Base'!$L$2,'Customer Base'!$J$2%*IF('Customer Base'!$I$15="MANUAL",SUMPRODUCT($B5:$B558,I5:I558),IF('Customer Base'!$I$15="AUTOMATE",SUMPRODUCT($A5:$A558,I5:I558),0)))</f>
        <v>0</v>
      </c>
      <c r="L560" s="103" t="str">
        <f t="shared" si="93"/>
        <v/>
      </c>
      <c r="N560" s="103">
        <v>569</v>
      </c>
      <c r="O560" s="103" t="str">
        <f>IF('Customer Base'!$I$15="MANUAL",IF(B560&lt;&gt;"",C560,""),IF('Customer Base'!$I$15="AUTOMATE",IF(A560&lt;&gt;"",C560,""),""))</f>
        <v/>
      </c>
      <c r="AO560" s="103" t="str">
        <f>IF('Customer Base'!$I$15="MANUAL",IFERROR(AM560*B560,""),IF('Customer Base'!$I$15="AUTOMATE",IFERROR(AM560*A560,""),""))</f>
        <v/>
      </c>
      <c r="AV560" s="103">
        <f t="shared" si="97"/>
        <v>0</v>
      </c>
    </row>
    <row r="561" spans="5:15">
      <c r="E561" s="224">
        <f t="shared" ref="E561:E624" si="100">H561/1.219</f>
        <v>0</v>
      </c>
      <c r="G561" s="224">
        <f>IFERROR(ROUNDUP(F561*'Customer Base'!$J$5,2),0)</f>
        <v>0</v>
      </c>
      <c r="I561" s="224">
        <f>IFERROR(ROUNDUP(H561*'Customer Base'!$J$5,2),0)</f>
        <v>0</v>
      </c>
      <c r="L561" s="103" t="str">
        <f t="shared" si="93"/>
        <v/>
      </c>
      <c r="N561" s="103">
        <v>570</v>
      </c>
      <c r="O561" s="103" t="str">
        <f>IF('Customer Base'!$I$15="MANUAL",IF(B561&lt;&gt;"",C561,""),IF('Customer Base'!$I$15="AUTOMATE",IF(A561&lt;&gt;"",C561,""),""))</f>
        <v/>
      </c>
    </row>
    <row r="562" spans="5:15">
      <c r="E562" s="224">
        <f t="shared" si="100"/>
        <v>0</v>
      </c>
      <c r="G562" s="224">
        <f>IFERROR(ROUNDUP(F562*'Customer Base'!$J$5,2),0)</f>
        <v>0</v>
      </c>
      <c r="I562" s="224">
        <f>IFERROR(ROUNDUP(H562*'Customer Base'!$J$5,2),0)</f>
        <v>0</v>
      </c>
      <c r="L562" s="103" t="str">
        <f t="shared" si="93"/>
        <v/>
      </c>
      <c r="N562" s="103">
        <v>571</v>
      </c>
      <c r="O562" s="103" t="str">
        <f>IF('Customer Base'!$I$15="MANUAL",IF(B562&lt;&gt;"",C562,""),IF('Customer Base'!$I$15="AUTOMATE",IF(A562&lt;&gt;"",C562,""),""))</f>
        <v/>
      </c>
    </row>
    <row r="563" spans="5:15">
      <c r="E563" s="224">
        <f t="shared" si="100"/>
        <v>0</v>
      </c>
      <c r="G563" s="224">
        <f>IFERROR(ROUNDUP(F563*'Customer Base'!$J$5,2),0)</f>
        <v>0</v>
      </c>
      <c r="I563" s="224">
        <f>IFERROR(ROUNDUP(H563*'Customer Base'!$J$5,2),0)</f>
        <v>0</v>
      </c>
      <c r="L563" s="103" t="str">
        <f t="shared" si="93"/>
        <v/>
      </c>
      <c r="N563" s="103">
        <v>572</v>
      </c>
      <c r="O563" s="103" t="str">
        <f>IF('Customer Base'!$I$15="MANUAL",IF(B563&lt;&gt;"",C563,""),IF('Customer Base'!$I$15="AUTOMATE",IF(A563&lt;&gt;"",C563,""),""))</f>
        <v/>
      </c>
    </row>
    <row r="564" spans="5:15">
      <c r="E564" s="224">
        <f t="shared" si="100"/>
        <v>0</v>
      </c>
      <c r="G564" s="224">
        <f>IFERROR(ROUNDUP(F564*'Customer Base'!$J$5,2),0)</f>
        <v>0</v>
      </c>
      <c r="I564" s="224">
        <f>IFERROR(ROUNDUP(H564*'Customer Base'!$J$5,2),0)</f>
        <v>0</v>
      </c>
      <c r="L564" s="103" t="str">
        <f t="shared" si="93"/>
        <v/>
      </c>
      <c r="N564" s="103">
        <v>573</v>
      </c>
      <c r="O564" s="103" t="str">
        <f>IF('Customer Base'!$I$15="MANUAL",IF(B564&lt;&gt;"",C564,""),IF('Customer Base'!$I$15="AUTOMATE",IF(A564&lt;&gt;"",C564,""),""))</f>
        <v/>
      </c>
    </row>
    <row r="565" spans="5:15">
      <c r="E565" s="224">
        <f t="shared" si="100"/>
        <v>0</v>
      </c>
      <c r="G565" s="224">
        <f>IFERROR(ROUNDUP(F565*'Customer Base'!$J$5,2),0)</f>
        <v>0</v>
      </c>
      <c r="I565" s="224">
        <f>IFERROR(ROUNDUP(H565*'Customer Base'!$J$5,2),0)</f>
        <v>0</v>
      </c>
      <c r="L565" s="103" t="str">
        <f t="shared" si="93"/>
        <v/>
      </c>
      <c r="N565" s="103">
        <v>574</v>
      </c>
      <c r="O565" s="103" t="str">
        <f>IF('Customer Base'!$I$15="MANUAL",IF(B565&lt;&gt;"",C565,""),IF('Customer Base'!$I$15="AUTOMATE",IF(A565&lt;&gt;"",C565,""),""))</f>
        <v/>
      </c>
    </row>
    <row r="566" spans="5:15">
      <c r="E566" s="224">
        <f t="shared" si="100"/>
        <v>0</v>
      </c>
      <c r="G566" s="224">
        <f>IFERROR(ROUNDUP(F566*'Customer Base'!$J$5,2),0)</f>
        <v>0</v>
      </c>
      <c r="I566" s="224">
        <f>IFERROR(ROUNDUP(H566*'Customer Base'!$J$5,2),0)</f>
        <v>0</v>
      </c>
      <c r="L566" s="103" t="str">
        <f t="shared" si="93"/>
        <v/>
      </c>
      <c r="N566" s="103">
        <v>575</v>
      </c>
      <c r="O566" s="103" t="str">
        <f>IF('Customer Base'!$I$15="MANUAL",IF(B566&lt;&gt;"",C566,""),IF('Customer Base'!$I$15="AUTOMATE",IF(A566&lt;&gt;"",C566,""),""))</f>
        <v/>
      </c>
    </row>
    <row r="567" spans="5:15">
      <c r="E567" s="224">
        <f t="shared" si="100"/>
        <v>0</v>
      </c>
      <c r="G567" s="224">
        <f>IFERROR(ROUNDUP(F567*'Customer Base'!$J$5,2),0)</f>
        <v>0</v>
      </c>
      <c r="I567" s="224">
        <f>IFERROR(ROUNDUP(H567*'Customer Base'!$J$5,2),0)</f>
        <v>0</v>
      </c>
      <c r="L567" s="103" t="str">
        <f t="shared" si="93"/>
        <v/>
      </c>
      <c r="N567" s="103">
        <v>576</v>
      </c>
      <c r="O567" s="103" t="str">
        <f>IF('Customer Base'!$I$15="MANUAL",IF(B567&lt;&gt;"",C567,""),IF('Customer Base'!$I$15="AUTOMATE",IF(A567&lt;&gt;"",C567,""),""))</f>
        <v/>
      </c>
    </row>
    <row r="568" spans="5:15">
      <c r="E568" s="224">
        <f t="shared" si="100"/>
        <v>0</v>
      </c>
      <c r="G568" s="224">
        <f>IFERROR(ROUNDUP(F568*'Customer Base'!$J$5,2),0)</f>
        <v>0</v>
      </c>
      <c r="I568" s="224">
        <f>IFERROR(ROUNDUP(H568*'Customer Base'!$J$5,2),0)</f>
        <v>0</v>
      </c>
      <c r="L568" s="103" t="str">
        <f t="shared" si="93"/>
        <v/>
      </c>
      <c r="N568" s="103">
        <v>577</v>
      </c>
      <c r="O568" s="103" t="str">
        <f>IF('Customer Base'!$I$15="MANUAL",IF(B568&lt;&gt;"",C568,""),IF('Customer Base'!$I$15="AUTOMATE",IF(A568&lt;&gt;"",C568,""),""))</f>
        <v/>
      </c>
    </row>
    <row r="569" spans="5:15">
      <c r="E569" s="224">
        <f t="shared" si="100"/>
        <v>0</v>
      </c>
      <c r="G569" s="224">
        <f>IFERROR(ROUNDUP(F569*'Customer Base'!$J$5,2),0)</f>
        <v>0</v>
      </c>
      <c r="I569" s="224">
        <f>IFERROR(ROUNDUP(H569*'Customer Base'!$J$5,2),0)</f>
        <v>0</v>
      </c>
      <c r="L569" s="103" t="str">
        <f t="shared" si="93"/>
        <v/>
      </c>
      <c r="N569" s="103">
        <v>578</v>
      </c>
      <c r="O569" s="103" t="str">
        <f>IF('Customer Base'!$I$15="MANUAL",IF(B569&lt;&gt;"",C569,""),IF('Customer Base'!$I$15="AUTOMATE",IF(A569&lt;&gt;"",C569,""),""))</f>
        <v/>
      </c>
    </row>
    <row r="570" spans="5:15">
      <c r="E570" s="224">
        <f t="shared" si="100"/>
        <v>0</v>
      </c>
      <c r="G570" s="224">
        <f>IFERROR(ROUNDUP(F570*'Customer Base'!$J$5,2),0)</f>
        <v>0</v>
      </c>
      <c r="I570" s="224">
        <f>IFERROR(ROUNDUP(H570*'Customer Base'!$J$5,2),0)</f>
        <v>0</v>
      </c>
      <c r="L570" s="103" t="str">
        <f t="shared" si="93"/>
        <v/>
      </c>
      <c r="N570" s="103">
        <v>579</v>
      </c>
      <c r="O570" s="103" t="str">
        <f>IF('Customer Base'!$I$15="MANUAL",IF(B570&lt;&gt;"",C570,""),IF('Customer Base'!$I$15="AUTOMATE",IF(A570&lt;&gt;"",C570,""),""))</f>
        <v/>
      </c>
    </row>
    <row r="571" spans="5:15">
      <c r="E571" s="224">
        <f t="shared" si="100"/>
        <v>0</v>
      </c>
      <c r="G571" s="224">
        <f>IFERROR(ROUNDUP(F571*'Customer Base'!$J$5,2),0)</f>
        <v>0</v>
      </c>
      <c r="I571" s="224">
        <f>IFERROR(ROUNDUP(H571*'Customer Base'!$J$5,2),0)</f>
        <v>0</v>
      </c>
      <c r="L571" s="103" t="str">
        <f t="shared" si="93"/>
        <v/>
      </c>
      <c r="N571" s="103">
        <v>580</v>
      </c>
      <c r="O571" s="103" t="str">
        <f>IF('Customer Base'!$I$15="MANUAL",IF(B571&lt;&gt;"",C571,""),IF('Customer Base'!$I$15="AUTOMATE",IF(A571&lt;&gt;"",C571,""),""))</f>
        <v/>
      </c>
    </row>
    <row r="572" spans="5:15">
      <c r="E572" s="224">
        <f t="shared" si="100"/>
        <v>0</v>
      </c>
      <c r="G572" s="224">
        <f>IFERROR(ROUNDUP(F572*'Customer Base'!$J$5,2),0)</f>
        <v>0</v>
      </c>
      <c r="I572" s="224">
        <f>IFERROR(ROUNDUP(H572*'Customer Base'!$J$5,2),0)</f>
        <v>0</v>
      </c>
      <c r="L572" s="103" t="str">
        <f t="shared" si="93"/>
        <v/>
      </c>
      <c r="N572" s="103">
        <v>581</v>
      </c>
      <c r="O572" s="103" t="str">
        <f>IF('Customer Base'!$I$15="MANUAL",IF(B572&lt;&gt;"",C572,""),IF('Customer Base'!$I$15="AUTOMATE",IF(A572&lt;&gt;"",C572,""),""))</f>
        <v/>
      </c>
    </row>
    <row r="573" spans="5:15">
      <c r="E573" s="224">
        <f t="shared" si="100"/>
        <v>0</v>
      </c>
      <c r="G573" s="224">
        <f>IFERROR(ROUNDUP(F573*'Customer Base'!$J$5,2),0)</f>
        <v>0</v>
      </c>
      <c r="I573" s="224">
        <f>IFERROR(ROUNDUP(H573*'Customer Base'!$J$5,2),0)</f>
        <v>0</v>
      </c>
      <c r="L573" s="103" t="str">
        <f t="shared" si="93"/>
        <v/>
      </c>
      <c r="N573" s="103">
        <v>582</v>
      </c>
      <c r="O573" s="103" t="str">
        <f>IF('Customer Base'!$I$15="MANUAL",IF(B573&lt;&gt;"",C573,""),IF('Customer Base'!$I$15="AUTOMATE",IF(A573&lt;&gt;"",C573,""),""))</f>
        <v/>
      </c>
    </row>
    <row r="574" spans="5:15">
      <c r="E574" s="224">
        <f t="shared" si="100"/>
        <v>0</v>
      </c>
      <c r="G574" s="224">
        <f>IFERROR(ROUNDUP(F574*'Customer Base'!$J$5,2),0)</f>
        <v>0</v>
      </c>
      <c r="I574" s="224">
        <f>IFERROR(ROUNDUP(H574*'Customer Base'!$J$5,2),0)</f>
        <v>0</v>
      </c>
      <c r="L574" s="103" t="str">
        <f t="shared" si="93"/>
        <v/>
      </c>
      <c r="N574" s="103">
        <v>583</v>
      </c>
      <c r="O574" s="103" t="str">
        <f>IF('Customer Base'!$I$15="MANUAL",IF(B574&lt;&gt;"",C574,""),IF('Customer Base'!$I$15="AUTOMATE",IF(A574&lt;&gt;"",C574,""),""))</f>
        <v/>
      </c>
    </row>
    <row r="575" spans="5:15">
      <c r="E575" s="224">
        <f t="shared" si="100"/>
        <v>0</v>
      </c>
      <c r="G575" s="224">
        <f>IFERROR(ROUNDUP(F575*'Customer Base'!$J$5,2),0)</f>
        <v>0</v>
      </c>
      <c r="I575" s="224">
        <f>IFERROR(ROUNDUP(H575*'Customer Base'!$J$5,2),0)</f>
        <v>0</v>
      </c>
      <c r="L575" s="103" t="str">
        <f t="shared" si="93"/>
        <v/>
      </c>
      <c r="N575" s="103">
        <v>584</v>
      </c>
      <c r="O575" s="103" t="str">
        <f>IF('Customer Base'!$I$15="MANUAL",IF(B575&lt;&gt;"",C575,""),IF('Customer Base'!$I$15="AUTOMATE",IF(A575&lt;&gt;"",C575,""),""))</f>
        <v/>
      </c>
    </row>
    <row r="576" spans="5:15">
      <c r="E576" s="224">
        <f t="shared" si="100"/>
        <v>0</v>
      </c>
      <c r="G576" s="224">
        <f>IFERROR(ROUNDUP(F576*'Customer Base'!$J$5,2),0)</f>
        <v>0</v>
      </c>
      <c r="I576" s="224">
        <f>IFERROR(ROUNDUP(H576*'Customer Base'!$J$5,2),0)</f>
        <v>0</v>
      </c>
      <c r="L576" s="103" t="str">
        <f t="shared" si="93"/>
        <v/>
      </c>
      <c r="N576" s="103">
        <v>585</v>
      </c>
      <c r="O576" s="103" t="str">
        <f>IF('Customer Base'!$I$15="MANUAL",IF(B576&lt;&gt;"",C576,""),IF('Customer Base'!$I$15="AUTOMATE",IF(A576&lt;&gt;"",C576,""),""))</f>
        <v/>
      </c>
    </row>
    <row r="577" spans="5:15">
      <c r="E577" s="224">
        <f t="shared" si="100"/>
        <v>0</v>
      </c>
      <c r="G577" s="224">
        <f>IFERROR(ROUNDUP(F577*'Customer Base'!$J$5,2),0)</f>
        <v>0</v>
      </c>
      <c r="I577" s="224">
        <f>IFERROR(ROUNDUP(H577*'Customer Base'!$J$5,2),0)</f>
        <v>0</v>
      </c>
      <c r="L577" s="103" t="str">
        <f t="shared" si="93"/>
        <v/>
      </c>
      <c r="N577" s="103">
        <v>586</v>
      </c>
      <c r="O577" s="103" t="str">
        <f>IF('Customer Base'!$I$15="MANUAL",IF(B577&lt;&gt;"",C577,""),IF('Customer Base'!$I$15="AUTOMATE",IF(A577&lt;&gt;"",C577,""),""))</f>
        <v/>
      </c>
    </row>
    <row r="578" spans="5:15">
      <c r="E578" s="224">
        <f t="shared" si="100"/>
        <v>0</v>
      </c>
      <c r="G578" s="224">
        <f>IFERROR(ROUNDUP(F578*'Customer Base'!$J$5,2),0)</f>
        <v>0</v>
      </c>
      <c r="I578" s="224">
        <f>IFERROR(ROUNDUP(H578*'Customer Base'!$J$5,2),0)</f>
        <v>0</v>
      </c>
      <c r="L578" s="103" t="str">
        <f t="shared" si="93"/>
        <v/>
      </c>
      <c r="N578" s="103">
        <v>587</v>
      </c>
      <c r="O578" s="103" t="str">
        <f>IF('Customer Base'!$I$15="MANUAL",IF(B578&lt;&gt;"",C578,""),IF('Customer Base'!$I$15="AUTOMATE",IF(A578&lt;&gt;"",C578,""),""))</f>
        <v/>
      </c>
    </row>
    <row r="579" spans="5:15">
      <c r="E579" s="224">
        <f t="shared" si="100"/>
        <v>0</v>
      </c>
      <c r="G579" s="224">
        <f>IFERROR(ROUNDUP(F579*'Customer Base'!$J$5,2),0)</f>
        <v>0</v>
      </c>
      <c r="I579" s="224">
        <f>IFERROR(ROUNDUP(H579*'Customer Base'!$J$5,2),0)</f>
        <v>0</v>
      </c>
      <c r="L579" s="103" t="str">
        <f t="shared" si="93"/>
        <v/>
      </c>
      <c r="N579" s="103">
        <v>588</v>
      </c>
      <c r="O579" s="103" t="str">
        <f>IF('Customer Base'!$I$15="MANUAL",IF(B579&lt;&gt;"",C579,""),IF('Customer Base'!$I$15="AUTOMATE",IF(A579&lt;&gt;"",C579,""),""))</f>
        <v/>
      </c>
    </row>
    <row r="580" spans="5:15">
      <c r="E580" s="224">
        <f t="shared" si="100"/>
        <v>0</v>
      </c>
      <c r="G580" s="224">
        <f>IFERROR(ROUNDUP(F580*'Customer Base'!$J$5,2),0)</f>
        <v>0</v>
      </c>
      <c r="I580" s="224">
        <f>IFERROR(ROUNDUP(H580*'Customer Base'!$J$5,2),0)</f>
        <v>0</v>
      </c>
      <c r="L580" s="103" t="str">
        <f t="shared" si="93"/>
        <v/>
      </c>
      <c r="N580" s="103">
        <v>589</v>
      </c>
      <c r="O580" s="103" t="str">
        <f>IF('Customer Base'!$I$15="MANUAL",IF(B580&lt;&gt;"",C580,""),IF('Customer Base'!$I$15="AUTOMATE",IF(A580&lt;&gt;"",C580,""),""))</f>
        <v/>
      </c>
    </row>
    <row r="581" spans="5:15">
      <c r="E581" s="224">
        <f t="shared" si="100"/>
        <v>0</v>
      </c>
      <c r="G581" s="224">
        <f>IFERROR(ROUNDUP(F581*'Customer Base'!$J$5,2),0)</f>
        <v>0</v>
      </c>
      <c r="I581" s="224">
        <f>IFERROR(ROUNDUP(H581*'Customer Base'!$J$5,2),0)</f>
        <v>0</v>
      </c>
      <c r="L581" s="103" t="str">
        <f t="shared" si="93"/>
        <v/>
      </c>
      <c r="N581" s="103">
        <v>590</v>
      </c>
      <c r="O581" s="103" t="str">
        <f>IF('Customer Base'!$I$15="MANUAL",IF(B581&lt;&gt;"",C581,""),IF('Customer Base'!$I$15="AUTOMATE",IF(A581&lt;&gt;"",C581,""),""))</f>
        <v/>
      </c>
    </row>
    <row r="582" spans="5:15">
      <c r="E582" s="224">
        <f t="shared" si="100"/>
        <v>0</v>
      </c>
      <c r="G582" s="224">
        <f>IFERROR(ROUNDUP(F582*'Customer Base'!$J$5,2),0)</f>
        <v>0</v>
      </c>
      <c r="I582" s="224">
        <f>IFERROR(ROUNDUP(H582*'Customer Base'!$J$5,2),0)</f>
        <v>0</v>
      </c>
      <c r="L582" s="103" t="str">
        <f t="shared" si="93"/>
        <v/>
      </c>
      <c r="N582" s="103">
        <v>591</v>
      </c>
      <c r="O582" s="103" t="str">
        <f>IF('Customer Base'!$I$15="MANUAL",IF(B582&lt;&gt;"",C582,""),IF('Customer Base'!$I$15="AUTOMATE",IF(A582&lt;&gt;"",C582,""),""))</f>
        <v/>
      </c>
    </row>
    <row r="583" spans="5:15">
      <c r="E583" s="224">
        <f t="shared" si="100"/>
        <v>0</v>
      </c>
      <c r="G583" s="224">
        <f>IFERROR(ROUNDUP(F583*'Customer Base'!$J$5,2),0)</f>
        <v>0</v>
      </c>
      <c r="I583" s="224">
        <f>IFERROR(ROUNDUP(H583*'Customer Base'!$J$5,2),0)</f>
        <v>0</v>
      </c>
      <c r="L583" s="103" t="str">
        <f t="shared" si="93"/>
        <v/>
      </c>
      <c r="N583" s="103">
        <v>592</v>
      </c>
      <c r="O583" s="103" t="str">
        <f>IF('Customer Base'!$I$15="MANUAL",IF(B583&lt;&gt;"",C583,""),IF('Customer Base'!$I$15="AUTOMATE",IF(A583&lt;&gt;"",C583,""),""))</f>
        <v/>
      </c>
    </row>
    <row r="584" spans="5:15">
      <c r="E584" s="224">
        <f t="shared" si="100"/>
        <v>0</v>
      </c>
      <c r="G584" s="224">
        <f>IFERROR(ROUNDUP(F584*'Customer Base'!$J$5,2),0)</f>
        <v>0</v>
      </c>
      <c r="I584" s="224">
        <f>IFERROR(ROUNDUP(H584*'Customer Base'!$J$5,2),0)</f>
        <v>0</v>
      </c>
      <c r="L584" s="103" t="str">
        <f t="shared" si="93"/>
        <v/>
      </c>
      <c r="N584" s="103">
        <v>593</v>
      </c>
      <c r="O584" s="103" t="str">
        <f>IF('Customer Base'!$I$15="MANUAL",IF(B584&lt;&gt;"",C584,""),IF('Customer Base'!$I$15="AUTOMATE",IF(A584&lt;&gt;"",C584,""),""))</f>
        <v/>
      </c>
    </row>
    <row r="585" spans="5:15">
      <c r="E585" s="224">
        <f t="shared" si="100"/>
        <v>0</v>
      </c>
      <c r="G585" s="224">
        <f>IFERROR(ROUNDUP(F585*'Customer Base'!$J$5,2),0)</f>
        <v>0</v>
      </c>
      <c r="I585" s="224">
        <f>IFERROR(ROUNDUP(H585*'Customer Base'!$J$5,2),0)</f>
        <v>0</v>
      </c>
      <c r="L585" s="103" t="str">
        <f t="shared" si="93"/>
        <v/>
      </c>
      <c r="N585" s="103">
        <v>594</v>
      </c>
      <c r="O585" s="103" t="str">
        <f>IF('Customer Base'!$I$15="MANUAL",IF(B585&lt;&gt;"",C585,""),IF('Customer Base'!$I$15="AUTOMATE",IF(A585&lt;&gt;"",C585,""),""))</f>
        <v/>
      </c>
    </row>
    <row r="586" spans="5:15">
      <c r="E586" s="224">
        <f t="shared" si="100"/>
        <v>0</v>
      </c>
      <c r="G586" s="224">
        <f>IFERROR(ROUNDUP(F586*'Customer Base'!$J$5,2),0)</f>
        <v>0</v>
      </c>
      <c r="I586" s="224">
        <f>IFERROR(ROUNDUP(H586*'Customer Base'!$J$5,2),0)</f>
        <v>0</v>
      </c>
      <c r="L586" s="103" t="str">
        <f t="shared" si="93"/>
        <v/>
      </c>
      <c r="N586" s="103">
        <v>595</v>
      </c>
      <c r="O586" s="103" t="str">
        <f>IF('Customer Base'!$I$15="MANUAL",IF(B586&lt;&gt;"",C586,""),IF('Customer Base'!$I$15="AUTOMATE",IF(A586&lt;&gt;"",C586,""),""))</f>
        <v/>
      </c>
    </row>
    <row r="587" spans="5:15">
      <c r="E587" s="224">
        <f t="shared" si="100"/>
        <v>0</v>
      </c>
      <c r="G587" s="224">
        <f>IFERROR(ROUNDUP(F587*'Customer Base'!$J$5,2),0)</f>
        <v>0</v>
      </c>
      <c r="I587" s="224">
        <f>IFERROR(ROUNDUP(H587*'Customer Base'!$J$5,2),0)</f>
        <v>0</v>
      </c>
      <c r="L587" s="103" t="str">
        <f t="shared" si="93"/>
        <v/>
      </c>
      <c r="N587" s="103">
        <v>596</v>
      </c>
      <c r="O587" s="103" t="str">
        <f>IF('Customer Base'!$I$15="MANUAL",IF(B587&lt;&gt;"",C587,""),IF('Customer Base'!$I$15="AUTOMATE",IF(A587&lt;&gt;"",C587,""),""))</f>
        <v/>
      </c>
    </row>
    <row r="588" spans="5:15">
      <c r="E588" s="224">
        <f t="shared" si="100"/>
        <v>0</v>
      </c>
      <c r="G588" s="224">
        <f>IFERROR(ROUNDUP(F588*'Customer Base'!$J$5,2),0)</f>
        <v>0</v>
      </c>
      <c r="I588" s="224">
        <f>IFERROR(ROUNDUP(H588*'Customer Base'!$J$5,2),0)</f>
        <v>0</v>
      </c>
      <c r="L588" s="103" t="str">
        <f t="shared" si="93"/>
        <v/>
      </c>
      <c r="N588" s="103">
        <v>597</v>
      </c>
      <c r="O588" s="103" t="str">
        <f>IF('Customer Base'!$I$15="MANUAL",IF(B588&lt;&gt;"",C588,""),IF('Customer Base'!$I$15="AUTOMATE",IF(A588&lt;&gt;"",C588,""),""))</f>
        <v/>
      </c>
    </row>
    <row r="589" spans="5:15">
      <c r="E589" s="224">
        <f t="shared" si="100"/>
        <v>0</v>
      </c>
      <c r="G589" s="224">
        <f>IFERROR(ROUNDUP(F589*'Customer Base'!$J$5,2),0)</f>
        <v>0</v>
      </c>
      <c r="I589" s="224">
        <f>IFERROR(ROUNDUP(H589*'Customer Base'!$J$5,2),0)</f>
        <v>0</v>
      </c>
      <c r="L589" s="103" t="str">
        <f t="shared" si="93"/>
        <v/>
      </c>
      <c r="N589" s="103">
        <v>598</v>
      </c>
      <c r="O589" s="103" t="str">
        <f>IF('Customer Base'!$I$15="MANUAL",IF(B589&lt;&gt;"",C589,""),IF('Customer Base'!$I$15="AUTOMATE",IF(A589&lt;&gt;"",C589,""),""))</f>
        <v/>
      </c>
    </row>
    <row r="590" spans="5:15">
      <c r="E590" s="224">
        <f t="shared" si="100"/>
        <v>0</v>
      </c>
      <c r="G590" s="224">
        <f>IFERROR(ROUNDUP(F590*'Customer Base'!$J$5,2),0)</f>
        <v>0</v>
      </c>
      <c r="I590" s="224">
        <f>IFERROR(ROUNDUP(H590*'Customer Base'!$J$5,2),0)</f>
        <v>0</v>
      </c>
      <c r="L590" s="103" t="str">
        <f t="shared" si="93"/>
        <v/>
      </c>
      <c r="N590" s="103">
        <v>599</v>
      </c>
      <c r="O590" s="103" t="str">
        <f>IF('Customer Base'!$I$15="MANUAL",IF(B590&lt;&gt;"",C590,""),IF('Customer Base'!$I$15="AUTOMATE",IF(A590&lt;&gt;"",C590,""),""))</f>
        <v/>
      </c>
    </row>
    <row r="591" spans="5:15">
      <c r="E591" s="224">
        <f t="shared" si="100"/>
        <v>0</v>
      </c>
      <c r="G591" s="224">
        <f>IFERROR(ROUNDUP(F591*'Customer Base'!$J$5,2),0)</f>
        <v>0</v>
      </c>
      <c r="I591" s="224">
        <f>IFERROR(ROUNDUP(H591*'Customer Base'!$J$5,2),0)</f>
        <v>0</v>
      </c>
      <c r="L591" s="103" t="str">
        <f t="shared" si="93"/>
        <v/>
      </c>
      <c r="N591" s="103">
        <v>600</v>
      </c>
      <c r="O591" s="103" t="str">
        <f>IF('Customer Base'!$I$15="MANUAL",IF(B591&lt;&gt;"",C591,""),IF('Customer Base'!$I$15="AUTOMATE",IF(A591&lt;&gt;"",C591,""),""))</f>
        <v/>
      </c>
    </row>
    <row r="592" spans="5:15">
      <c r="E592" s="224">
        <f t="shared" si="100"/>
        <v>0</v>
      </c>
      <c r="G592" s="224">
        <f>IFERROR(ROUNDUP(F592*'Customer Base'!$J$5,2),0)</f>
        <v>0</v>
      </c>
      <c r="I592" s="224">
        <f>IFERROR(ROUNDUP(H592*'Customer Base'!$J$5,2),0)</f>
        <v>0</v>
      </c>
      <c r="L592" s="103" t="str">
        <f t="shared" si="93"/>
        <v/>
      </c>
      <c r="N592" s="103">
        <v>601</v>
      </c>
      <c r="O592" s="103" t="str">
        <f>IF('Customer Base'!$I$15="MANUAL",IF(B592&lt;&gt;"",C592,""),IF('Customer Base'!$I$15="AUTOMATE",IF(A592&lt;&gt;"",C592,""),""))</f>
        <v/>
      </c>
    </row>
    <row r="593" spans="5:15">
      <c r="E593" s="224">
        <f t="shared" si="100"/>
        <v>0</v>
      </c>
      <c r="G593" s="224">
        <f>IFERROR(ROUNDUP(F593*'Customer Base'!$J$5,2),0)</f>
        <v>0</v>
      </c>
      <c r="I593" s="224">
        <f>IFERROR(ROUNDUP(H593*'Customer Base'!$J$5,2),0)</f>
        <v>0</v>
      </c>
      <c r="L593" s="103" t="str">
        <f t="shared" ref="L593:L656" si="101">IF(H593&gt;F593,"lkkajdfkj","")</f>
        <v/>
      </c>
      <c r="N593" s="103">
        <v>602</v>
      </c>
      <c r="O593" s="103" t="str">
        <f>IF('Customer Base'!$I$15="MANUAL",IF(B593&lt;&gt;"",C593,""),IF('Customer Base'!$I$15="AUTOMATE",IF(A593&lt;&gt;"",C593,""),""))</f>
        <v/>
      </c>
    </row>
    <row r="594" spans="5:15">
      <c r="E594" s="224">
        <f t="shared" si="100"/>
        <v>0</v>
      </c>
      <c r="G594" s="224">
        <f>IFERROR(ROUNDUP(F594*'Customer Base'!$J$5,2),0)</f>
        <v>0</v>
      </c>
      <c r="I594" s="224">
        <f>IFERROR(ROUNDUP(H594*'Customer Base'!$J$5,2),0)</f>
        <v>0</v>
      </c>
      <c r="L594" s="103" t="str">
        <f t="shared" si="101"/>
        <v/>
      </c>
      <c r="N594" s="103">
        <v>603</v>
      </c>
      <c r="O594" s="103" t="str">
        <f>IF('Customer Base'!$I$15="MANUAL",IF(B594&lt;&gt;"",C594,""),IF('Customer Base'!$I$15="AUTOMATE",IF(A594&lt;&gt;"",C594,""),""))</f>
        <v/>
      </c>
    </row>
    <row r="595" spans="5:15">
      <c r="E595" s="224">
        <f t="shared" si="100"/>
        <v>0</v>
      </c>
      <c r="G595" s="224">
        <f>IFERROR(ROUNDUP(F595*'Customer Base'!$J$5,2),0)</f>
        <v>0</v>
      </c>
      <c r="I595" s="224">
        <f>IFERROR(ROUNDUP(H595*'Customer Base'!$J$5,2),0)</f>
        <v>0</v>
      </c>
      <c r="L595" s="103" t="str">
        <f t="shared" si="101"/>
        <v/>
      </c>
      <c r="N595" s="103">
        <v>604</v>
      </c>
      <c r="O595" s="103" t="str">
        <f>IF('Customer Base'!$I$15="MANUAL",IF(B595&lt;&gt;"",C595,""),IF('Customer Base'!$I$15="AUTOMATE",IF(A595&lt;&gt;"",C595,""),""))</f>
        <v/>
      </c>
    </row>
    <row r="596" spans="5:15">
      <c r="E596" s="224">
        <f t="shared" si="100"/>
        <v>0</v>
      </c>
      <c r="G596" s="224">
        <f>IFERROR(ROUNDUP(F596*'Customer Base'!$J$5,2),0)</f>
        <v>0</v>
      </c>
      <c r="I596" s="224">
        <f>IFERROR(ROUNDUP(H596*'Customer Base'!$J$5,2),0)</f>
        <v>0</v>
      </c>
      <c r="L596" s="103" t="str">
        <f t="shared" si="101"/>
        <v/>
      </c>
      <c r="N596" s="103">
        <v>605</v>
      </c>
      <c r="O596" s="103" t="str">
        <f>IF('Customer Base'!$I$15="MANUAL",IF(B596&lt;&gt;"",C596,""),IF('Customer Base'!$I$15="AUTOMATE",IF(A596&lt;&gt;"",C596,""),""))</f>
        <v/>
      </c>
    </row>
    <row r="597" spans="5:15">
      <c r="E597" s="224">
        <f t="shared" si="100"/>
        <v>0</v>
      </c>
      <c r="G597" s="224">
        <f>IFERROR(ROUNDUP(F597*'Customer Base'!$J$5,2),0)</f>
        <v>0</v>
      </c>
      <c r="I597" s="224">
        <f>IFERROR(ROUNDUP(H597*'Customer Base'!$J$5,2),0)</f>
        <v>0</v>
      </c>
      <c r="L597" s="103" t="str">
        <f t="shared" si="101"/>
        <v/>
      </c>
      <c r="N597" s="103">
        <v>606</v>
      </c>
      <c r="O597" s="103" t="str">
        <f>IF('Customer Base'!$I$15="MANUAL",IF(B597&lt;&gt;"",C597,""),IF('Customer Base'!$I$15="AUTOMATE",IF(A597&lt;&gt;"",C597,""),""))</f>
        <v/>
      </c>
    </row>
    <row r="598" spans="5:15">
      <c r="E598" s="224">
        <f t="shared" si="100"/>
        <v>0</v>
      </c>
      <c r="G598" s="224">
        <f>IFERROR(ROUNDUP(F598*'Customer Base'!$J$5,2),0)</f>
        <v>0</v>
      </c>
      <c r="I598" s="224">
        <f>IFERROR(ROUNDUP(H598*'Customer Base'!$J$5,2),0)</f>
        <v>0</v>
      </c>
      <c r="L598" s="103" t="str">
        <f t="shared" si="101"/>
        <v/>
      </c>
      <c r="N598" s="103">
        <v>607</v>
      </c>
      <c r="O598" s="103" t="str">
        <f>IF('Customer Base'!$I$15="MANUAL",IF(B598&lt;&gt;"",C598,""),IF('Customer Base'!$I$15="AUTOMATE",IF(A598&lt;&gt;"",C598,""),""))</f>
        <v/>
      </c>
    </row>
    <row r="599" spans="5:15">
      <c r="E599" s="224">
        <f t="shared" si="100"/>
        <v>0</v>
      </c>
      <c r="G599" s="224">
        <f>IFERROR(ROUNDUP(F599*'Customer Base'!$J$5,2),0)</f>
        <v>0</v>
      </c>
      <c r="I599" s="224">
        <f>IFERROR(ROUNDUP(H599*'Customer Base'!$J$5,2),0)</f>
        <v>0</v>
      </c>
      <c r="L599" s="103" t="str">
        <f t="shared" si="101"/>
        <v/>
      </c>
      <c r="N599" s="103">
        <v>608</v>
      </c>
      <c r="O599" s="103" t="str">
        <f>IF('Customer Base'!$I$15="MANUAL",IF(B599&lt;&gt;"",C599,""),IF('Customer Base'!$I$15="AUTOMATE",IF(A599&lt;&gt;"",C599,""),""))</f>
        <v/>
      </c>
    </row>
    <row r="600" spans="5:15">
      <c r="E600" s="224">
        <f t="shared" si="100"/>
        <v>0</v>
      </c>
      <c r="G600" s="224">
        <f>IFERROR(ROUNDUP(F600*'Customer Base'!$J$5,2),0)</f>
        <v>0</v>
      </c>
      <c r="I600" s="224">
        <f>IFERROR(ROUNDUP(H600*'Customer Base'!$J$5,2),0)</f>
        <v>0</v>
      </c>
      <c r="L600" s="103" t="str">
        <f t="shared" si="101"/>
        <v/>
      </c>
      <c r="N600" s="103">
        <v>609</v>
      </c>
      <c r="O600" s="103" t="str">
        <f>IF('Customer Base'!$I$15="MANUAL",IF(B600&lt;&gt;"",C600,""),IF('Customer Base'!$I$15="AUTOMATE",IF(A600&lt;&gt;"",C600,""),""))</f>
        <v/>
      </c>
    </row>
    <row r="601" spans="5:15">
      <c r="E601" s="224">
        <f t="shared" si="100"/>
        <v>0</v>
      </c>
      <c r="G601" s="224">
        <f>IFERROR(ROUNDUP(F601*'Customer Base'!$J$5,2),0)</f>
        <v>0</v>
      </c>
      <c r="I601" s="224">
        <f>IFERROR(ROUNDUP(H601*'Customer Base'!$J$5,2),0)</f>
        <v>0</v>
      </c>
      <c r="L601" s="103" t="str">
        <f t="shared" si="101"/>
        <v/>
      </c>
      <c r="N601" s="103">
        <v>610</v>
      </c>
      <c r="O601" s="103" t="str">
        <f>IF('Customer Base'!$I$15="MANUAL",IF(B601&lt;&gt;"",C601,""),IF('Customer Base'!$I$15="AUTOMATE",IF(A601&lt;&gt;"",C601,""),""))</f>
        <v/>
      </c>
    </row>
    <row r="602" spans="5:15">
      <c r="E602" s="224">
        <f t="shared" si="100"/>
        <v>0</v>
      </c>
      <c r="G602" s="224">
        <f>IFERROR(ROUNDUP(F602*'Customer Base'!$J$5,2),0)</f>
        <v>0</v>
      </c>
      <c r="I602" s="224">
        <f>IFERROR(ROUNDUP(H602*'Customer Base'!$J$5,2),0)</f>
        <v>0</v>
      </c>
      <c r="L602" s="103" t="str">
        <f t="shared" si="101"/>
        <v/>
      </c>
      <c r="N602" s="103">
        <v>611</v>
      </c>
      <c r="O602" s="103" t="str">
        <f>IF('Customer Base'!$I$15="MANUAL",IF(B602&lt;&gt;"",C602,""),IF('Customer Base'!$I$15="AUTOMATE",IF(A602&lt;&gt;"",C602,""),""))</f>
        <v/>
      </c>
    </row>
    <row r="603" spans="5:15">
      <c r="E603" s="224">
        <f t="shared" si="100"/>
        <v>0</v>
      </c>
      <c r="G603" s="224">
        <f>IFERROR(ROUNDUP(F603*'Customer Base'!$J$5,2),0)</f>
        <v>0</v>
      </c>
      <c r="I603" s="224">
        <f>IFERROR(ROUNDUP(H603*'Customer Base'!$J$5,2),0)</f>
        <v>0</v>
      </c>
      <c r="L603" s="103" t="str">
        <f t="shared" si="101"/>
        <v/>
      </c>
      <c r="N603" s="103">
        <v>612</v>
      </c>
      <c r="O603" s="103" t="str">
        <f>IF('Customer Base'!$I$15="MANUAL",IF(B603&lt;&gt;"",C603,""),IF('Customer Base'!$I$15="AUTOMATE",IF(A603&lt;&gt;"",C603,""),""))</f>
        <v/>
      </c>
    </row>
    <row r="604" spans="5:15">
      <c r="E604" s="224">
        <f t="shared" si="100"/>
        <v>0</v>
      </c>
      <c r="G604" s="224">
        <f>IFERROR(ROUNDUP(F604*'Customer Base'!$J$5,2),0)</f>
        <v>0</v>
      </c>
      <c r="I604" s="224">
        <f>IFERROR(ROUNDUP(H604*'Customer Base'!$J$5,2),0)</f>
        <v>0</v>
      </c>
      <c r="L604" s="103" t="str">
        <f t="shared" si="101"/>
        <v/>
      </c>
      <c r="N604" s="103">
        <v>613</v>
      </c>
      <c r="O604" s="103" t="str">
        <f>IF('Customer Base'!$I$15="MANUAL",IF(B604&lt;&gt;"",C604,""),IF('Customer Base'!$I$15="AUTOMATE",IF(A604&lt;&gt;"",C604,""),""))</f>
        <v/>
      </c>
    </row>
    <row r="605" spans="5:15">
      <c r="E605" s="224">
        <f t="shared" si="100"/>
        <v>0</v>
      </c>
      <c r="G605" s="224">
        <f>IFERROR(ROUNDUP(F605*'Customer Base'!$J$5,2),0)</f>
        <v>0</v>
      </c>
      <c r="I605" s="224">
        <f>IFERROR(ROUNDUP(H605*'Customer Base'!$J$5,2),0)</f>
        <v>0</v>
      </c>
      <c r="L605" s="103" t="str">
        <f t="shared" si="101"/>
        <v/>
      </c>
      <c r="N605" s="103">
        <v>614</v>
      </c>
      <c r="O605" s="103" t="str">
        <f>IF('Customer Base'!$I$15="MANUAL",IF(B605&lt;&gt;"",C605,""),IF('Customer Base'!$I$15="AUTOMATE",IF(A605&lt;&gt;"",C605,""),""))</f>
        <v/>
      </c>
    </row>
    <row r="606" spans="5:15">
      <c r="E606" s="224">
        <f t="shared" si="100"/>
        <v>0</v>
      </c>
      <c r="G606" s="224">
        <f>IFERROR(ROUNDUP(F606*'Customer Base'!$J$5,2),0)</f>
        <v>0</v>
      </c>
      <c r="I606" s="224">
        <f>IFERROR(ROUNDUP(H606*'Customer Base'!$J$5,2),0)</f>
        <v>0</v>
      </c>
      <c r="L606" s="103" t="str">
        <f t="shared" si="101"/>
        <v/>
      </c>
      <c r="N606" s="103">
        <v>615</v>
      </c>
      <c r="O606" s="103" t="str">
        <f>IF('Customer Base'!$I$15="MANUAL",IF(B606&lt;&gt;"",C606,""),IF('Customer Base'!$I$15="AUTOMATE",IF(A606&lt;&gt;"",C606,""),""))</f>
        <v/>
      </c>
    </row>
    <row r="607" spans="5:15">
      <c r="E607" s="224">
        <f t="shared" si="100"/>
        <v>0</v>
      </c>
      <c r="G607" s="224">
        <f>IFERROR(ROUNDUP(F607*'Customer Base'!$J$5,2),0)</f>
        <v>0</v>
      </c>
      <c r="I607" s="224">
        <f>IFERROR(ROUNDUP(H607*'Customer Base'!$J$5,2),0)</f>
        <v>0</v>
      </c>
      <c r="L607" s="103" t="str">
        <f t="shared" si="101"/>
        <v/>
      </c>
      <c r="N607" s="103">
        <v>616</v>
      </c>
      <c r="O607" s="103" t="str">
        <f>IF('Customer Base'!$I$15="MANUAL",IF(B607&lt;&gt;"",C607,""),IF('Customer Base'!$I$15="AUTOMATE",IF(A607&lt;&gt;"",C607,""),""))</f>
        <v/>
      </c>
    </row>
    <row r="608" spans="5:15">
      <c r="E608" s="224">
        <f t="shared" si="100"/>
        <v>0</v>
      </c>
      <c r="G608" s="224">
        <f>IFERROR(ROUNDUP(F608*'Customer Base'!$J$5,2),0)</f>
        <v>0</v>
      </c>
      <c r="I608" s="224">
        <f>IFERROR(ROUNDUP(H608*'Customer Base'!$J$5,2),0)</f>
        <v>0</v>
      </c>
      <c r="L608" s="103" t="str">
        <f t="shared" si="101"/>
        <v/>
      </c>
      <c r="N608" s="103">
        <v>617</v>
      </c>
      <c r="O608" s="103" t="str">
        <f>IF('Customer Base'!$I$15="MANUAL",IF(B608&lt;&gt;"",C608,""),IF('Customer Base'!$I$15="AUTOMATE",IF(A608&lt;&gt;"",C608,""),""))</f>
        <v/>
      </c>
    </row>
    <row r="609" spans="5:15">
      <c r="E609" s="224">
        <f t="shared" si="100"/>
        <v>0</v>
      </c>
      <c r="G609" s="224">
        <f>IFERROR(ROUNDUP(F609*'Customer Base'!$J$5,2),0)</f>
        <v>0</v>
      </c>
      <c r="I609" s="224">
        <f>IFERROR(ROUNDUP(H609*'Customer Base'!$J$5,2),0)</f>
        <v>0</v>
      </c>
      <c r="L609" s="103" t="str">
        <f t="shared" si="101"/>
        <v/>
      </c>
      <c r="N609" s="103">
        <v>618</v>
      </c>
      <c r="O609" s="103" t="str">
        <f>IF('Customer Base'!$I$15="MANUAL",IF(B609&lt;&gt;"",C609,""),IF('Customer Base'!$I$15="AUTOMATE",IF(A609&lt;&gt;"",C609,""),""))</f>
        <v/>
      </c>
    </row>
    <row r="610" spans="5:15">
      <c r="E610" s="224">
        <f t="shared" si="100"/>
        <v>0</v>
      </c>
      <c r="G610" s="224">
        <f>IFERROR(ROUNDUP(F610*'Customer Base'!$J$5,2),0)</f>
        <v>0</v>
      </c>
      <c r="I610" s="224">
        <f>IFERROR(ROUNDUP(H610*'Customer Base'!$J$5,2),0)</f>
        <v>0</v>
      </c>
      <c r="L610" s="103" t="str">
        <f t="shared" si="101"/>
        <v/>
      </c>
      <c r="N610" s="103">
        <v>619</v>
      </c>
      <c r="O610" s="103" t="str">
        <f>IF('Customer Base'!$I$15="MANUAL",IF(B610&lt;&gt;"",C610,""),IF('Customer Base'!$I$15="AUTOMATE",IF(A610&lt;&gt;"",C610,""),""))</f>
        <v/>
      </c>
    </row>
    <row r="611" spans="5:15">
      <c r="E611" s="224">
        <f t="shared" si="100"/>
        <v>0</v>
      </c>
      <c r="G611" s="224">
        <f>IFERROR(ROUNDUP(F611*'Customer Base'!$J$5,2),0)</f>
        <v>0</v>
      </c>
      <c r="I611" s="224">
        <f>IFERROR(ROUNDUP(H611*'Customer Base'!$J$5,2),0)</f>
        <v>0</v>
      </c>
      <c r="L611" s="103" t="str">
        <f t="shared" si="101"/>
        <v/>
      </c>
      <c r="N611" s="103">
        <v>620</v>
      </c>
      <c r="O611" s="103" t="str">
        <f>IF('Customer Base'!$I$15="MANUAL",IF(B611&lt;&gt;"",C611,""),IF('Customer Base'!$I$15="AUTOMATE",IF(A611&lt;&gt;"",C611,""),""))</f>
        <v/>
      </c>
    </row>
    <row r="612" spans="5:15">
      <c r="E612" s="224">
        <f t="shared" si="100"/>
        <v>0</v>
      </c>
      <c r="G612" s="224">
        <f>IFERROR(ROUNDUP(F612*'Customer Base'!$J$5,2),0)</f>
        <v>0</v>
      </c>
      <c r="I612" s="224">
        <f>IFERROR(ROUNDUP(H612*'Customer Base'!$J$5,2),0)</f>
        <v>0</v>
      </c>
      <c r="L612" s="103" t="str">
        <f t="shared" si="101"/>
        <v/>
      </c>
      <c r="N612" s="103">
        <v>621</v>
      </c>
      <c r="O612" s="103" t="str">
        <f>IF('Customer Base'!$I$15="MANUAL",IF(B612&lt;&gt;"",C612,""),IF('Customer Base'!$I$15="AUTOMATE",IF(A612&lt;&gt;"",C612,""),""))</f>
        <v/>
      </c>
    </row>
    <row r="613" spans="5:15">
      <c r="E613" s="224">
        <f t="shared" si="100"/>
        <v>0</v>
      </c>
      <c r="G613" s="224">
        <f>IFERROR(ROUNDUP(F613*'Customer Base'!$J$5,2),0)</f>
        <v>0</v>
      </c>
      <c r="I613" s="224">
        <f>IFERROR(ROUNDUP(H613*'Customer Base'!$J$5,2),0)</f>
        <v>0</v>
      </c>
      <c r="L613" s="103" t="str">
        <f t="shared" si="101"/>
        <v/>
      </c>
      <c r="N613" s="103">
        <v>622</v>
      </c>
      <c r="O613" s="103" t="str">
        <f>IF('Customer Base'!$I$15="MANUAL",IF(B613&lt;&gt;"",C613,""),IF('Customer Base'!$I$15="AUTOMATE",IF(A613&lt;&gt;"",C613,""),""))</f>
        <v/>
      </c>
    </row>
    <row r="614" spans="5:15">
      <c r="E614" s="224">
        <f t="shared" si="100"/>
        <v>0</v>
      </c>
      <c r="G614" s="224">
        <f>IFERROR(ROUNDUP(F614*'Customer Base'!$J$5,2),0)</f>
        <v>0</v>
      </c>
      <c r="I614" s="224">
        <f>IFERROR(ROUNDUP(H614*'Customer Base'!$J$5,2),0)</f>
        <v>0</v>
      </c>
      <c r="L614" s="103" t="str">
        <f t="shared" si="101"/>
        <v/>
      </c>
      <c r="N614" s="103">
        <v>623</v>
      </c>
      <c r="O614" s="103" t="str">
        <f>IF('Customer Base'!$I$15="MANUAL",IF(B614&lt;&gt;"",C614,""),IF('Customer Base'!$I$15="AUTOMATE",IF(A614&lt;&gt;"",C614,""),""))</f>
        <v/>
      </c>
    </row>
    <row r="615" spans="5:15">
      <c r="E615" s="224">
        <f t="shared" si="100"/>
        <v>0</v>
      </c>
      <c r="G615" s="224">
        <f>IFERROR(ROUNDUP(F615*'Customer Base'!$J$5,2),0)</f>
        <v>0</v>
      </c>
      <c r="I615" s="224">
        <f>IFERROR(ROUNDUP(H615*'Customer Base'!$J$5,2),0)</f>
        <v>0</v>
      </c>
      <c r="L615" s="103" t="str">
        <f t="shared" si="101"/>
        <v/>
      </c>
      <c r="N615" s="103">
        <v>624</v>
      </c>
      <c r="O615" s="103" t="str">
        <f>IF('Customer Base'!$I$15="MANUAL",IF(B615&lt;&gt;"",C615,""),IF('Customer Base'!$I$15="AUTOMATE",IF(A615&lt;&gt;"",C615,""),""))</f>
        <v/>
      </c>
    </row>
    <row r="616" spans="5:15">
      <c r="E616" s="224">
        <f t="shared" si="100"/>
        <v>0</v>
      </c>
      <c r="G616" s="224">
        <f>IFERROR(ROUNDUP(F616*'Customer Base'!$J$5,2),0)</f>
        <v>0</v>
      </c>
      <c r="I616" s="224">
        <f>IFERROR(ROUNDUP(H616*'Customer Base'!$J$5,2),0)</f>
        <v>0</v>
      </c>
      <c r="L616" s="103" t="str">
        <f t="shared" si="101"/>
        <v/>
      </c>
      <c r="N616" s="103">
        <v>625</v>
      </c>
      <c r="O616" s="103" t="str">
        <f>IF('Customer Base'!$I$15="MANUAL",IF(B616&lt;&gt;"",C616,""),IF('Customer Base'!$I$15="AUTOMATE",IF(A616&lt;&gt;"",C616,""),""))</f>
        <v/>
      </c>
    </row>
    <row r="617" spans="5:15">
      <c r="E617" s="224">
        <f t="shared" si="100"/>
        <v>0</v>
      </c>
      <c r="G617" s="224">
        <f>IFERROR(ROUNDUP(F617*'Customer Base'!$J$5,2),0)</f>
        <v>0</v>
      </c>
      <c r="I617" s="224">
        <f>IFERROR(ROUNDUP(H617*'Customer Base'!$J$5,2),0)</f>
        <v>0</v>
      </c>
      <c r="L617" s="103" t="str">
        <f t="shared" si="101"/>
        <v/>
      </c>
      <c r="N617" s="103">
        <v>626</v>
      </c>
      <c r="O617" s="103" t="str">
        <f>IF('Customer Base'!$I$15="MANUAL",IF(B617&lt;&gt;"",C617,""),IF('Customer Base'!$I$15="AUTOMATE",IF(A617&lt;&gt;"",C617,""),""))</f>
        <v/>
      </c>
    </row>
    <row r="618" spans="5:15">
      <c r="E618" s="224">
        <f t="shared" si="100"/>
        <v>0</v>
      </c>
      <c r="G618" s="224">
        <f>IFERROR(ROUNDUP(F618*'Customer Base'!$J$5,2),0)</f>
        <v>0</v>
      </c>
      <c r="I618" s="224">
        <f>IFERROR(ROUNDUP(H618*'Customer Base'!$J$5,2),0)</f>
        <v>0</v>
      </c>
      <c r="L618" s="103" t="str">
        <f t="shared" si="101"/>
        <v/>
      </c>
      <c r="N618" s="103">
        <v>627</v>
      </c>
      <c r="O618" s="103" t="str">
        <f>IF('Customer Base'!$I$15="MANUAL",IF(B618&lt;&gt;"",C618,""),IF('Customer Base'!$I$15="AUTOMATE",IF(A618&lt;&gt;"",C618,""),""))</f>
        <v/>
      </c>
    </row>
    <row r="619" spans="5:15">
      <c r="E619" s="224">
        <f t="shared" si="100"/>
        <v>0</v>
      </c>
      <c r="G619" s="224">
        <f>IFERROR(ROUNDUP(F619*'Customer Base'!$J$5,2),0)</f>
        <v>0</v>
      </c>
      <c r="I619" s="224">
        <f>IFERROR(ROUNDUP(H619*'Customer Base'!$J$5,2),0)</f>
        <v>0</v>
      </c>
      <c r="L619" s="103" t="str">
        <f t="shared" si="101"/>
        <v/>
      </c>
      <c r="N619" s="103">
        <v>628</v>
      </c>
      <c r="O619" s="103" t="str">
        <f>IF('Customer Base'!$I$15="MANUAL",IF(B619&lt;&gt;"",C619,""),IF('Customer Base'!$I$15="AUTOMATE",IF(A619&lt;&gt;"",C619,""),""))</f>
        <v/>
      </c>
    </row>
    <row r="620" spans="5:15">
      <c r="E620" s="224">
        <f t="shared" si="100"/>
        <v>0</v>
      </c>
      <c r="G620" s="224">
        <f>IFERROR(ROUNDUP(F620*'Customer Base'!$J$5,2),0)</f>
        <v>0</v>
      </c>
      <c r="I620" s="224">
        <f>IFERROR(ROUNDUP(H620*'Customer Base'!$J$5,2),0)</f>
        <v>0</v>
      </c>
      <c r="L620" s="103" t="str">
        <f t="shared" si="101"/>
        <v/>
      </c>
      <c r="N620" s="103">
        <v>629</v>
      </c>
      <c r="O620" s="103" t="str">
        <f>IF('Customer Base'!$I$15="MANUAL",IF(B620&lt;&gt;"",C620,""),IF('Customer Base'!$I$15="AUTOMATE",IF(A620&lt;&gt;"",C620,""),""))</f>
        <v/>
      </c>
    </row>
    <row r="621" spans="5:15">
      <c r="E621" s="224">
        <f t="shared" si="100"/>
        <v>0</v>
      </c>
      <c r="G621" s="224">
        <f>IFERROR(ROUNDUP(F621*'Customer Base'!$J$5,2),0)</f>
        <v>0</v>
      </c>
      <c r="I621" s="224">
        <f>IFERROR(ROUNDUP(H621*'Customer Base'!$J$5,2),0)</f>
        <v>0</v>
      </c>
      <c r="L621" s="103" t="str">
        <f t="shared" si="101"/>
        <v/>
      </c>
      <c r="N621" s="103">
        <v>630</v>
      </c>
      <c r="O621" s="103" t="str">
        <f>IF('Customer Base'!$I$15="MANUAL",IF(B621&lt;&gt;"",C621,""),IF('Customer Base'!$I$15="AUTOMATE",IF(A621&lt;&gt;"",C621,""),""))</f>
        <v/>
      </c>
    </row>
    <row r="622" spans="5:15">
      <c r="E622" s="224">
        <f t="shared" si="100"/>
        <v>0</v>
      </c>
      <c r="G622" s="224">
        <f>IFERROR(ROUNDUP(F622*'Customer Base'!$J$5,2),0)</f>
        <v>0</v>
      </c>
      <c r="I622" s="224">
        <f>IFERROR(ROUNDUP(H622*'Customer Base'!$J$5,2),0)</f>
        <v>0</v>
      </c>
      <c r="L622" s="103" t="str">
        <f t="shared" si="101"/>
        <v/>
      </c>
      <c r="N622" s="103">
        <v>631</v>
      </c>
      <c r="O622" s="103" t="str">
        <f>IF('Customer Base'!$I$15="MANUAL",IF(B622&lt;&gt;"",C622,""),IF('Customer Base'!$I$15="AUTOMATE",IF(A622&lt;&gt;"",C622,""),""))</f>
        <v/>
      </c>
    </row>
    <row r="623" spans="5:15">
      <c r="E623" s="224">
        <f t="shared" si="100"/>
        <v>0</v>
      </c>
      <c r="G623" s="224">
        <f>IFERROR(ROUNDUP(F623*'Customer Base'!$J$5,2),0)</f>
        <v>0</v>
      </c>
      <c r="I623" s="224">
        <f>IFERROR(ROUNDUP(H623*'Customer Base'!$J$5,2),0)</f>
        <v>0</v>
      </c>
      <c r="L623" s="103" t="str">
        <f t="shared" si="101"/>
        <v/>
      </c>
      <c r="N623" s="103">
        <v>632</v>
      </c>
      <c r="O623" s="103" t="str">
        <f>IF('Customer Base'!$I$15="MANUAL",IF(B623&lt;&gt;"",C623,""),IF('Customer Base'!$I$15="AUTOMATE",IF(A623&lt;&gt;"",C623,""),""))</f>
        <v/>
      </c>
    </row>
    <row r="624" spans="5:15">
      <c r="E624" s="224">
        <f t="shared" si="100"/>
        <v>0</v>
      </c>
      <c r="G624" s="224">
        <f>IFERROR(ROUNDUP(F624*'Customer Base'!$J$5,2),0)</f>
        <v>0</v>
      </c>
      <c r="I624" s="224">
        <f>IFERROR(ROUNDUP(H624*'Customer Base'!$J$5,2),0)</f>
        <v>0</v>
      </c>
      <c r="L624" s="103" t="str">
        <f t="shared" si="101"/>
        <v/>
      </c>
      <c r="N624" s="103">
        <v>633</v>
      </c>
      <c r="O624" s="103" t="str">
        <f>IF('Customer Base'!$I$15="MANUAL",IF(B624&lt;&gt;"",C624,""),IF('Customer Base'!$I$15="AUTOMATE",IF(A624&lt;&gt;"",C624,""),""))</f>
        <v/>
      </c>
    </row>
    <row r="625" spans="5:15">
      <c r="E625" s="224">
        <f t="shared" ref="E625:E684" si="102">H625/1.219</f>
        <v>0</v>
      </c>
      <c r="G625" s="224">
        <f>IFERROR(ROUNDUP(F625*'Customer Base'!$J$5,2),0)</f>
        <v>0</v>
      </c>
      <c r="I625" s="224">
        <f>IFERROR(ROUNDUP(H625*'Customer Base'!$J$5,2),0)</f>
        <v>0</v>
      </c>
      <c r="L625" s="103" t="str">
        <f t="shared" si="101"/>
        <v/>
      </c>
      <c r="N625" s="103">
        <v>634</v>
      </c>
      <c r="O625" s="103" t="str">
        <f>IF('Customer Base'!$I$15="MANUAL",IF(B625&lt;&gt;"",C625,""),IF('Customer Base'!$I$15="AUTOMATE",IF(A625&lt;&gt;"",C625,""),""))</f>
        <v/>
      </c>
    </row>
    <row r="626" spans="5:15">
      <c r="E626" s="224">
        <f t="shared" si="102"/>
        <v>0</v>
      </c>
      <c r="G626" s="224">
        <f>IFERROR(ROUNDUP(F626*'Customer Base'!$J$5,2),0)</f>
        <v>0</v>
      </c>
      <c r="I626" s="224">
        <f>IFERROR(ROUNDUP(H626*'Customer Base'!$J$5,2),0)</f>
        <v>0</v>
      </c>
      <c r="L626" s="103" t="str">
        <f t="shared" si="101"/>
        <v/>
      </c>
      <c r="N626" s="103">
        <v>635</v>
      </c>
      <c r="O626" s="103" t="str">
        <f>IF('Customer Base'!$I$15="MANUAL",IF(B626&lt;&gt;"",C626,""),IF('Customer Base'!$I$15="AUTOMATE",IF(A626&lt;&gt;"",C626,""),""))</f>
        <v/>
      </c>
    </row>
    <row r="627" spans="5:15">
      <c r="E627" s="224">
        <f t="shared" si="102"/>
        <v>0</v>
      </c>
      <c r="G627" s="224">
        <f>IFERROR(ROUNDUP(F627*'Customer Base'!$J$5,2),0)</f>
        <v>0</v>
      </c>
      <c r="I627" s="224">
        <f>IFERROR(ROUNDUP(H627*'Customer Base'!$J$5,2),0)</f>
        <v>0</v>
      </c>
      <c r="L627" s="103" t="str">
        <f t="shared" si="101"/>
        <v/>
      </c>
      <c r="N627" s="103">
        <v>636</v>
      </c>
      <c r="O627" s="103" t="str">
        <f>IF('Customer Base'!$I$15="MANUAL",IF(B627&lt;&gt;"",C627,""),IF('Customer Base'!$I$15="AUTOMATE",IF(A627&lt;&gt;"",C627,""),""))</f>
        <v/>
      </c>
    </row>
    <row r="628" spans="5:15">
      <c r="E628" s="224">
        <f t="shared" si="102"/>
        <v>0</v>
      </c>
      <c r="G628" s="224">
        <f>IFERROR(ROUNDUP(F628*'Customer Base'!$J$5,2),0)</f>
        <v>0</v>
      </c>
      <c r="I628" s="224">
        <f>IFERROR(ROUNDUP(H628*'Customer Base'!$J$5,2),0)</f>
        <v>0</v>
      </c>
      <c r="L628" s="103" t="str">
        <f t="shared" si="101"/>
        <v/>
      </c>
      <c r="N628" s="103">
        <v>637</v>
      </c>
      <c r="O628" s="103" t="str">
        <f>IF('Customer Base'!$I$15="MANUAL",IF(B628&lt;&gt;"",C628,""),IF('Customer Base'!$I$15="AUTOMATE",IF(A628&lt;&gt;"",C628,""),""))</f>
        <v/>
      </c>
    </row>
    <row r="629" spans="5:15">
      <c r="E629" s="224">
        <f t="shared" si="102"/>
        <v>0</v>
      </c>
      <c r="G629" s="224">
        <f>IFERROR(ROUNDUP(F629*'Customer Base'!$J$5,2),0)</f>
        <v>0</v>
      </c>
      <c r="I629" s="224">
        <f>IFERROR(ROUNDUP(H629*'Customer Base'!$J$5,2),0)</f>
        <v>0</v>
      </c>
      <c r="L629" s="103" t="str">
        <f t="shared" si="101"/>
        <v/>
      </c>
      <c r="N629" s="103">
        <v>638</v>
      </c>
      <c r="O629" s="103" t="str">
        <f>IF('Customer Base'!$I$15="MANUAL",IF(B629&lt;&gt;"",C629,""),IF('Customer Base'!$I$15="AUTOMATE",IF(A629&lt;&gt;"",C629,""),""))</f>
        <v/>
      </c>
    </row>
    <row r="630" spans="5:15">
      <c r="E630" s="224">
        <f t="shared" si="102"/>
        <v>0</v>
      </c>
      <c r="G630" s="224">
        <f>IFERROR(ROUNDUP(F630*'Customer Base'!$J$5,2),0)</f>
        <v>0</v>
      </c>
      <c r="I630" s="224">
        <f>IFERROR(ROUNDUP(H630*'Customer Base'!$J$5,2),0)</f>
        <v>0</v>
      </c>
      <c r="L630" s="103" t="str">
        <f t="shared" si="101"/>
        <v/>
      </c>
      <c r="N630" s="103">
        <v>639</v>
      </c>
      <c r="O630" s="103" t="str">
        <f>IF('Customer Base'!$I$15="MANUAL",IF(B630&lt;&gt;"",C630,""),IF('Customer Base'!$I$15="AUTOMATE",IF(A630&lt;&gt;"",C630,""),""))</f>
        <v/>
      </c>
    </row>
    <row r="631" spans="5:15">
      <c r="E631" s="224">
        <f t="shared" si="102"/>
        <v>0</v>
      </c>
      <c r="G631" s="224">
        <f>IFERROR(ROUNDUP(F631*'Customer Base'!$J$5,2),0)</f>
        <v>0</v>
      </c>
      <c r="I631" s="224">
        <f>IFERROR(ROUNDUP(H631*'Customer Base'!$J$5,2),0)</f>
        <v>0</v>
      </c>
      <c r="L631" s="103" t="str">
        <f t="shared" si="101"/>
        <v/>
      </c>
      <c r="N631" s="103">
        <v>640</v>
      </c>
      <c r="O631" s="103" t="str">
        <f>IF('Customer Base'!$I$15="MANUAL",IF(B631&lt;&gt;"",C631,""),IF('Customer Base'!$I$15="AUTOMATE",IF(A631&lt;&gt;"",C631,""),""))</f>
        <v/>
      </c>
    </row>
    <row r="632" spans="5:15">
      <c r="E632" s="224">
        <f t="shared" si="102"/>
        <v>0</v>
      </c>
      <c r="G632" s="224">
        <f>IFERROR(ROUNDUP(F632*'Customer Base'!$J$5,2),0)</f>
        <v>0</v>
      </c>
      <c r="I632" s="224">
        <f>IFERROR(ROUNDUP(H632*'Customer Base'!$J$5,2),0)</f>
        <v>0</v>
      </c>
      <c r="L632" s="103" t="str">
        <f t="shared" si="101"/>
        <v/>
      </c>
      <c r="N632" s="103">
        <v>641</v>
      </c>
      <c r="O632" s="103" t="str">
        <f>IF('Customer Base'!$I$15="MANUAL",IF(B632&lt;&gt;"",C632,""),IF('Customer Base'!$I$15="AUTOMATE",IF(A632&lt;&gt;"",C632,""),""))</f>
        <v/>
      </c>
    </row>
    <row r="633" spans="5:15">
      <c r="E633" s="224">
        <f t="shared" si="102"/>
        <v>0</v>
      </c>
      <c r="G633" s="224">
        <f>IFERROR(ROUNDUP(F633*'Customer Base'!$J$5,2),0)</f>
        <v>0</v>
      </c>
      <c r="I633" s="224"/>
      <c r="L633" s="103" t="str">
        <f t="shared" si="101"/>
        <v/>
      </c>
      <c r="N633" s="103">
        <v>642</v>
      </c>
      <c r="O633" s="103" t="str">
        <f>IF('Customer Base'!$I$15="MANUAL",IF(B633&lt;&gt;"",C633,""),IF('Customer Base'!$I$15="AUTOMATE",IF(A633&lt;&gt;"",C633,""),""))</f>
        <v/>
      </c>
    </row>
    <row r="634" spans="5:15">
      <c r="E634" s="224">
        <f t="shared" si="102"/>
        <v>0</v>
      </c>
      <c r="G634" s="224">
        <f>IFERROR(ROUNDUP(F634*'Customer Base'!$J$5,2),0)</f>
        <v>0</v>
      </c>
      <c r="L634" s="103" t="str">
        <f t="shared" si="101"/>
        <v/>
      </c>
      <c r="N634" s="103">
        <v>643</v>
      </c>
      <c r="O634" s="103" t="str">
        <f>IF('Customer Base'!$I$15="MANUAL",IF(B634&lt;&gt;"",C634,""),IF('Customer Base'!$I$15="AUTOMATE",IF(A634&lt;&gt;"",C634,""),""))</f>
        <v/>
      </c>
    </row>
    <row r="635" spans="5:15">
      <c r="E635" s="224">
        <f t="shared" si="102"/>
        <v>0</v>
      </c>
      <c r="G635" s="224">
        <f>IFERROR(ROUNDUP(F635*'Customer Base'!$J$5,2),0)</f>
        <v>0</v>
      </c>
      <c r="L635" s="103" t="str">
        <f t="shared" si="101"/>
        <v/>
      </c>
      <c r="N635" s="103">
        <v>644</v>
      </c>
      <c r="O635" s="103" t="str">
        <f>IF('Customer Base'!$I$15="MANUAL",IF(B635&lt;&gt;"",C635,""),IF('Customer Base'!$I$15="AUTOMATE",IF(A635&lt;&gt;"",C635,""),""))</f>
        <v/>
      </c>
    </row>
    <row r="636" spans="5:15">
      <c r="E636" s="224">
        <f t="shared" si="102"/>
        <v>0</v>
      </c>
      <c r="G636" s="224">
        <f>IFERROR(ROUNDUP(F636*'Customer Base'!$J$5,2),0)</f>
        <v>0</v>
      </c>
      <c r="L636" s="103" t="str">
        <f t="shared" si="101"/>
        <v/>
      </c>
      <c r="N636" s="103">
        <v>645</v>
      </c>
      <c r="O636" s="103" t="str">
        <f>IF('Customer Base'!$I$15="MANUAL",IF(B636&lt;&gt;"",C636,""),IF('Customer Base'!$I$15="AUTOMATE",IF(A636&lt;&gt;"",C636,""),""))</f>
        <v/>
      </c>
    </row>
    <row r="637" spans="5:15">
      <c r="E637" s="224">
        <f t="shared" si="102"/>
        <v>0</v>
      </c>
      <c r="G637" s="224">
        <f>IFERROR(ROUNDUP(F637*'Customer Base'!$J$5,2),0)</f>
        <v>0</v>
      </c>
      <c r="L637" s="103" t="str">
        <f t="shared" si="101"/>
        <v/>
      </c>
      <c r="N637" s="103">
        <v>646</v>
      </c>
      <c r="O637" s="103" t="str">
        <f>IF('Customer Base'!$I$15="MANUAL",IF(B637&lt;&gt;"",C637,""),IF('Customer Base'!$I$15="AUTOMATE",IF(A637&lt;&gt;"",C637,""),""))</f>
        <v/>
      </c>
    </row>
    <row r="638" spans="5:15">
      <c r="E638" s="224">
        <f t="shared" si="102"/>
        <v>0</v>
      </c>
      <c r="G638" s="224">
        <f>IFERROR(ROUNDUP(F638*'Customer Base'!$J$5,2),0)</f>
        <v>0</v>
      </c>
      <c r="L638" s="103" t="str">
        <f t="shared" si="101"/>
        <v/>
      </c>
      <c r="N638" s="103">
        <v>647</v>
      </c>
      <c r="O638" s="103" t="str">
        <f>IF('Customer Base'!$I$15="MANUAL",IF(B638&lt;&gt;"",C638,""),IF('Customer Base'!$I$15="AUTOMATE",IF(A638&lt;&gt;"",C638,""),""))</f>
        <v/>
      </c>
    </row>
    <row r="639" spans="5:15">
      <c r="E639" s="224">
        <f t="shared" si="102"/>
        <v>0</v>
      </c>
      <c r="G639" s="224">
        <f>IFERROR(ROUNDUP(F639*'Customer Base'!$J$5,2),0)</f>
        <v>0</v>
      </c>
      <c r="L639" s="103" t="str">
        <f t="shared" si="101"/>
        <v/>
      </c>
      <c r="N639" s="103">
        <v>648</v>
      </c>
      <c r="O639" s="103" t="str">
        <f>IF('Customer Base'!$I$15="MANUAL",IF(B639&lt;&gt;"",C639,""),IF('Customer Base'!$I$15="AUTOMATE",IF(A639&lt;&gt;"",C639,""),""))</f>
        <v/>
      </c>
    </row>
    <row r="640" spans="5:15">
      <c r="E640" s="224">
        <f t="shared" si="102"/>
        <v>0</v>
      </c>
      <c r="G640" s="224">
        <f>IFERROR(ROUNDUP(F640*'Customer Base'!$J$5,2),0)</f>
        <v>0</v>
      </c>
      <c r="L640" s="103" t="str">
        <f t="shared" si="101"/>
        <v/>
      </c>
      <c r="N640" s="103">
        <v>649</v>
      </c>
      <c r="O640" s="103" t="str">
        <f>IF('Customer Base'!$I$15="MANUAL",IF(B640&lt;&gt;"",C640,""),IF('Customer Base'!$I$15="AUTOMATE",IF(A640&lt;&gt;"",C640,""),""))</f>
        <v/>
      </c>
    </row>
    <row r="641" spans="5:15">
      <c r="E641" s="224">
        <f t="shared" si="102"/>
        <v>0</v>
      </c>
      <c r="G641" s="224">
        <f>IFERROR(ROUNDUP(F641*'Customer Base'!$J$5,2),0)</f>
        <v>0</v>
      </c>
      <c r="L641" s="103" t="str">
        <f t="shared" si="101"/>
        <v/>
      </c>
      <c r="N641" s="103">
        <v>650</v>
      </c>
      <c r="O641" s="103" t="str">
        <f>IF('Customer Base'!$I$15="MANUAL",IF(B641&lt;&gt;"",C641,""),IF('Customer Base'!$I$15="AUTOMATE",IF(A641&lt;&gt;"",C641,""),""))</f>
        <v/>
      </c>
    </row>
    <row r="642" spans="5:15">
      <c r="E642" s="224">
        <f t="shared" si="102"/>
        <v>0</v>
      </c>
      <c r="G642" s="224">
        <f>IFERROR(ROUNDUP(F642*'Customer Base'!$J$5,2),0)</f>
        <v>0</v>
      </c>
      <c r="L642" s="103" t="str">
        <f t="shared" si="101"/>
        <v/>
      </c>
      <c r="N642" s="103">
        <v>651</v>
      </c>
      <c r="O642" s="103" t="str">
        <f>IF('Customer Base'!$I$15="MANUAL",IF(B642&lt;&gt;"",C642,""),IF('Customer Base'!$I$15="AUTOMATE",IF(A642&lt;&gt;"",C642,""),""))</f>
        <v/>
      </c>
    </row>
    <row r="643" spans="5:15">
      <c r="E643" s="224">
        <f t="shared" si="102"/>
        <v>0</v>
      </c>
      <c r="G643" s="224">
        <f>IFERROR(ROUNDUP(F643*'Customer Base'!$J$5,2),0)</f>
        <v>0</v>
      </c>
      <c r="L643" s="103" t="str">
        <f t="shared" si="101"/>
        <v/>
      </c>
      <c r="N643" s="103">
        <v>652</v>
      </c>
      <c r="O643" s="103" t="str">
        <f>IF('Customer Base'!$I$15="MANUAL",IF(B643&lt;&gt;"",C643,""),IF('Customer Base'!$I$15="AUTOMATE",IF(A643&lt;&gt;"",C643,""),""))</f>
        <v/>
      </c>
    </row>
    <row r="644" spans="5:15">
      <c r="E644" s="224">
        <f t="shared" si="102"/>
        <v>0</v>
      </c>
      <c r="G644" s="224">
        <f>IFERROR(ROUNDUP(F644*'Customer Base'!$J$5,2),0)</f>
        <v>0</v>
      </c>
      <c r="L644" s="103" t="str">
        <f t="shared" si="101"/>
        <v/>
      </c>
      <c r="N644" s="103">
        <v>653</v>
      </c>
      <c r="O644" s="103" t="str">
        <f>IF('Customer Base'!$I$15="MANUAL",IF(B644&lt;&gt;"",C644,""),IF('Customer Base'!$I$15="AUTOMATE",IF(A644&lt;&gt;"",C644,""),""))</f>
        <v/>
      </c>
    </row>
    <row r="645" spans="5:15">
      <c r="E645" s="224">
        <f t="shared" si="102"/>
        <v>0</v>
      </c>
      <c r="G645" s="224">
        <f>IFERROR(ROUNDUP(F645*'Customer Base'!$J$5,2),0)</f>
        <v>0</v>
      </c>
      <c r="L645" s="103" t="str">
        <f t="shared" si="101"/>
        <v/>
      </c>
      <c r="N645" s="103">
        <v>654</v>
      </c>
      <c r="O645" s="103" t="str">
        <f>IF('Customer Base'!$I$15="MANUAL",IF(B645&lt;&gt;"",C645,""),IF('Customer Base'!$I$15="AUTOMATE",IF(A645&lt;&gt;"",C645,""),""))</f>
        <v/>
      </c>
    </row>
    <row r="646" spans="5:15">
      <c r="E646" s="224">
        <f t="shared" si="102"/>
        <v>0</v>
      </c>
      <c r="G646" s="224">
        <f>IFERROR(ROUNDUP(F646*'Customer Base'!$J$5,2),0)</f>
        <v>0</v>
      </c>
      <c r="L646" s="103" t="str">
        <f t="shared" si="101"/>
        <v/>
      </c>
      <c r="N646" s="103">
        <v>655</v>
      </c>
      <c r="O646" s="103" t="str">
        <f>IF('Customer Base'!$I$15="MANUAL",IF(B646&lt;&gt;"",C646,""),IF('Customer Base'!$I$15="AUTOMATE",IF(A646&lt;&gt;"",C646,""),""))</f>
        <v/>
      </c>
    </row>
    <row r="647" spans="5:15">
      <c r="E647" s="224">
        <f t="shared" si="102"/>
        <v>0</v>
      </c>
      <c r="G647" s="224">
        <f>IFERROR(ROUNDUP(F647*'Customer Base'!$J$5,2),0)</f>
        <v>0</v>
      </c>
      <c r="L647" s="103" t="str">
        <f t="shared" si="101"/>
        <v/>
      </c>
      <c r="N647" s="103">
        <v>656</v>
      </c>
      <c r="O647" s="103" t="str">
        <f>IF('Customer Base'!$I$15="MANUAL",IF(B647&lt;&gt;"",C647,""),IF('Customer Base'!$I$15="AUTOMATE",IF(A647&lt;&gt;"",C647,""),""))</f>
        <v/>
      </c>
    </row>
    <row r="648" spans="5:15">
      <c r="E648" s="224">
        <f t="shared" si="102"/>
        <v>0</v>
      </c>
      <c r="G648" s="224">
        <f>IFERROR(ROUNDUP(F648*'Customer Base'!$J$5,2),0)</f>
        <v>0</v>
      </c>
      <c r="L648" s="103" t="str">
        <f t="shared" si="101"/>
        <v/>
      </c>
      <c r="N648" s="103">
        <v>657</v>
      </c>
      <c r="O648" s="103" t="str">
        <f>IF('Customer Base'!$I$15="MANUAL",IF(B648&lt;&gt;"",C648,""),IF('Customer Base'!$I$15="AUTOMATE",IF(A648&lt;&gt;"",C648,""),""))</f>
        <v/>
      </c>
    </row>
    <row r="649" spans="5:15">
      <c r="E649" s="224">
        <f t="shared" si="102"/>
        <v>0</v>
      </c>
      <c r="G649" s="224">
        <f>IFERROR(ROUNDUP(F649*'Customer Base'!$J$5,2),0)</f>
        <v>0</v>
      </c>
      <c r="L649" s="103" t="str">
        <f t="shared" si="101"/>
        <v/>
      </c>
      <c r="N649" s="103">
        <v>658</v>
      </c>
      <c r="O649" s="103" t="str">
        <f>IF('Customer Base'!$I$15="MANUAL",IF(B649&lt;&gt;"",C649,""),IF('Customer Base'!$I$15="AUTOMATE",IF(A649&lt;&gt;"",C649,""),""))</f>
        <v/>
      </c>
    </row>
    <row r="650" spans="5:15">
      <c r="E650" s="224">
        <f t="shared" si="102"/>
        <v>0</v>
      </c>
      <c r="G650" s="224">
        <f>IFERROR(ROUNDUP(F650*'Customer Base'!$J$5,2),0)</f>
        <v>0</v>
      </c>
      <c r="L650" s="103" t="str">
        <f t="shared" si="101"/>
        <v/>
      </c>
      <c r="N650" s="103">
        <v>659</v>
      </c>
      <c r="O650" s="103" t="str">
        <f>IF('Customer Base'!$I$15="MANUAL",IF(B650&lt;&gt;"",C650,""),IF('Customer Base'!$I$15="AUTOMATE",IF(A650&lt;&gt;"",C650,""),""))</f>
        <v/>
      </c>
    </row>
    <row r="651" spans="5:15">
      <c r="E651" s="224">
        <f t="shared" si="102"/>
        <v>0</v>
      </c>
      <c r="G651" s="224">
        <f>IFERROR(ROUNDUP(F651*'Customer Base'!$J$5,2),0)</f>
        <v>0</v>
      </c>
      <c r="L651" s="103" t="str">
        <f t="shared" si="101"/>
        <v/>
      </c>
      <c r="N651" s="103">
        <v>660</v>
      </c>
      <c r="O651" s="103" t="str">
        <f>IF('Customer Base'!$I$15="MANUAL",IF(B651&lt;&gt;"",C651,""),IF('Customer Base'!$I$15="AUTOMATE",IF(A651&lt;&gt;"",C651,""),""))</f>
        <v/>
      </c>
    </row>
    <row r="652" spans="5:15">
      <c r="E652" s="224">
        <f t="shared" si="102"/>
        <v>0</v>
      </c>
      <c r="G652" s="224">
        <f>IFERROR(ROUNDUP(F652*'Customer Base'!$J$5,2),0)</f>
        <v>0</v>
      </c>
      <c r="L652" s="103" t="str">
        <f t="shared" si="101"/>
        <v/>
      </c>
      <c r="N652" s="103">
        <v>661</v>
      </c>
      <c r="O652" s="103" t="str">
        <f>IF('Customer Base'!$I$15="MANUAL",IF(B652&lt;&gt;"",C652,""),IF('Customer Base'!$I$15="AUTOMATE",IF(A652&lt;&gt;"",C652,""),""))</f>
        <v/>
      </c>
    </row>
    <row r="653" spans="5:15">
      <c r="E653" s="224">
        <f t="shared" si="102"/>
        <v>0</v>
      </c>
      <c r="G653" s="224">
        <f>IFERROR(ROUNDUP(F653*'Customer Base'!$J$5,2),0)</f>
        <v>0</v>
      </c>
      <c r="L653" s="103" t="str">
        <f t="shared" si="101"/>
        <v/>
      </c>
      <c r="N653" s="103">
        <v>662</v>
      </c>
      <c r="O653" s="103" t="str">
        <f>IF('Customer Base'!$I$15="MANUAL",IF(B653&lt;&gt;"",C653,""),IF('Customer Base'!$I$15="AUTOMATE",IF(A653&lt;&gt;"",C653,""),""))</f>
        <v/>
      </c>
    </row>
    <row r="654" spans="5:15">
      <c r="E654" s="224">
        <f t="shared" si="102"/>
        <v>0</v>
      </c>
      <c r="G654" s="224">
        <f>IFERROR(ROUNDUP(F654*'Customer Base'!$J$5,2),0)</f>
        <v>0</v>
      </c>
      <c r="L654" s="103" t="str">
        <f t="shared" si="101"/>
        <v/>
      </c>
      <c r="N654" s="103">
        <v>663</v>
      </c>
      <c r="O654" s="103" t="str">
        <f>IF('Customer Base'!$I$15="MANUAL",IF(B654&lt;&gt;"",C654,""),IF('Customer Base'!$I$15="AUTOMATE",IF(A654&lt;&gt;"",C654,""),""))</f>
        <v/>
      </c>
    </row>
    <row r="655" spans="5:15">
      <c r="E655" s="224">
        <f t="shared" si="102"/>
        <v>0</v>
      </c>
      <c r="G655" s="224">
        <f>IFERROR(ROUNDUP(F655*'Customer Base'!$J$5,2),0)</f>
        <v>0</v>
      </c>
      <c r="L655" s="103" t="str">
        <f t="shared" si="101"/>
        <v/>
      </c>
      <c r="N655" s="103">
        <v>664</v>
      </c>
      <c r="O655" s="103" t="str">
        <f>IF('Customer Base'!$I$15="MANUAL",IF(B655&lt;&gt;"",C655,""),IF('Customer Base'!$I$15="AUTOMATE",IF(A655&lt;&gt;"",C655,""),""))</f>
        <v/>
      </c>
    </row>
    <row r="656" spans="5:15">
      <c r="E656" s="224">
        <f t="shared" si="102"/>
        <v>0</v>
      </c>
      <c r="G656" s="224">
        <f>IFERROR(ROUNDUP(F656*'Customer Base'!$J$5,2),0)</f>
        <v>0</v>
      </c>
      <c r="L656" s="103" t="str">
        <f t="shared" si="101"/>
        <v/>
      </c>
      <c r="N656" s="103">
        <v>665</v>
      </c>
      <c r="O656" s="103" t="str">
        <f>IF('Customer Base'!$I$15="MANUAL",IF(B656&lt;&gt;"",C656,""),IF('Customer Base'!$I$15="AUTOMATE",IF(A656&lt;&gt;"",C656,""),""))</f>
        <v/>
      </c>
    </row>
    <row r="657" spans="5:15">
      <c r="E657" s="224">
        <f t="shared" si="102"/>
        <v>0</v>
      </c>
      <c r="G657" s="224">
        <f>IFERROR(ROUNDUP(F657*'Customer Base'!$J$5,2),0)</f>
        <v>0</v>
      </c>
      <c r="L657" s="103" t="str">
        <f t="shared" ref="L657:L686" si="103">IF(H657&gt;F657,"lkkajdfkj","")</f>
        <v/>
      </c>
      <c r="N657" s="103">
        <v>666</v>
      </c>
      <c r="O657" s="103" t="str">
        <f>IF('Customer Base'!$I$15="MANUAL",IF(B657&lt;&gt;"",C657,""),IF('Customer Base'!$I$15="AUTOMATE",IF(A657&lt;&gt;"",C657,""),""))</f>
        <v/>
      </c>
    </row>
    <row r="658" spans="5:15">
      <c r="E658" s="224">
        <f t="shared" si="102"/>
        <v>0</v>
      </c>
      <c r="G658" s="224">
        <f>IFERROR(ROUNDUP(F658*'Customer Base'!$J$5,2),0)</f>
        <v>0</v>
      </c>
      <c r="L658" s="103" t="str">
        <f t="shared" si="103"/>
        <v/>
      </c>
      <c r="N658" s="103">
        <v>667</v>
      </c>
      <c r="O658" s="103" t="str">
        <f>IF('Customer Base'!$I$15="MANUAL",IF(B658&lt;&gt;"",C658,""),IF('Customer Base'!$I$15="AUTOMATE",IF(A658&lt;&gt;"",C658,""),""))</f>
        <v/>
      </c>
    </row>
    <row r="659" spans="5:15">
      <c r="E659" s="224">
        <f t="shared" si="102"/>
        <v>0</v>
      </c>
      <c r="G659" s="224">
        <f>IFERROR(ROUNDUP(F659*'Customer Base'!$J$5,2),0)</f>
        <v>0</v>
      </c>
      <c r="L659" s="103" t="str">
        <f t="shared" si="103"/>
        <v/>
      </c>
      <c r="N659" s="103">
        <v>668</v>
      </c>
      <c r="O659" s="103" t="str">
        <f>IF('Customer Base'!$I$15="MANUAL",IF(B659&lt;&gt;"",C659,""),IF('Customer Base'!$I$15="AUTOMATE",IF(A659&lt;&gt;"",C659,""),""))</f>
        <v/>
      </c>
    </row>
    <row r="660" spans="5:15">
      <c r="E660" s="224">
        <f t="shared" si="102"/>
        <v>0</v>
      </c>
      <c r="G660" s="224">
        <f>IFERROR(ROUNDUP(F660*'Customer Base'!$J$5,2),0)</f>
        <v>0</v>
      </c>
      <c r="L660" s="103" t="str">
        <f t="shared" si="103"/>
        <v/>
      </c>
      <c r="N660" s="103">
        <v>669</v>
      </c>
      <c r="O660" s="103" t="str">
        <f>IF('Customer Base'!$I$15="MANUAL",IF(B660&lt;&gt;"",C660,""),IF('Customer Base'!$I$15="AUTOMATE",IF(A660&lt;&gt;"",C660,""),""))</f>
        <v/>
      </c>
    </row>
    <row r="661" spans="5:15">
      <c r="E661" s="224">
        <f t="shared" si="102"/>
        <v>0</v>
      </c>
      <c r="G661" s="224">
        <f>IFERROR(ROUNDUP(F661*'Customer Base'!$J$5,2),0)</f>
        <v>0</v>
      </c>
      <c r="L661" s="103" t="str">
        <f t="shared" si="103"/>
        <v/>
      </c>
      <c r="N661" s="103">
        <v>670</v>
      </c>
      <c r="O661" s="103" t="str">
        <f>IF('Customer Base'!$I$15="MANUAL",IF(B661&lt;&gt;"",C661,""),IF('Customer Base'!$I$15="AUTOMATE",IF(A661&lt;&gt;"",C661,""),""))</f>
        <v/>
      </c>
    </row>
    <row r="662" spans="5:15">
      <c r="E662" s="224">
        <f t="shared" si="102"/>
        <v>0</v>
      </c>
      <c r="G662" s="224">
        <f>IFERROR(ROUNDUP(F662*'Customer Base'!$J$5,2),0)</f>
        <v>0</v>
      </c>
      <c r="L662" s="103" t="str">
        <f t="shared" si="103"/>
        <v/>
      </c>
      <c r="N662" s="103">
        <v>671</v>
      </c>
      <c r="O662" s="103" t="str">
        <f>IF('Customer Base'!$I$15="MANUAL",IF(B662&lt;&gt;"",C662,""),IF('Customer Base'!$I$15="AUTOMATE",IF(A662&lt;&gt;"",C662,""),""))</f>
        <v/>
      </c>
    </row>
    <row r="663" spans="5:15">
      <c r="E663" s="224">
        <f t="shared" si="102"/>
        <v>0</v>
      </c>
      <c r="G663" s="224">
        <f>IFERROR(ROUNDUP(F663*'Customer Base'!$J$5,2),0)</f>
        <v>0</v>
      </c>
      <c r="L663" s="103" t="str">
        <f t="shared" si="103"/>
        <v/>
      </c>
      <c r="N663" s="103">
        <v>672</v>
      </c>
      <c r="O663" s="103" t="str">
        <f>IF('Customer Base'!$I$15="MANUAL",IF(B663&lt;&gt;"",C663,""),IF('Customer Base'!$I$15="AUTOMATE",IF(A663&lt;&gt;"",C663,""),""))</f>
        <v/>
      </c>
    </row>
    <row r="664" spans="5:15">
      <c r="E664" s="224">
        <f t="shared" si="102"/>
        <v>0</v>
      </c>
      <c r="G664" s="224">
        <f>IFERROR(ROUNDUP(F664*'Customer Base'!$J$5,2),0)</f>
        <v>0</v>
      </c>
      <c r="L664" s="103" t="str">
        <f t="shared" si="103"/>
        <v/>
      </c>
      <c r="N664" s="103">
        <v>673</v>
      </c>
      <c r="O664" s="103" t="str">
        <f>IF('Customer Base'!$I$15="MANUAL",IF(B664&lt;&gt;"",C664,""),IF('Customer Base'!$I$15="AUTOMATE",IF(A664&lt;&gt;"",C664,""),""))</f>
        <v/>
      </c>
    </row>
    <row r="665" spans="5:15">
      <c r="E665" s="224">
        <f t="shared" si="102"/>
        <v>0</v>
      </c>
      <c r="G665" s="224">
        <f>IFERROR(ROUNDUP(F665*'Customer Base'!$J$5,2),0)</f>
        <v>0</v>
      </c>
      <c r="L665" s="103" t="str">
        <f t="shared" si="103"/>
        <v/>
      </c>
      <c r="N665" s="103">
        <v>674</v>
      </c>
      <c r="O665" s="103" t="str">
        <f>IF('Customer Base'!$I$15="MANUAL",IF(B665&lt;&gt;"",C665,""),IF('Customer Base'!$I$15="AUTOMATE",IF(A665&lt;&gt;"",C665,""),""))</f>
        <v/>
      </c>
    </row>
    <row r="666" spans="5:15">
      <c r="E666" s="224">
        <f t="shared" si="102"/>
        <v>0</v>
      </c>
      <c r="G666" s="224">
        <f>IFERROR(ROUNDUP(F666*'Customer Base'!$J$5,2),0)</f>
        <v>0</v>
      </c>
      <c r="L666" s="103" t="str">
        <f t="shared" si="103"/>
        <v/>
      </c>
      <c r="N666" s="103">
        <v>675</v>
      </c>
      <c r="O666" s="103" t="str">
        <f>IF('Customer Base'!$I$15="MANUAL",IF(B666&lt;&gt;"",C666,""),IF('Customer Base'!$I$15="AUTOMATE",IF(A666&lt;&gt;"",C666,""),""))</f>
        <v/>
      </c>
    </row>
    <row r="667" spans="5:15">
      <c r="E667" s="224">
        <f t="shared" si="102"/>
        <v>0</v>
      </c>
      <c r="G667" s="224">
        <f>IFERROR(ROUNDUP(F667*'Customer Base'!$J$5,2),0)</f>
        <v>0</v>
      </c>
      <c r="L667" s="103" t="str">
        <f t="shared" si="103"/>
        <v/>
      </c>
      <c r="N667" s="103">
        <v>676</v>
      </c>
      <c r="O667" s="103" t="str">
        <f>IF('Customer Base'!$I$15="MANUAL",IF(B667&lt;&gt;"",C667,""),IF('Customer Base'!$I$15="AUTOMATE",IF(A667&lt;&gt;"",C667,""),""))</f>
        <v/>
      </c>
    </row>
    <row r="668" spans="5:15">
      <c r="E668" s="224">
        <f t="shared" si="102"/>
        <v>0</v>
      </c>
      <c r="G668" s="224">
        <f>IFERROR(ROUNDUP(F668*'Customer Base'!$J$5,2),0)</f>
        <v>0</v>
      </c>
      <c r="L668" s="103" t="str">
        <f t="shared" si="103"/>
        <v/>
      </c>
      <c r="N668" s="103">
        <v>677</v>
      </c>
      <c r="O668" s="103" t="str">
        <f>IF('Customer Base'!$I$15="MANUAL",IF(B668&lt;&gt;"",C668,""),IF('Customer Base'!$I$15="AUTOMATE",IF(A668&lt;&gt;"",C668,""),""))</f>
        <v/>
      </c>
    </row>
    <row r="669" spans="5:15">
      <c r="E669" s="224">
        <f t="shared" si="102"/>
        <v>0</v>
      </c>
      <c r="G669" s="224">
        <f>IFERROR(ROUNDUP(F669*'Customer Base'!$J$5,2),0)</f>
        <v>0</v>
      </c>
      <c r="L669" s="103" t="str">
        <f t="shared" si="103"/>
        <v/>
      </c>
      <c r="N669" s="103">
        <v>678</v>
      </c>
      <c r="O669" s="103" t="str">
        <f>IF('Customer Base'!$I$15="MANUAL",IF(B669&lt;&gt;"",C669,""),IF('Customer Base'!$I$15="AUTOMATE",IF(A669&lt;&gt;"",C669,""),""))</f>
        <v/>
      </c>
    </row>
    <row r="670" spans="5:15">
      <c r="E670" s="224">
        <f t="shared" si="102"/>
        <v>0</v>
      </c>
      <c r="G670" s="224">
        <f>IFERROR(ROUNDUP(F670*'Customer Base'!$J$5,2),0)</f>
        <v>0</v>
      </c>
      <c r="L670" s="103" t="str">
        <f t="shared" si="103"/>
        <v/>
      </c>
      <c r="N670" s="103">
        <v>679</v>
      </c>
      <c r="O670" s="103" t="str">
        <f>IF('Customer Base'!$I$15="MANUAL",IF(B670&lt;&gt;"",C670,""),IF('Customer Base'!$I$15="AUTOMATE",IF(A670&lt;&gt;"",C670,""),""))</f>
        <v/>
      </c>
    </row>
    <row r="671" spans="5:15">
      <c r="E671" s="224">
        <f t="shared" si="102"/>
        <v>0</v>
      </c>
      <c r="G671" s="224">
        <f>IFERROR(ROUNDUP(F671*'Customer Base'!$J$5,2),0)</f>
        <v>0</v>
      </c>
      <c r="L671" s="103" t="str">
        <f t="shared" si="103"/>
        <v/>
      </c>
      <c r="N671" s="103">
        <v>680</v>
      </c>
      <c r="O671" s="103" t="str">
        <f>IF('Customer Base'!$I$15="MANUAL",IF(B671&lt;&gt;"",C671,""),IF('Customer Base'!$I$15="AUTOMATE",IF(A671&lt;&gt;"",C671,""),""))</f>
        <v/>
      </c>
    </row>
    <row r="672" spans="5:15">
      <c r="E672" s="224">
        <f t="shared" si="102"/>
        <v>0</v>
      </c>
      <c r="G672" s="224">
        <f>IFERROR(ROUNDUP(F672*'Customer Base'!$J$5,2),0)</f>
        <v>0</v>
      </c>
      <c r="L672" s="103" t="str">
        <f t="shared" si="103"/>
        <v/>
      </c>
      <c r="N672" s="103">
        <v>681</v>
      </c>
      <c r="O672" s="103" t="str">
        <f>IF('Customer Base'!$I$15="MANUAL",IF(B672&lt;&gt;"",C672,""),IF('Customer Base'!$I$15="AUTOMATE",IF(A672&lt;&gt;"",C672,""),""))</f>
        <v/>
      </c>
    </row>
    <row r="673" spans="5:15">
      <c r="E673" s="224">
        <f t="shared" si="102"/>
        <v>0</v>
      </c>
      <c r="G673" s="224">
        <f>IFERROR(ROUNDUP(F673*'Customer Base'!$J$5,2),0)</f>
        <v>0</v>
      </c>
      <c r="L673" s="103" t="str">
        <f t="shared" si="103"/>
        <v/>
      </c>
      <c r="N673" s="103">
        <v>682</v>
      </c>
      <c r="O673" s="103" t="str">
        <f>IF('Customer Base'!$I$15="MANUAL",IF(B673&lt;&gt;"",C673,""),IF('Customer Base'!$I$15="AUTOMATE",IF(A673&lt;&gt;"",C673,""),""))</f>
        <v/>
      </c>
    </row>
    <row r="674" spans="5:15">
      <c r="E674" s="224">
        <f t="shared" si="102"/>
        <v>0</v>
      </c>
      <c r="G674" s="224">
        <f>IFERROR(ROUNDUP(F674*'Customer Base'!$J$5,2),0)</f>
        <v>0</v>
      </c>
      <c r="L674" s="103" t="str">
        <f t="shared" si="103"/>
        <v/>
      </c>
      <c r="N674" s="103">
        <v>683</v>
      </c>
      <c r="O674" s="103" t="str">
        <f>IF('Customer Base'!$I$15="MANUAL",IF(B674&lt;&gt;"",C674,""),IF('Customer Base'!$I$15="AUTOMATE",IF(A674&lt;&gt;"",C674,""),""))</f>
        <v/>
      </c>
    </row>
    <row r="675" spans="5:15">
      <c r="E675" s="224">
        <f t="shared" si="102"/>
        <v>0</v>
      </c>
      <c r="G675" s="224">
        <f>IFERROR(ROUNDUP(F675*'Customer Base'!$J$5,2),0)</f>
        <v>0</v>
      </c>
      <c r="L675" s="103" t="str">
        <f t="shared" si="103"/>
        <v/>
      </c>
      <c r="N675" s="103">
        <v>684</v>
      </c>
      <c r="O675" s="103" t="str">
        <f>IF('Customer Base'!$I$15="MANUAL",IF(B675&lt;&gt;"",C675,""),IF('Customer Base'!$I$15="AUTOMATE",IF(A675&lt;&gt;"",C675,""),""))</f>
        <v/>
      </c>
    </row>
    <row r="676" spans="5:15">
      <c r="E676" s="224">
        <f t="shared" si="102"/>
        <v>0</v>
      </c>
      <c r="G676" s="224">
        <f>IFERROR(ROUNDUP(F676*'Customer Base'!$J$5,2),0)</f>
        <v>0</v>
      </c>
      <c r="L676" s="103" t="str">
        <f t="shared" si="103"/>
        <v/>
      </c>
      <c r="N676" s="103">
        <v>685</v>
      </c>
      <c r="O676" s="103" t="str">
        <f>IF('Customer Base'!$I$15="MANUAL",IF(B676&lt;&gt;"",C676,""),IF('Customer Base'!$I$15="AUTOMATE",IF(A676&lt;&gt;"",C676,""),""))</f>
        <v/>
      </c>
    </row>
    <row r="677" spans="5:15">
      <c r="E677" s="224">
        <f t="shared" si="102"/>
        <v>0</v>
      </c>
      <c r="G677" s="224">
        <f>IFERROR(ROUNDUP(F677*'Customer Base'!$J$5,2),0)</f>
        <v>0</v>
      </c>
      <c r="L677" s="103" t="str">
        <f t="shared" si="103"/>
        <v/>
      </c>
      <c r="N677" s="103">
        <v>686</v>
      </c>
      <c r="O677" s="103" t="str">
        <f>IF('Customer Base'!$I$15="MANUAL",IF(B677&lt;&gt;"",C677,""),IF('Customer Base'!$I$15="AUTOMATE",IF(A677&lt;&gt;"",C677,""),""))</f>
        <v/>
      </c>
    </row>
    <row r="678" spans="5:15">
      <c r="E678" s="224">
        <f t="shared" si="102"/>
        <v>0</v>
      </c>
      <c r="G678" s="224">
        <f>IFERROR(ROUNDUP(F678*'Customer Base'!$J$5,2),0)</f>
        <v>0</v>
      </c>
      <c r="L678" s="103" t="str">
        <f t="shared" si="103"/>
        <v/>
      </c>
      <c r="N678" s="103">
        <v>687</v>
      </c>
      <c r="O678" s="103" t="str">
        <f>IF('Customer Base'!$I$15="MANUAL",IF(B678&lt;&gt;"",C678,""),IF('Customer Base'!$I$15="AUTOMATE",IF(A678&lt;&gt;"",C678,""),""))</f>
        <v/>
      </c>
    </row>
    <row r="679" spans="5:15">
      <c r="E679" s="224">
        <f t="shared" si="102"/>
        <v>0</v>
      </c>
      <c r="G679" s="224">
        <f>IFERROR(ROUNDUP(F679*'Customer Base'!$J$5,2),0)</f>
        <v>0</v>
      </c>
      <c r="L679" s="103" t="str">
        <f t="shared" si="103"/>
        <v/>
      </c>
      <c r="N679" s="103">
        <v>688</v>
      </c>
      <c r="O679" s="103" t="str">
        <f>IF('Customer Base'!$I$15="MANUAL",IF(B679&lt;&gt;"",C679,""),IF('Customer Base'!$I$15="AUTOMATE",IF(A679&lt;&gt;"",C679,""),""))</f>
        <v/>
      </c>
    </row>
    <row r="680" spans="5:15">
      <c r="E680" s="224">
        <f t="shared" si="102"/>
        <v>0</v>
      </c>
      <c r="G680" s="224">
        <f>IFERROR(ROUNDUP(F680*'Customer Base'!$J$5,2),0)</f>
        <v>0</v>
      </c>
      <c r="L680" s="103" t="str">
        <f t="shared" si="103"/>
        <v/>
      </c>
      <c r="N680" s="103">
        <v>689</v>
      </c>
      <c r="O680" s="103" t="str">
        <f>IF('Customer Base'!$I$15="MANUAL",IF(B680&lt;&gt;"",C680,""),IF('Customer Base'!$I$15="AUTOMATE",IF(A680&lt;&gt;"",C680,""),""))</f>
        <v/>
      </c>
    </row>
    <row r="681" spans="5:15">
      <c r="E681" s="224">
        <f t="shared" si="102"/>
        <v>0</v>
      </c>
      <c r="G681" s="224">
        <f>IFERROR(ROUNDUP(F681*'Customer Base'!$J$5,2),0)</f>
        <v>0</v>
      </c>
      <c r="L681" s="103" t="str">
        <f t="shared" si="103"/>
        <v/>
      </c>
      <c r="N681" s="103">
        <v>690</v>
      </c>
      <c r="O681" s="103" t="str">
        <f>IF('Customer Base'!$I$15="MANUAL",IF(B681&lt;&gt;"",C681,""),IF('Customer Base'!$I$15="AUTOMATE",IF(A681&lt;&gt;"",C681,""),""))</f>
        <v/>
      </c>
    </row>
    <row r="682" spans="5:15">
      <c r="E682" s="224">
        <f t="shared" si="102"/>
        <v>0</v>
      </c>
      <c r="G682" s="224">
        <f>IFERROR(ROUNDUP(F682*'Customer Base'!$J$5,2),0)</f>
        <v>0</v>
      </c>
      <c r="L682" s="103" t="str">
        <f t="shared" si="103"/>
        <v/>
      </c>
      <c r="N682" s="103">
        <v>691</v>
      </c>
      <c r="O682" s="103" t="str">
        <f>IF('Customer Base'!$I$15="MANUAL",IF(B682&lt;&gt;"",C682,""),IF('Customer Base'!$I$15="AUTOMATE",IF(A682&lt;&gt;"",C682,""),""))</f>
        <v/>
      </c>
    </row>
    <row r="683" spans="5:15">
      <c r="E683" s="224">
        <f t="shared" si="102"/>
        <v>0</v>
      </c>
      <c r="G683" s="224">
        <f>IFERROR(ROUNDUP(F683*'Customer Base'!$J$5,2),0)</f>
        <v>0</v>
      </c>
      <c r="L683" s="103" t="str">
        <f t="shared" si="103"/>
        <v/>
      </c>
      <c r="N683" s="103">
        <v>692</v>
      </c>
      <c r="O683" s="103" t="str">
        <f>IF('Customer Base'!$I$15="MANUAL",IF(B683&lt;&gt;"",C683,""),IF('Customer Base'!$I$15="AUTOMATE",IF(A683&lt;&gt;"",C683,""),""))</f>
        <v/>
      </c>
    </row>
    <row r="684" spans="5:15">
      <c r="E684" s="224">
        <f t="shared" si="102"/>
        <v>0</v>
      </c>
      <c r="G684" s="224">
        <f>IFERROR(ROUNDUP(F684*'Customer Base'!$J$5,2),0)</f>
        <v>0</v>
      </c>
      <c r="L684" s="103" t="str">
        <f t="shared" si="103"/>
        <v/>
      </c>
      <c r="N684" s="103">
        <v>693</v>
      </c>
      <c r="O684" s="103" t="str">
        <f>IF('Customer Base'!$I$15="MANUAL",IF(B684&lt;&gt;"",C684,""),IF('Customer Base'!$I$15="AUTOMATE",IF(A684&lt;&gt;"",C684,""),""))</f>
        <v/>
      </c>
    </row>
    <row r="685" spans="5:15">
      <c r="L685" s="103" t="str">
        <f t="shared" si="103"/>
        <v/>
      </c>
      <c r="N685" s="103">
        <v>694</v>
      </c>
      <c r="O685" s="103" t="str">
        <f>IF('Customer Base'!$I$15="MANUAL",IF(B685&lt;&gt;"",C685,""),IF('Customer Base'!$I$15="AUTOMATE",IF(A685&lt;&gt;"",C685,""),""))</f>
        <v/>
      </c>
    </row>
    <row r="686" spans="5:15">
      <c r="L686" s="103" t="str">
        <f t="shared" si="103"/>
        <v/>
      </c>
      <c r="N686" s="103">
        <v>695</v>
      </c>
      <c r="O686" s="103" t="str">
        <f>IF('Customer Base'!$I$15="MANUAL",IF(B686&lt;&gt;"",C686,""),IF('Customer Base'!$I$15="AUTOMATE",IF(A686&lt;&gt;"",C686,""),""))</f>
        <v/>
      </c>
    </row>
    <row r="687" spans="5:15">
      <c r="O687" s="103" t="str">
        <f>IF('Customer Base'!$I$15="MANUAL",IF(B687&lt;&gt;"",C687,""),IF('Customer Base'!$I$15="AUTOMATE",IF(A687&lt;&gt;"",C687,""),""))</f>
        <v/>
      </c>
    </row>
    <row r="688" spans="5:15"/>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ht="16" customHeight="1"/>
    <row r="1048120" ht="16" customHeight="1"/>
    <row r="1048121" ht="16" customHeight="1"/>
    <row r="1048122" ht="16" customHeight="1"/>
    <row r="1048123" ht="16" customHeight="1"/>
    <row r="1048124" ht="16" customHeight="1"/>
    <row r="1048125" ht="16" customHeight="1"/>
    <row r="1048126" ht="16" customHeight="1"/>
    <row r="1048127" ht="16" customHeight="1"/>
    <row r="1048128" ht="16" customHeight="1"/>
    <row r="1048129" ht="16" customHeight="1"/>
    <row r="1048130" ht="16" customHeight="1"/>
    <row r="1048131" ht="16" customHeight="1"/>
    <row r="1048132" ht="16" customHeight="1"/>
    <row r="1048133" ht="16" customHeight="1"/>
    <row r="1048134" ht="16" customHeight="1"/>
    <row r="1048135" ht="16" customHeight="1"/>
    <row r="1048136" ht="16" customHeight="1"/>
    <row r="1048137" ht="16" customHeight="1"/>
    <row r="1048138" ht="16" customHeight="1"/>
    <row r="1048139" ht="16" customHeight="1"/>
    <row r="1048140" ht="16" customHeight="1"/>
    <row r="1048141" ht="16" customHeight="1"/>
    <row r="1048142" ht="16" customHeight="1"/>
    <row r="1048143" ht="16" customHeight="1"/>
    <row r="1048144" ht="16" customHeight="1"/>
    <row r="1048145" ht="16" customHeight="1"/>
    <row r="1048146" ht="16" customHeight="1"/>
    <row r="1048147" ht="16" customHeight="1"/>
    <row r="1048148" ht="16" customHeight="1"/>
    <row r="1048149" ht="16" customHeight="1"/>
    <row r="1048150" ht="16" customHeight="1"/>
    <row r="1048151" ht="16" customHeight="1"/>
    <row r="1048152" ht="16" customHeight="1"/>
    <row r="1048153" ht="16" customHeight="1"/>
    <row r="1048154" ht="16" customHeight="1"/>
    <row r="1048155" ht="16" customHeight="1"/>
    <row r="1048156" ht="16" customHeight="1"/>
    <row r="1048157" ht="16" customHeight="1"/>
    <row r="1048158" ht="16" customHeight="1"/>
    <row r="1048159" ht="16" customHeight="1"/>
    <row r="1048160" ht="16" customHeight="1"/>
    <row r="1048161" ht="16" customHeight="1"/>
    <row r="1048162" ht="16" customHeight="1"/>
    <row r="1048163" ht="16" customHeight="1"/>
    <row r="1048164" ht="16" customHeight="1"/>
    <row r="1048165" ht="16" customHeight="1"/>
    <row r="1048166" ht="16" customHeight="1"/>
    <row r="1048167" ht="16" customHeight="1"/>
    <row r="1048168" ht="16" customHeight="1"/>
    <row r="1048169" ht="16" customHeight="1"/>
    <row r="1048170" ht="16" customHeight="1"/>
    <row r="1048171" ht="16" customHeight="1"/>
    <row r="1048172" ht="16" customHeight="1"/>
    <row r="1048173" ht="16" customHeight="1"/>
    <row r="1048174" ht="16" customHeight="1"/>
    <row r="1048175" ht="16" customHeight="1"/>
    <row r="1048176" ht="16" customHeight="1"/>
    <row r="1048177" ht="16" customHeight="1"/>
    <row r="1048178" ht="16" customHeight="1"/>
    <row r="1048179" ht="16" customHeight="1"/>
    <row r="1048180" ht="16" customHeight="1"/>
    <row r="1048181" ht="16" customHeight="1"/>
    <row r="1048182" ht="16" customHeight="1"/>
    <row r="1048183" ht="16" customHeight="1"/>
    <row r="1048184" ht="16" customHeight="1"/>
    <row r="1048185" ht="16" customHeight="1"/>
    <row r="1048186" ht="16" customHeight="1"/>
    <row r="1048187" ht="16" customHeight="1"/>
    <row r="1048188" ht="16" customHeight="1"/>
    <row r="1048189" ht="16" customHeight="1"/>
    <row r="1048190" ht="16" customHeight="1"/>
    <row r="1048191" ht="16" customHeight="1"/>
    <row r="1048192" ht="16" customHeight="1"/>
    <row r="1048193" ht="16" customHeight="1"/>
    <row r="1048194" ht="16" customHeight="1"/>
    <row r="1048195" ht="16" customHeight="1"/>
    <row r="1048196" ht="16" customHeight="1"/>
    <row r="1048197" ht="16" customHeight="1"/>
    <row r="1048198" ht="16" customHeight="1"/>
    <row r="1048199" ht="16" customHeight="1"/>
    <row r="1048200" ht="16" customHeight="1"/>
    <row r="1048201" ht="16" customHeight="1"/>
    <row r="1048202" ht="16" customHeight="1"/>
    <row r="1048203" ht="16" customHeight="1"/>
    <row r="1048204" ht="16" customHeight="1"/>
    <row r="1048205" ht="16" customHeight="1"/>
    <row r="1048206" ht="16" customHeight="1"/>
    <row r="1048207" ht="16" customHeight="1"/>
    <row r="1048208" ht="16" customHeight="1"/>
    <row r="1048209" ht="16" customHeight="1"/>
    <row r="1048210" ht="16" customHeight="1"/>
    <row r="1048211" ht="16" customHeight="1"/>
    <row r="1048212" ht="16" customHeight="1"/>
    <row r="1048213" ht="16" customHeight="1"/>
    <row r="1048214" ht="16" customHeight="1"/>
    <row r="1048215" ht="16" customHeight="1"/>
    <row r="1048216" ht="16" customHeight="1"/>
    <row r="1048217" ht="16" customHeight="1"/>
    <row r="1048218" ht="16" customHeight="1"/>
    <row r="1048219" ht="16" customHeight="1"/>
    <row r="1048220" ht="16" customHeight="1"/>
    <row r="1048221" ht="16" customHeight="1"/>
    <row r="1048222" ht="16" customHeight="1"/>
    <row r="1048223" ht="16" customHeight="1"/>
    <row r="1048224" ht="16" customHeight="1"/>
    <row r="1048225" ht="16" customHeight="1"/>
    <row r="1048226" ht="16" customHeight="1"/>
    <row r="1048227" ht="16" customHeight="1"/>
    <row r="1048228" ht="16" customHeight="1"/>
    <row r="1048229" ht="16" customHeight="1"/>
    <row r="1048230" ht="16" customHeight="1"/>
    <row r="1048231" ht="16" customHeight="1"/>
    <row r="1048232" ht="16" customHeight="1"/>
    <row r="1048233" ht="16" customHeight="1"/>
    <row r="1048234" ht="16" customHeight="1"/>
    <row r="1048235" ht="16" customHeight="1"/>
    <row r="1048236" ht="16" customHeight="1"/>
    <row r="1048237" ht="16" customHeight="1"/>
    <row r="1048238" ht="16" customHeight="1"/>
    <row r="1048239" ht="16" customHeight="1"/>
    <row r="1048240" ht="16" customHeight="1"/>
    <row r="1048241" ht="16" customHeight="1"/>
    <row r="1048242" ht="16" customHeight="1"/>
    <row r="1048243" ht="16" customHeight="1"/>
    <row r="1048244" ht="16" customHeight="1"/>
    <row r="1048245" ht="16" customHeight="1"/>
    <row r="1048246" ht="16" customHeight="1"/>
    <row r="1048247" ht="16" customHeight="1"/>
    <row r="1048248" ht="16" customHeight="1"/>
    <row r="1048249" ht="16" customHeight="1"/>
    <row r="1048250" ht="16" customHeight="1"/>
    <row r="1048251" ht="16" customHeight="1"/>
    <row r="1048252" ht="16" customHeight="1"/>
    <row r="1048253" ht="16" customHeight="1"/>
    <row r="1048254" ht="16" customHeight="1"/>
    <row r="1048255" ht="16" customHeight="1"/>
    <row r="1048256" ht="16" customHeight="1"/>
    <row r="1048257" ht="16" customHeight="1"/>
    <row r="1048258" ht="16" customHeight="1"/>
    <row r="1048259" ht="16" customHeight="1"/>
    <row r="1048260" ht="16" customHeight="1"/>
    <row r="1048261" ht="16" customHeight="1"/>
    <row r="1048262" ht="16" customHeight="1"/>
    <row r="1048263" ht="16" customHeight="1"/>
    <row r="1048264" ht="16" customHeight="1"/>
    <row r="1048265" ht="16" customHeight="1"/>
    <row r="1048266" ht="16" customHeight="1"/>
    <row r="1048267" ht="16" customHeight="1"/>
    <row r="1048268" ht="16" customHeight="1"/>
    <row r="1048269" ht="16" customHeight="1"/>
    <row r="1048270" ht="16" customHeight="1"/>
    <row r="1048271" ht="16" customHeight="1"/>
    <row r="1048272" ht="16" customHeight="1"/>
    <row r="1048273" ht="16" customHeight="1"/>
    <row r="1048274" ht="16" customHeight="1"/>
    <row r="1048275" ht="16" customHeight="1"/>
    <row r="1048276" ht="16" customHeight="1"/>
    <row r="1048277" ht="16" customHeight="1"/>
    <row r="1048278" ht="16" customHeight="1"/>
    <row r="1048279" ht="16" customHeight="1"/>
    <row r="1048280" ht="16" customHeight="1"/>
    <row r="1048281" ht="16" customHeight="1"/>
    <row r="1048282" ht="16" customHeight="1"/>
    <row r="1048283" ht="16" customHeight="1"/>
    <row r="1048284" ht="16" customHeight="1"/>
    <row r="1048285" ht="16" customHeight="1"/>
    <row r="1048286" ht="16" customHeight="1"/>
    <row r="1048287" ht="16" customHeight="1"/>
    <row r="1048288" ht="16" customHeight="1"/>
    <row r="1048289" ht="16" customHeight="1"/>
    <row r="1048290" ht="16" customHeight="1"/>
    <row r="1048291" ht="16" customHeight="1"/>
    <row r="1048292" ht="16" customHeight="1"/>
    <row r="1048293" ht="16" customHeight="1"/>
    <row r="1048294" ht="16" customHeight="1"/>
    <row r="1048295" ht="16" customHeight="1"/>
    <row r="1048296" ht="16" customHeight="1"/>
    <row r="1048297" ht="16" customHeight="1"/>
    <row r="1048298" ht="16" customHeight="1"/>
    <row r="1048299" ht="16" customHeight="1"/>
    <row r="1048300" ht="16" customHeight="1"/>
    <row r="1048301" ht="16" customHeight="1"/>
    <row r="1048302" ht="16" customHeight="1"/>
    <row r="1048303" ht="16" customHeight="1"/>
    <row r="1048304" ht="16" customHeight="1"/>
    <row r="1048305" ht="16" customHeight="1"/>
    <row r="1048306" ht="16" customHeight="1"/>
    <row r="1048307" ht="16" customHeight="1"/>
    <row r="1048308" ht="16" customHeight="1"/>
    <row r="1048309" ht="16" customHeight="1"/>
    <row r="1048310" ht="16" customHeight="1"/>
    <row r="1048311" ht="16" customHeight="1"/>
    <row r="1048312" ht="16" customHeight="1"/>
    <row r="1048313" ht="16" customHeight="1"/>
    <row r="1048314" ht="16" customHeight="1"/>
    <row r="1048315" ht="16" customHeight="1"/>
    <row r="1048316" ht="16" customHeight="1"/>
    <row r="1048317" ht="16" customHeight="1"/>
    <row r="1048318" ht="16" customHeight="1"/>
    <row r="1048319" ht="16" customHeight="1"/>
    <row r="1048320" ht="16" customHeight="1"/>
    <row r="1048321" ht="16" customHeight="1"/>
    <row r="1048322" ht="16" customHeight="1"/>
    <row r="1048323" ht="16" customHeight="1"/>
    <row r="1048324" ht="16" customHeight="1"/>
    <row r="1048325" ht="16" customHeight="1"/>
    <row r="1048326" ht="16" customHeight="1"/>
    <row r="1048327" ht="16" customHeight="1"/>
    <row r="1048328" ht="16" customHeight="1"/>
    <row r="1048329" ht="16" customHeight="1"/>
    <row r="1048330" ht="16" customHeight="1"/>
    <row r="1048331" ht="16" customHeight="1"/>
    <row r="1048332" ht="16" customHeight="1"/>
    <row r="1048333" ht="16" customHeight="1"/>
    <row r="1048334" ht="16" customHeight="1"/>
    <row r="1048335" ht="16" customHeight="1"/>
    <row r="1048336" ht="16" customHeight="1"/>
    <row r="1048337" ht="16" customHeight="1"/>
    <row r="1048338" ht="16" customHeight="1"/>
    <row r="1048339" ht="16" customHeight="1"/>
    <row r="1048340" ht="16" customHeight="1"/>
    <row r="1048341" ht="16" customHeight="1"/>
    <row r="1048342" ht="16" customHeight="1"/>
    <row r="1048343" ht="16" customHeight="1"/>
    <row r="1048344" ht="16" customHeight="1"/>
    <row r="1048345" ht="16" customHeight="1"/>
    <row r="1048346" ht="16" customHeight="1"/>
    <row r="1048347" ht="16" customHeight="1"/>
    <row r="1048348" ht="16" customHeight="1"/>
    <row r="1048349" ht="16" customHeight="1"/>
    <row r="1048350" ht="16" customHeight="1"/>
    <row r="1048351" ht="16" customHeight="1"/>
    <row r="1048352" ht="16" customHeight="1"/>
    <row r="1048353" ht="16" customHeight="1"/>
    <row r="1048354" ht="16" customHeight="1"/>
    <row r="1048355" ht="16" customHeight="1"/>
    <row r="1048356" ht="16" customHeight="1"/>
    <row r="1048357" ht="16" customHeight="1"/>
    <row r="1048358" ht="16" customHeight="1"/>
    <row r="1048359" ht="16" customHeight="1"/>
    <row r="1048360" ht="16" customHeight="1"/>
    <row r="1048361" ht="16" customHeight="1"/>
    <row r="1048362" ht="16" customHeight="1"/>
    <row r="1048363" ht="16" customHeight="1"/>
    <row r="1048364" ht="16" customHeight="1"/>
    <row r="1048365" ht="16" customHeight="1"/>
    <row r="1048366" ht="16" customHeight="1"/>
    <row r="1048367" ht="16" customHeight="1"/>
    <row r="1048368" ht="16" customHeight="1"/>
    <row r="1048369" ht="16" customHeight="1"/>
    <row r="1048370" ht="16" customHeight="1"/>
    <row r="1048371" ht="16" customHeight="1"/>
    <row r="1048372" ht="16" customHeight="1"/>
    <row r="1048373" ht="16" customHeight="1"/>
    <row r="1048374" ht="16" customHeight="1"/>
    <row r="1048375" ht="16" customHeight="1"/>
    <row r="1048376" ht="16" customHeight="1"/>
    <row r="1048377" ht="16" customHeight="1"/>
    <row r="1048378" ht="16" customHeight="1"/>
    <row r="1048379" ht="16" customHeight="1"/>
    <row r="1048380" ht="16" customHeight="1"/>
    <row r="1048381" ht="16" customHeight="1"/>
    <row r="1048382" ht="16" customHeight="1"/>
    <row r="1048383" ht="16" customHeight="1"/>
    <row r="1048384" ht="16" customHeight="1"/>
    <row r="1048385" ht="16" customHeight="1"/>
    <row r="1048386" ht="16" customHeight="1"/>
    <row r="1048387" ht="16" customHeight="1"/>
    <row r="1048388" ht="16" customHeight="1"/>
    <row r="1048389" ht="16" customHeight="1"/>
    <row r="1048390" ht="16" customHeight="1"/>
    <row r="1048391" ht="16" customHeight="1"/>
    <row r="1048392" ht="16" customHeight="1"/>
    <row r="1048393" ht="16" customHeight="1"/>
    <row r="1048394" ht="16" customHeight="1"/>
    <row r="1048395" ht="16" customHeight="1"/>
    <row r="1048396" ht="16" customHeight="1"/>
    <row r="1048397" ht="16" customHeight="1"/>
    <row r="1048398" ht="16" customHeight="1"/>
    <row r="1048399" ht="16" customHeight="1"/>
    <row r="1048400" ht="16" customHeight="1"/>
    <row r="1048401" ht="16" customHeight="1"/>
    <row r="1048402" ht="16" customHeight="1"/>
    <row r="1048403" ht="16" customHeight="1"/>
    <row r="1048404" ht="16" customHeight="1"/>
    <row r="1048405" ht="16" customHeight="1"/>
    <row r="1048406" ht="16" customHeight="1"/>
    <row r="1048407" ht="16" customHeight="1"/>
    <row r="1048408" ht="16" customHeight="1"/>
    <row r="1048409" ht="16" customHeight="1"/>
    <row r="1048410" ht="16" customHeight="1"/>
    <row r="1048411" ht="16" customHeight="1"/>
    <row r="1048412" ht="16" customHeight="1"/>
    <row r="1048413" ht="16" customHeight="1"/>
    <row r="1048414" ht="16" customHeight="1"/>
    <row r="1048415" ht="16" customHeight="1"/>
    <row r="1048416" ht="16" customHeight="1"/>
    <row r="1048417" ht="16" customHeight="1"/>
    <row r="1048418" ht="16" customHeight="1"/>
    <row r="1048419" ht="16" customHeight="1"/>
    <row r="1048420" ht="16" customHeight="1"/>
    <row r="1048421" ht="16" customHeight="1"/>
    <row r="1048422" ht="16" customHeight="1"/>
    <row r="1048423" ht="16" customHeight="1"/>
    <row r="1048424" ht="16" customHeight="1"/>
    <row r="1048425" ht="16" customHeight="1"/>
    <row r="1048426" ht="16" customHeight="1"/>
    <row r="1048427" ht="16" customHeight="1"/>
    <row r="1048428" ht="16" customHeight="1"/>
    <row r="1048429" ht="16" customHeight="1"/>
    <row r="1048430" ht="16" customHeight="1"/>
    <row r="1048431" ht="16" customHeight="1"/>
    <row r="1048432" ht="16" customHeight="1"/>
    <row r="1048433" ht="16" customHeight="1"/>
    <row r="1048434" ht="16" customHeight="1"/>
    <row r="1048435" ht="16" customHeight="1"/>
    <row r="1048436" ht="16" customHeight="1"/>
    <row r="1048437" ht="16" customHeight="1"/>
    <row r="1048438" ht="16" customHeight="1"/>
    <row r="1048439" ht="16" customHeight="1"/>
    <row r="1048440" ht="16" customHeight="1"/>
    <row r="1048441" ht="16" customHeight="1"/>
    <row r="1048442" ht="16" customHeight="1"/>
    <row r="1048443" ht="16" customHeight="1"/>
    <row r="1048444" ht="16" customHeight="1"/>
    <row r="1048445" ht="16" customHeight="1"/>
    <row r="1048446" ht="16" customHeight="1"/>
    <row r="1048447" ht="16" customHeight="1"/>
    <row r="1048448" ht="16" customHeight="1"/>
    <row r="1048449" ht="16" customHeight="1"/>
    <row r="1048450" ht="16" customHeight="1"/>
    <row r="1048451" ht="16" customHeight="1"/>
    <row r="1048452" ht="16" customHeight="1"/>
    <row r="1048453" ht="16" customHeight="1"/>
    <row r="1048454" ht="16" customHeight="1"/>
    <row r="1048455" ht="16" customHeight="1"/>
    <row r="1048456" ht="16" customHeight="1"/>
    <row r="1048457" ht="16" customHeight="1"/>
    <row r="1048458" ht="16" customHeight="1"/>
    <row r="1048459" ht="16" customHeight="1"/>
    <row r="1048460" ht="16" customHeight="1"/>
    <row r="1048461" ht="16" customHeight="1"/>
    <row r="1048462" ht="16" customHeight="1"/>
    <row r="1048463" ht="16" customHeight="1"/>
    <row r="1048464" ht="16" customHeight="1"/>
    <row r="1048465" ht="16" customHeight="1"/>
    <row r="1048466" ht="16" customHeight="1"/>
    <row r="1048467" ht="16" customHeight="1"/>
    <row r="1048468" ht="16" customHeight="1"/>
    <row r="1048469" ht="16" customHeight="1"/>
    <row r="1048470" ht="16" customHeight="1"/>
    <row r="1048471" ht="16" customHeight="1"/>
    <row r="1048472" ht="16" customHeight="1"/>
    <row r="1048473" ht="16" customHeight="1"/>
    <row r="1048474" ht="16" customHeight="1"/>
    <row r="1048475" ht="16" customHeight="1"/>
    <row r="1048476" ht="16" customHeight="1"/>
    <row r="1048477" ht="16" customHeight="1"/>
    <row r="1048478" ht="16" customHeight="1"/>
    <row r="1048479" ht="16" customHeight="1"/>
    <row r="1048480" ht="16" customHeight="1"/>
    <row r="1048481" ht="16" customHeight="1"/>
    <row r="1048482" ht="16" customHeight="1"/>
    <row r="1048483" ht="16" customHeight="1"/>
    <row r="1048484" ht="16" customHeight="1"/>
    <row r="1048485" ht="16" customHeight="1"/>
    <row r="1048486" ht="16" customHeight="1"/>
    <row r="1048487" ht="16" customHeight="1"/>
    <row r="1048488" ht="16" customHeight="1"/>
    <row r="1048489" ht="16" customHeight="1"/>
    <row r="1048490" ht="16" customHeight="1"/>
    <row r="1048491" ht="16" customHeight="1"/>
    <row r="1048492" ht="16" customHeight="1"/>
    <row r="1048493" ht="16" customHeight="1"/>
    <row r="1048494" ht="16" customHeight="1"/>
    <row r="1048495" ht="16" customHeight="1"/>
    <row r="1048496" ht="16" customHeight="1"/>
    <row r="1048497" ht="16" customHeight="1"/>
    <row r="1048498" ht="16" customHeight="1"/>
    <row r="1048499" ht="16" customHeight="1"/>
    <row r="1048500" ht="16" customHeight="1"/>
    <row r="1048501" ht="16" customHeight="1"/>
    <row r="1048502" ht="16" customHeight="1"/>
    <row r="1048503" ht="16" customHeight="1"/>
    <row r="1048504" ht="16" customHeight="1"/>
    <row r="1048505" ht="16" customHeight="1"/>
    <row r="1048506" ht="16" customHeight="1"/>
    <row r="1048507" ht="16" customHeight="1"/>
    <row r="1048508" ht="16" customHeight="1"/>
    <row r="1048509" ht="16" customHeight="1"/>
    <row r="1048510" ht="16" customHeight="1"/>
    <row r="1048511" ht="16" customHeight="1"/>
    <row r="1048512" ht="16" customHeight="1"/>
    <row r="1048513" ht="16" customHeight="1"/>
    <row r="1048514" ht="16" customHeight="1"/>
    <row r="1048515" ht="16" customHeight="1"/>
    <row r="1048516" ht="16" customHeight="1"/>
    <row r="1048517" ht="16" customHeight="1"/>
    <row r="1048518" ht="16" customHeight="1"/>
    <row r="1048519" ht="16" customHeight="1"/>
    <row r="1048520" ht="16" customHeight="1"/>
    <row r="1048521" ht="16" customHeight="1"/>
    <row r="1048522" ht="16" customHeight="1"/>
    <row r="1048523" ht="16" customHeight="1"/>
    <row r="1048524" ht="16" customHeight="1"/>
    <row r="1048525" ht="16" customHeight="1"/>
    <row r="1048526" ht="16" customHeight="1"/>
    <row r="1048527" ht="16" customHeight="1"/>
    <row r="1048528" ht="16" customHeight="1"/>
    <row r="1048529" ht="16" customHeight="1"/>
    <row r="1048530" ht="16" customHeight="1"/>
    <row r="1048531" ht="16" customHeight="1"/>
    <row r="1048532" ht="16" customHeight="1"/>
    <row r="1048533" ht="16" customHeight="1"/>
    <row r="1048534" ht="16" customHeight="1"/>
    <row r="1048535" ht="16" customHeight="1"/>
    <row r="1048536" ht="16" customHeight="1"/>
    <row r="1048537" ht="16" customHeight="1"/>
    <row r="1048538" ht="16" customHeight="1"/>
    <row r="1048539" ht="16" customHeight="1"/>
    <row r="1048540" ht="16" customHeight="1"/>
    <row r="1048541" ht="16" customHeight="1"/>
    <row r="1048542" ht="16" customHeight="1"/>
    <row r="1048543" ht="16" customHeight="1"/>
    <row r="1048544" ht="16" customHeight="1"/>
    <row r="1048545" ht="16" customHeight="1"/>
    <row r="1048546" ht="16" customHeight="1"/>
    <row r="1048547" ht="16" customHeight="1"/>
    <row r="1048548" ht="16" customHeight="1"/>
    <row r="1048549" ht="16" customHeight="1"/>
    <row r="1048550" ht="16" customHeight="1"/>
    <row r="1048551" ht="16" customHeight="1"/>
    <row r="1048552" ht="16" customHeight="1"/>
    <row r="1048553" ht="16" customHeight="1"/>
    <row r="1048554" ht="16" customHeight="1"/>
    <row r="1048555" ht="16" customHeight="1"/>
    <row r="1048556" ht="16" customHeight="1"/>
    <row r="1048557" ht="16" customHeight="1"/>
    <row r="1048558" ht="16" customHeight="1"/>
    <row r="1048559" ht="16" customHeight="1"/>
    <row r="1048560" ht="16" customHeight="1"/>
    <row r="1048561" ht="16" customHeight="1"/>
    <row r="1048562" ht="16" customHeight="1"/>
    <row r="1048563" ht="16" customHeight="1"/>
    <row r="1048564" ht="16" customHeight="1"/>
    <row r="1048565" ht="16" customHeight="1"/>
    <row r="1048566" ht="16" customHeight="1"/>
    <row r="1048567" ht="16" customHeight="1"/>
    <row r="1048568" ht="16" customHeight="1"/>
    <row r="1048569" ht="16" customHeight="1"/>
    <row r="1048570" ht="16" customHeight="1"/>
    <row r="1048571" ht="16" customHeight="1"/>
    <row r="1048572" ht="16" customHeight="1"/>
    <row r="1048573" ht="16" customHeight="1"/>
    <row r="1048574" ht="16" customHeight="1"/>
    <row r="1048575" ht="16" customHeight="1"/>
    <row r="1048576" ht="16" customHeight="1"/>
  </sheetData>
  <autoFilter ref="B3:I687" xr:uid="{00000000-0001-0000-0500-000000000000}"/>
  <phoneticPr fontId="24" type="noConversion"/>
  <conditionalFormatting sqref="B1:B1048576">
    <cfRule type="cellIs" dxfId="60" priority="8" stopIfTrue="1" operator="equal">
      <formula>0</formula>
    </cfRule>
    <cfRule type="cellIs" dxfId="59" priority="12" operator="greaterThan">
      <formula>0</formula>
    </cfRule>
  </conditionalFormatting>
  <conditionalFormatting sqref="G1 N1:O4 Q15:AL20 H561:J1048576">
    <cfRule type="cellIs" dxfId="58" priority="21" operator="equal">
      <formula>0</formula>
    </cfRule>
  </conditionalFormatting>
  <conditionalFormatting sqref="H555:I560">
    <cfRule type="cellIs" dxfId="57" priority="3" operator="equal">
      <formula>0</formula>
    </cfRule>
  </conditionalFormatting>
  <conditionalFormatting sqref="P6:V7 AC6:AL14 N6:N686 Q8:V14 P8:P22 Q15:AK23 P24:AK35 AC26:AL34 P28:P42 Q35:AL43">
    <cfRule type="cellIs" dxfId="56" priority="2" operator="equal">
      <formula>0</formula>
    </cfRule>
  </conditionalFormatting>
  <conditionalFormatting sqref="R1:AZ1 BB1:XFD1 C1:F5 H1:I36 R2:AX2 AZ2:XFD2 K2:M4 BB3:XFD3 R3:AZ4 G3:G36 BB4:BK4 BM4:BO11 BQ4:XFD12 L5:BK5 AO6:AY6 BF6:BK10 BP6:BP35 F6:F36 BE6:BE53 J6:M114 C6:C538 O6:O687 AW7:AY20 AP7:AS30 AU7:AV36 BD7:BD53 AT7:AT161 AO7:AO560 BF11:BL11 BF12:BK12 BM12:BN12 BF13:XFD14 BM15:XFD20 BF15:BJ21 BM15:BO21 AW21:AZ23 P21:AN25 BE21:XFD25 BF22:BO35 AW24:BC25 AW26:AY36 AM26:AN53 BP26:XFD53 AZ27:AZ34 AQ31:AS45 AP31:AP111 AZ35:BC35 BF35:BJ41 BM35:BO41 AZ36:BP41 AU37:AY45 F37:I538 BF42:BO53 P44:AL53 AQ46:AY46 AU47:AZ53 AQ47:AS111 P54:AN114 AU54:AU161 AV54:XFD263 AP103:AS114 P115:AS130 J115:K148 L115:M686 AQ131:AS161 P131:AP165 J149:J560 K149:K686 AQ162:AU204 AP166:AP206 P166:AN533 AQ205:AS206 AT205:AU240 AP207:AS207 AQ208:AS214 AP208:AP246 AS215:AS240 AQ215:AR246 AS241:AU263 AP247:AT247 AP248:AR263 AP264:XFD275 AP276:AP532 AQ276:XFD533 AO533:AP533 P534:XFD687 C539:I554 C555:G1048576 K687:N687 K688:XFD1048576">
    <cfRule type="cellIs" dxfId="55" priority="11" operator="equal">
      <formula>0</formula>
    </cfRule>
  </conditionalFormatting>
  <conditionalFormatting sqref="BA6:BC53">
    <cfRule type="cellIs" dxfId="54" priority="1" operator="equal">
      <formula>0</formula>
    </cfRule>
  </conditionalFormatting>
  <dataValidations disablePrompts="1" count="6">
    <dataValidation type="list" allowBlank="1" showInputMessage="1" showErrorMessage="1" sqref="AZ1" xr:uid="{2B10DFB3-A021-D04C-9625-E30270DB008D}">
      <formula1>INDIRECT($AY$1)</formula1>
    </dataValidation>
    <dataValidation type="list" allowBlank="1" showInputMessage="1" showErrorMessage="1" sqref="AY3" xr:uid="{27CC2939-F0B2-784E-A886-2D7F12497518}">
      <formula1>$BC$6:$BC$17</formula1>
    </dataValidation>
    <dataValidation type="list" allowBlank="1" showInputMessage="1" showErrorMessage="1" sqref="AZ3" xr:uid="{55BEED9C-E667-5B41-9F9E-7ADFC749444C}">
      <formula1>INDIRECT($AY$3)</formula1>
    </dataValidation>
    <dataValidation type="list" allowBlank="1" showInputMessage="1" showErrorMessage="1" sqref="AZ4" xr:uid="{9581B0EC-EE2C-554D-8712-48DA66228A42}">
      <formula1>INDIRECT($AY$4)</formula1>
    </dataValidation>
    <dataValidation type="list" allowBlank="1" showInputMessage="1" showErrorMessage="1" sqref="AY4" xr:uid="{F6197FCC-378E-994A-B619-8A67DA0E4023}">
      <formula1>$BE$6:$BE$11</formula1>
    </dataValidation>
    <dataValidation type="list" allowBlank="1" showInputMessage="1" showErrorMessage="1" sqref="AY1" xr:uid="{43F293A9-BAD8-E94F-9A87-CAB623A5C6FC}">
      <formula1>$AZ$6:$AZ$20</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IP1522"/>
  <sheetViews>
    <sheetView zoomScale="75" workbookViewId="0">
      <pane xSplit="2" ySplit="1" topLeftCell="C789" activePane="bottomRight" state="frozen"/>
      <selection activeCell="O51" sqref="O51"/>
      <selection pane="topRight" activeCell="O51" sqref="O51"/>
      <selection pane="bottomLeft" activeCell="O51" sqref="O51"/>
      <selection pane="bottomRight" activeCell="B818" sqref="B818"/>
    </sheetView>
  </sheetViews>
  <sheetFormatPr baseColWidth="10" defaultColWidth="9.1640625" defaultRowHeight="16"/>
  <cols>
    <col min="1" max="1" width="0" style="209" hidden="1" customWidth="1"/>
    <col min="2" max="2" width="52.83203125" style="206" bestFit="1" customWidth="1"/>
    <col min="3" max="3" width="24.5" style="207" customWidth="1"/>
    <col min="4" max="4" width="24" style="207" bestFit="1" customWidth="1"/>
    <col min="5" max="5" width="18" style="207" bestFit="1" customWidth="1"/>
    <col min="6" max="6" width="22.6640625" style="102" customWidth="1"/>
    <col min="7" max="7" width="22.83203125" style="208" bestFit="1" customWidth="1"/>
    <col min="8" max="8" width="33.5" style="209" bestFit="1" customWidth="1"/>
    <col min="9" max="9" width="16.83203125" style="209" customWidth="1"/>
    <col min="10" max="16384" width="9.1640625" style="209"/>
  </cols>
  <sheetData>
    <row r="1" spans="2:21" ht="17">
      <c r="B1" s="206" t="s">
        <v>2503</v>
      </c>
      <c r="C1" s="207" t="s">
        <v>2504</v>
      </c>
      <c r="D1" s="207" t="s">
        <v>2505</v>
      </c>
      <c r="E1" s="207" t="s">
        <v>2506</v>
      </c>
      <c r="F1" s="205" t="s">
        <v>2507</v>
      </c>
      <c r="G1" s="208" t="s">
        <v>2508</v>
      </c>
      <c r="H1" s="207" t="s">
        <v>2509</v>
      </c>
      <c r="N1" s="209">
        <f>SUM(Items!A242:A254)</f>
        <v>9</v>
      </c>
      <c r="O1" s="209">
        <f>IF(MOD($N$1,ROW())=0,ROW(),"")</f>
        <v>1</v>
      </c>
      <c r="P1" s="209">
        <f>IFERROR(LARGE(O$1:O$100, ROW()), "")</f>
        <v>9</v>
      </c>
      <c r="Q1" s="209" t="str">
        <f>_xlfn.TEXTJOIN(", ", TRUE, P1:P100)</f>
        <v>9, 3, 1</v>
      </c>
    </row>
    <row r="2" spans="2:21" ht="17">
      <c r="B2" s="206" t="s">
        <v>847</v>
      </c>
      <c r="C2" s="207" t="s">
        <v>2653</v>
      </c>
      <c r="D2" s="207" t="s">
        <v>955</v>
      </c>
      <c r="E2" s="210" t="s">
        <v>27</v>
      </c>
      <c r="F2" s="102" t="str">
        <f>UPPER(LEFT(B2,1)) &amp; IFERROR(UPPER(LEFT(MID(B2,FIND(" ",B2)+1,LEN(B2)),1)),"") &amp; IFERROR(UPPER(LEFT(MID(B2,FIND(" ",B2,FIND(" ",B2)+1)+1,LEN(B2)),1)),"") &amp; IFERROR(UPPER(LEFT(MID(B2,FIND(" ",B2,FIND(" ",B2,FIND(" ",B2)+1)+1)+1,LEN(B2)),1)),"")</f>
        <v>TR</v>
      </c>
      <c r="I2" s="209" t="s">
        <v>853</v>
      </c>
      <c r="J2" s="209" t="s">
        <v>854</v>
      </c>
      <c r="O2" s="209" t="str">
        <f t="shared" ref="O2:O65" si="0">IF(MOD($N$1,ROW())=0,ROW(),"")</f>
        <v/>
      </c>
      <c r="P2" s="209">
        <f t="shared" ref="P2:P11" si="1">IFERROR(LARGE(O$1:O$100, ROW()), "")</f>
        <v>3</v>
      </c>
      <c r="U2" s="209">
        <f t="shared" ref="U2:U65" si="2">IF(MOD($T$500,ROW())=0,ROW(),"")</f>
        <v>2</v>
      </c>
    </row>
    <row r="3" spans="2:21" ht="17">
      <c r="B3" s="206" t="s">
        <v>28</v>
      </c>
      <c r="C3" s="207" t="s">
        <v>29</v>
      </c>
      <c r="D3" s="207" t="s">
        <v>216</v>
      </c>
      <c r="E3" s="210" t="s">
        <v>30</v>
      </c>
      <c r="F3" s="102" t="str">
        <f t="shared" ref="F3:F66" si="3">UPPER(LEFT(B3,1)) &amp; IFERROR(UPPER(LEFT(MID(B3,FIND(" ",B3)+1,LEN(B3)),1)),"") &amp; IFERROR(UPPER(LEFT(MID(B3,FIND(" ",B3,FIND(" ",B3)+1)+1,LEN(B3)),1)),"") &amp; IFERROR(UPPER(LEFT(MID(B3,FIND(" ",B3,FIND(" ",B3,FIND(" ",B3)+1)+1)+1,LEN(B3)),1)),"")</f>
        <v>AB</v>
      </c>
      <c r="I3" s="209" t="s">
        <v>19</v>
      </c>
      <c r="J3" s="209">
        <v>1234</v>
      </c>
      <c r="O3" s="209">
        <f t="shared" si="0"/>
        <v>3</v>
      </c>
      <c r="P3" s="209">
        <f t="shared" si="1"/>
        <v>1</v>
      </c>
      <c r="U3" s="209">
        <f t="shared" si="2"/>
        <v>3</v>
      </c>
    </row>
    <row r="4" spans="2:21" ht="17">
      <c r="B4" s="206" t="s">
        <v>31</v>
      </c>
      <c r="C4" s="207" t="s">
        <v>32</v>
      </c>
      <c r="D4" s="207" t="s">
        <v>216</v>
      </c>
      <c r="E4" s="210" t="s">
        <v>33</v>
      </c>
      <c r="F4" s="102" t="str">
        <f t="shared" si="3"/>
        <v>DTA</v>
      </c>
      <c r="I4" s="209" t="s">
        <v>851</v>
      </c>
      <c r="J4" s="209">
        <v>5555</v>
      </c>
      <c r="O4" s="209" t="str">
        <f t="shared" si="0"/>
        <v/>
      </c>
      <c r="P4" s="209" t="str">
        <f t="shared" si="1"/>
        <v/>
      </c>
      <c r="U4" s="209">
        <f t="shared" si="2"/>
        <v>4</v>
      </c>
    </row>
    <row r="5" spans="2:21" ht="17">
      <c r="B5" s="206" t="s">
        <v>34</v>
      </c>
      <c r="C5" s="207" t="s">
        <v>35</v>
      </c>
      <c r="D5" s="207" t="s">
        <v>35</v>
      </c>
      <c r="E5" s="210">
        <v>0</v>
      </c>
      <c r="F5" s="102" t="str">
        <f t="shared" si="3"/>
        <v>RS</v>
      </c>
      <c r="I5" s="209" t="s">
        <v>852</v>
      </c>
      <c r="J5" s="209">
        <v>1980</v>
      </c>
      <c r="O5" s="209" t="str">
        <f t="shared" si="0"/>
        <v/>
      </c>
      <c r="P5" s="209" t="str">
        <f t="shared" si="1"/>
        <v/>
      </c>
      <c r="U5" s="209">
        <f t="shared" si="2"/>
        <v>5</v>
      </c>
    </row>
    <row r="6" spans="2:21" ht="17">
      <c r="B6" s="206" t="s">
        <v>36</v>
      </c>
      <c r="C6" s="207" t="s">
        <v>37</v>
      </c>
      <c r="D6" s="207" t="s">
        <v>954</v>
      </c>
      <c r="E6" s="210">
        <v>0</v>
      </c>
      <c r="F6" s="102" t="str">
        <f t="shared" si="3"/>
        <v>HF&amp;D</v>
      </c>
      <c r="O6" s="209" t="str">
        <f t="shared" si="0"/>
        <v/>
      </c>
      <c r="P6" s="209" t="str">
        <f t="shared" si="1"/>
        <v/>
      </c>
      <c r="U6" s="209">
        <f t="shared" si="2"/>
        <v>6</v>
      </c>
    </row>
    <row r="7" spans="2:21" ht="17">
      <c r="B7" s="206" t="s">
        <v>845</v>
      </c>
      <c r="C7" s="207" t="s">
        <v>38</v>
      </c>
      <c r="D7" s="207" t="s">
        <v>216</v>
      </c>
      <c r="E7" s="210">
        <v>0</v>
      </c>
      <c r="F7" s="102" t="str">
        <f t="shared" si="3"/>
        <v>CA</v>
      </c>
      <c r="O7" s="209" t="str">
        <f t="shared" si="0"/>
        <v/>
      </c>
      <c r="P7" s="209" t="str">
        <f t="shared" si="1"/>
        <v/>
      </c>
      <c r="U7" s="209">
        <f t="shared" si="2"/>
        <v>7</v>
      </c>
    </row>
    <row r="8" spans="2:21" ht="17">
      <c r="B8" s="206" t="s">
        <v>39</v>
      </c>
      <c r="C8" s="207" t="s">
        <v>40</v>
      </c>
      <c r="D8" s="207" t="s">
        <v>35</v>
      </c>
      <c r="E8" s="210" t="s">
        <v>731</v>
      </c>
      <c r="F8" s="102" t="str">
        <f t="shared" si="3"/>
        <v>ME-I</v>
      </c>
      <c r="O8" s="209" t="str">
        <f t="shared" si="0"/>
        <v/>
      </c>
      <c r="P8" s="209" t="str">
        <f t="shared" si="1"/>
        <v/>
      </c>
      <c r="U8" s="209">
        <f t="shared" si="2"/>
        <v>8</v>
      </c>
    </row>
    <row r="9" spans="2:21" ht="17">
      <c r="B9" s="206" t="s">
        <v>41</v>
      </c>
      <c r="C9" s="207" t="s">
        <v>42</v>
      </c>
      <c r="D9" s="207" t="s">
        <v>956</v>
      </c>
      <c r="E9" s="210">
        <v>0</v>
      </c>
      <c r="F9" s="102" t="str">
        <f t="shared" si="3"/>
        <v>AI</v>
      </c>
      <c r="O9" s="209">
        <f t="shared" si="0"/>
        <v>9</v>
      </c>
      <c r="P9" s="209" t="str">
        <f t="shared" si="1"/>
        <v/>
      </c>
      <c r="U9" s="209">
        <f t="shared" si="2"/>
        <v>9</v>
      </c>
    </row>
    <row r="10" spans="2:21" ht="17">
      <c r="B10" s="206" t="s">
        <v>43</v>
      </c>
      <c r="C10" s="207" t="s">
        <v>44</v>
      </c>
      <c r="D10" s="207" t="s">
        <v>35</v>
      </c>
      <c r="E10" s="210" t="s">
        <v>45</v>
      </c>
      <c r="F10" s="102" t="str">
        <f t="shared" si="3"/>
        <v>MKN</v>
      </c>
      <c r="O10" s="209" t="str">
        <f t="shared" si="0"/>
        <v/>
      </c>
      <c r="P10" s="209" t="str">
        <f t="shared" si="1"/>
        <v/>
      </c>
      <c r="U10" s="209">
        <f t="shared" si="2"/>
        <v>10</v>
      </c>
    </row>
    <row r="11" spans="2:21" ht="17">
      <c r="B11" s="206" t="s">
        <v>47</v>
      </c>
      <c r="C11" s="207" t="s">
        <v>38</v>
      </c>
      <c r="D11" s="207" t="s">
        <v>216</v>
      </c>
      <c r="E11" s="210" t="s">
        <v>1546</v>
      </c>
      <c r="F11" s="102" t="str">
        <f t="shared" si="3"/>
        <v>IC</v>
      </c>
      <c r="G11" s="208" t="s">
        <v>1545</v>
      </c>
      <c r="O11" s="209" t="str">
        <f t="shared" si="0"/>
        <v/>
      </c>
      <c r="P11" s="209" t="str">
        <f t="shared" si="1"/>
        <v/>
      </c>
      <c r="U11" s="209">
        <f t="shared" si="2"/>
        <v>11</v>
      </c>
    </row>
    <row r="12" spans="2:21" ht="17">
      <c r="B12" s="206" t="s">
        <v>48</v>
      </c>
      <c r="C12" s="207" t="s">
        <v>49</v>
      </c>
      <c r="D12" s="207" t="s">
        <v>49</v>
      </c>
      <c r="E12" s="210">
        <v>0</v>
      </c>
      <c r="F12" s="102" t="str">
        <f t="shared" si="3"/>
        <v>MR</v>
      </c>
      <c r="O12" s="209" t="str">
        <f t="shared" si="0"/>
        <v/>
      </c>
      <c r="P12" s="209" t="str">
        <f t="shared" ref="P12:P43" si="4">IFERROR(LARGE(O$1:O$100, ROW()), "")</f>
        <v/>
      </c>
      <c r="U12" s="209">
        <f t="shared" si="2"/>
        <v>12</v>
      </c>
    </row>
    <row r="13" spans="2:21" ht="17">
      <c r="B13" s="206" t="s">
        <v>50</v>
      </c>
      <c r="C13" s="207" t="s">
        <v>51</v>
      </c>
      <c r="D13" s="207" t="s">
        <v>51</v>
      </c>
      <c r="E13" s="210">
        <v>0</v>
      </c>
      <c r="F13" s="102" t="str">
        <f t="shared" si="3"/>
        <v>MEOA</v>
      </c>
      <c r="O13" s="209" t="str">
        <f t="shared" si="0"/>
        <v/>
      </c>
      <c r="P13" s="209" t="str">
        <f t="shared" si="4"/>
        <v/>
      </c>
      <c r="U13" s="209">
        <f t="shared" si="2"/>
        <v>13</v>
      </c>
    </row>
    <row r="14" spans="2:21" ht="17">
      <c r="B14" s="206" t="s">
        <v>52</v>
      </c>
      <c r="C14" s="207" t="s">
        <v>53</v>
      </c>
      <c r="D14" s="207" t="s">
        <v>216</v>
      </c>
      <c r="E14" s="210" t="s">
        <v>54</v>
      </c>
      <c r="F14" s="102" t="str">
        <f t="shared" si="3"/>
        <v>CBS</v>
      </c>
      <c r="O14" s="209" t="str">
        <f t="shared" si="0"/>
        <v/>
      </c>
      <c r="P14" s="209" t="str">
        <f t="shared" si="4"/>
        <v/>
      </c>
      <c r="U14" s="209">
        <f t="shared" si="2"/>
        <v>14</v>
      </c>
    </row>
    <row r="15" spans="2:21" ht="17">
      <c r="B15" s="206" t="s">
        <v>55</v>
      </c>
      <c r="C15" s="207" t="s">
        <v>49</v>
      </c>
      <c r="D15" s="207" t="s">
        <v>49</v>
      </c>
      <c r="E15" s="210">
        <v>0</v>
      </c>
      <c r="F15" s="102" t="str">
        <f t="shared" si="3"/>
        <v>DS</v>
      </c>
      <c r="O15" s="209" t="str">
        <f t="shared" si="0"/>
        <v/>
      </c>
      <c r="P15" s="209" t="str">
        <f t="shared" si="4"/>
        <v/>
      </c>
      <c r="U15" s="209">
        <f t="shared" si="2"/>
        <v>15</v>
      </c>
    </row>
    <row r="16" spans="2:21" ht="17">
      <c r="B16" s="206" t="s">
        <v>56</v>
      </c>
      <c r="C16" s="207" t="s">
        <v>57</v>
      </c>
      <c r="D16" s="207" t="s">
        <v>954</v>
      </c>
      <c r="E16" s="210" t="s">
        <v>58</v>
      </c>
      <c r="F16" s="102" t="str">
        <f t="shared" si="3"/>
        <v>SVH</v>
      </c>
      <c r="O16" s="209" t="str">
        <f t="shared" si="0"/>
        <v/>
      </c>
      <c r="P16" s="209" t="str">
        <f t="shared" si="4"/>
        <v/>
      </c>
      <c r="U16" s="209">
        <f t="shared" si="2"/>
        <v>16</v>
      </c>
    </row>
    <row r="17" spans="2:21" ht="17">
      <c r="B17" s="206" t="s">
        <v>59</v>
      </c>
      <c r="C17" s="207" t="s">
        <v>60</v>
      </c>
      <c r="D17" s="207" t="s">
        <v>954</v>
      </c>
      <c r="E17" s="210" t="s">
        <v>61</v>
      </c>
      <c r="F17" s="102" t="str">
        <f t="shared" si="3"/>
        <v>NP</v>
      </c>
      <c r="O17" s="209" t="str">
        <f t="shared" si="0"/>
        <v/>
      </c>
      <c r="P17" s="209" t="str">
        <f t="shared" si="4"/>
        <v/>
      </c>
      <c r="U17" s="209">
        <f t="shared" si="2"/>
        <v>17</v>
      </c>
    </row>
    <row r="18" spans="2:21" ht="17">
      <c r="B18" s="206" t="s">
        <v>848</v>
      </c>
      <c r="C18" s="207" t="s">
        <v>62</v>
      </c>
      <c r="D18" s="207" t="s">
        <v>216</v>
      </c>
      <c r="E18" s="210" t="s">
        <v>63</v>
      </c>
      <c r="F18" s="102" t="str">
        <f t="shared" si="3"/>
        <v>FD</v>
      </c>
      <c r="O18" s="209" t="str">
        <f t="shared" si="0"/>
        <v/>
      </c>
      <c r="P18" s="209" t="str">
        <f t="shared" si="4"/>
        <v/>
      </c>
      <c r="U18" s="209">
        <f t="shared" si="2"/>
        <v>18</v>
      </c>
    </row>
    <row r="19" spans="2:21" ht="17">
      <c r="B19" s="206" t="s">
        <v>849</v>
      </c>
      <c r="C19" s="207" t="s">
        <v>32</v>
      </c>
      <c r="D19" s="207" t="s">
        <v>216</v>
      </c>
      <c r="E19" s="210" t="s">
        <v>63</v>
      </c>
      <c r="F19" s="102" t="str">
        <f t="shared" si="3"/>
        <v>FDOM</v>
      </c>
      <c r="O19" s="209" t="str">
        <f t="shared" si="0"/>
        <v/>
      </c>
      <c r="P19" s="209" t="str">
        <f t="shared" si="4"/>
        <v/>
      </c>
      <c r="U19" s="209">
        <f t="shared" si="2"/>
        <v>19</v>
      </c>
    </row>
    <row r="20" spans="2:21" ht="17">
      <c r="B20" s="206" t="s">
        <v>64</v>
      </c>
      <c r="C20" s="207" t="s">
        <v>46</v>
      </c>
      <c r="D20" s="207" t="s">
        <v>216</v>
      </c>
      <c r="E20" s="210" t="s">
        <v>65</v>
      </c>
      <c r="F20" s="102" t="str">
        <f t="shared" si="3"/>
        <v>DT</v>
      </c>
      <c r="O20" s="209" t="str">
        <f t="shared" si="0"/>
        <v/>
      </c>
      <c r="P20" s="209" t="str">
        <f t="shared" si="4"/>
        <v/>
      </c>
      <c r="U20" s="209">
        <f t="shared" si="2"/>
        <v>20</v>
      </c>
    </row>
    <row r="21" spans="2:21" ht="17">
      <c r="B21" s="206" t="s">
        <v>66</v>
      </c>
      <c r="C21" s="207" t="s">
        <v>67</v>
      </c>
      <c r="D21" s="207" t="s">
        <v>216</v>
      </c>
      <c r="E21" s="210">
        <v>0</v>
      </c>
      <c r="F21" s="102" t="str">
        <f t="shared" si="3"/>
        <v>P</v>
      </c>
      <c r="O21" s="209" t="str">
        <f t="shared" si="0"/>
        <v/>
      </c>
      <c r="P21" s="209" t="str">
        <f t="shared" si="4"/>
        <v/>
      </c>
      <c r="U21" s="209">
        <f t="shared" si="2"/>
        <v>21</v>
      </c>
    </row>
    <row r="22" spans="2:21" ht="17">
      <c r="B22" s="206" t="s">
        <v>846</v>
      </c>
      <c r="C22" s="207" t="s">
        <v>40</v>
      </c>
      <c r="D22" s="207" t="s">
        <v>35</v>
      </c>
      <c r="E22" s="210">
        <v>0</v>
      </c>
      <c r="F22" s="102" t="str">
        <f t="shared" si="3"/>
        <v>EIC</v>
      </c>
      <c r="O22" s="209" t="str">
        <f t="shared" si="0"/>
        <v/>
      </c>
      <c r="P22" s="209" t="str">
        <f t="shared" si="4"/>
        <v/>
      </c>
      <c r="U22" s="209">
        <f t="shared" si="2"/>
        <v>22</v>
      </c>
    </row>
    <row r="23" spans="2:21" ht="17">
      <c r="B23" s="206" t="s">
        <v>68</v>
      </c>
      <c r="C23" s="207" t="s">
        <v>69</v>
      </c>
      <c r="D23" s="207" t="s">
        <v>216</v>
      </c>
      <c r="E23" s="210">
        <v>0</v>
      </c>
      <c r="F23" s="102" t="str">
        <f t="shared" si="3"/>
        <v>BAK</v>
      </c>
      <c r="O23" s="209" t="str">
        <f t="shared" si="0"/>
        <v/>
      </c>
      <c r="P23" s="209" t="str">
        <f t="shared" si="4"/>
        <v/>
      </c>
      <c r="U23" s="209">
        <f t="shared" si="2"/>
        <v>23</v>
      </c>
    </row>
    <row r="24" spans="2:21" ht="17">
      <c r="B24" s="206" t="s">
        <v>70</v>
      </c>
      <c r="C24" s="207" t="s">
        <v>69</v>
      </c>
      <c r="D24" s="207" t="s">
        <v>216</v>
      </c>
      <c r="E24" s="210">
        <v>0</v>
      </c>
      <c r="F24" s="102" t="str">
        <f t="shared" si="3"/>
        <v>MDM</v>
      </c>
      <c r="O24" s="209" t="str">
        <f t="shared" si="0"/>
        <v/>
      </c>
      <c r="P24" s="209" t="str">
        <f t="shared" si="4"/>
        <v/>
      </c>
      <c r="U24" s="209">
        <f t="shared" si="2"/>
        <v>24</v>
      </c>
    </row>
    <row r="25" spans="2:21" ht="17">
      <c r="B25" s="206" t="s">
        <v>71</v>
      </c>
      <c r="C25" s="207" t="s">
        <v>72</v>
      </c>
      <c r="D25" s="207" t="s">
        <v>216</v>
      </c>
      <c r="E25" s="210">
        <v>0</v>
      </c>
      <c r="F25" s="102" t="str">
        <f t="shared" si="3"/>
        <v>DA</v>
      </c>
      <c r="O25" s="209" t="str">
        <f t="shared" si="0"/>
        <v/>
      </c>
      <c r="P25" s="209" t="str">
        <f t="shared" si="4"/>
        <v/>
      </c>
      <c r="U25" s="209">
        <f t="shared" si="2"/>
        <v>25</v>
      </c>
    </row>
    <row r="26" spans="2:21" ht="17">
      <c r="B26" s="206" t="s">
        <v>73</v>
      </c>
      <c r="C26" s="207" t="s">
        <v>74</v>
      </c>
      <c r="D26" s="207" t="s">
        <v>216</v>
      </c>
      <c r="E26" s="210">
        <v>0</v>
      </c>
      <c r="F26" s="102" t="str">
        <f t="shared" si="3"/>
        <v>MFB</v>
      </c>
      <c r="O26" s="209" t="str">
        <f t="shared" si="0"/>
        <v/>
      </c>
      <c r="P26" s="209" t="str">
        <f t="shared" si="4"/>
        <v/>
      </c>
      <c r="U26" s="209">
        <f t="shared" si="2"/>
        <v>26</v>
      </c>
    </row>
    <row r="27" spans="2:21" ht="17">
      <c r="B27" s="206" t="s">
        <v>75</v>
      </c>
      <c r="C27" s="207" t="s">
        <v>62</v>
      </c>
      <c r="D27" s="207" t="s">
        <v>216</v>
      </c>
      <c r="E27" s="210">
        <v>0</v>
      </c>
      <c r="F27" s="102" t="str">
        <f t="shared" si="3"/>
        <v>CT</v>
      </c>
      <c r="O27" s="209" t="str">
        <f t="shared" si="0"/>
        <v/>
      </c>
      <c r="P27" s="209" t="str">
        <f t="shared" si="4"/>
        <v/>
      </c>
      <c r="U27" s="209">
        <f t="shared" si="2"/>
        <v>27</v>
      </c>
    </row>
    <row r="28" spans="2:21" ht="17">
      <c r="B28" s="206" t="s">
        <v>76</v>
      </c>
      <c r="C28" s="207" t="s">
        <v>77</v>
      </c>
      <c r="D28" s="207" t="s">
        <v>216</v>
      </c>
      <c r="E28" s="210" t="s">
        <v>78</v>
      </c>
      <c r="F28" s="102" t="str">
        <f t="shared" si="3"/>
        <v>MSA</v>
      </c>
      <c r="O28" s="209" t="str">
        <f t="shared" si="0"/>
        <v/>
      </c>
      <c r="P28" s="209" t="str">
        <f t="shared" si="4"/>
        <v/>
      </c>
      <c r="U28" s="209">
        <f t="shared" si="2"/>
        <v>28</v>
      </c>
    </row>
    <row r="29" spans="2:21" ht="17">
      <c r="B29" s="206" t="s">
        <v>79</v>
      </c>
      <c r="C29" s="207" t="s">
        <v>80</v>
      </c>
      <c r="D29" s="207" t="s">
        <v>216</v>
      </c>
      <c r="E29" s="210" t="s">
        <v>81</v>
      </c>
      <c r="F29" s="102" t="str">
        <f t="shared" si="3"/>
        <v>T</v>
      </c>
      <c r="O29" s="209" t="str">
        <f t="shared" si="0"/>
        <v/>
      </c>
      <c r="P29" s="209" t="str">
        <f t="shared" si="4"/>
        <v/>
      </c>
      <c r="U29" s="209">
        <f t="shared" si="2"/>
        <v>29</v>
      </c>
    </row>
    <row r="30" spans="2:21" ht="17">
      <c r="B30" s="206" t="s">
        <v>82</v>
      </c>
      <c r="C30" s="207" t="s">
        <v>35</v>
      </c>
      <c r="D30" s="207" t="s">
        <v>35</v>
      </c>
      <c r="E30" s="210">
        <v>0</v>
      </c>
      <c r="F30" s="102" t="str">
        <f t="shared" si="3"/>
        <v>DB</v>
      </c>
      <c r="O30" s="209" t="str">
        <f t="shared" si="0"/>
        <v/>
      </c>
      <c r="P30" s="209" t="str">
        <f t="shared" si="4"/>
        <v/>
      </c>
      <c r="U30" s="209">
        <f t="shared" si="2"/>
        <v>30</v>
      </c>
    </row>
    <row r="31" spans="2:21" ht="17">
      <c r="B31" s="206" t="s">
        <v>83</v>
      </c>
      <c r="C31" s="207" t="s">
        <v>46</v>
      </c>
      <c r="D31" s="207" t="s">
        <v>216</v>
      </c>
      <c r="E31" s="210" t="s">
        <v>84</v>
      </c>
      <c r="F31" s="102" t="str">
        <f t="shared" si="3"/>
        <v>NOG</v>
      </c>
      <c r="O31" s="209" t="str">
        <f t="shared" si="0"/>
        <v/>
      </c>
      <c r="P31" s="209" t="str">
        <f t="shared" si="4"/>
        <v/>
      </c>
      <c r="U31" s="209">
        <f t="shared" si="2"/>
        <v>31</v>
      </c>
    </row>
    <row r="32" spans="2:21" ht="17">
      <c r="B32" s="206" t="s">
        <v>85</v>
      </c>
      <c r="C32" s="207" t="s">
        <v>86</v>
      </c>
      <c r="D32" s="207" t="s">
        <v>216</v>
      </c>
      <c r="E32" s="210">
        <v>0</v>
      </c>
      <c r="F32" s="102" t="str">
        <f t="shared" si="3"/>
        <v>TB</v>
      </c>
      <c r="O32" s="209" t="str">
        <f t="shared" si="0"/>
        <v/>
      </c>
      <c r="P32" s="209" t="str">
        <f t="shared" si="4"/>
        <v/>
      </c>
      <c r="U32" s="209">
        <f t="shared" si="2"/>
        <v>32</v>
      </c>
    </row>
    <row r="33" spans="2:21" ht="17">
      <c r="B33" s="206" t="s">
        <v>87</v>
      </c>
      <c r="C33" s="207" t="s">
        <v>38</v>
      </c>
      <c r="D33" s="207" t="s">
        <v>216</v>
      </c>
      <c r="E33" s="210">
        <v>0</v>
      </c>
      <c r="F33" s="102" t="str">
        <f t="shared" si="3"/>
        <v>SK</v>
      </c>
      <c r="O33" s="209" t="str">
        <f t="shared" si="0"/>
        <v/>
      </c>
      <c r="P33" s="209" t="str">
        <f t="shared" si="4"/>
        <v/>
      </c>
      <c r="U33" s="209">
        <f t="shared" si="2"/>
        <v>33</v>
      </c>
    </row>
    <row r="34" spans="2:21" ht="17">
      <c r="B34" s="206" t="s">
        <v>850</v>
      </c>
      <c r="C34" s="207" t="s">
        <v>26</v>
      </c>
      <c r="D34" s="207" t="s">
        <v>855</v>
      </c>
      <c r="E34" s="210" t="s">
        <v>88</v>
      </c>
      <c r="F34" s="102" t="str">
        <f t="shared" si="3"/>
        <v>TCVC</v>
      </c>
      <c r="O34" s="209" t="str">
        <f t="shared" si="0"/>
        <v/>
      </c>
      <c r="P34" s="209" t="str">
        <f t="shared" si="4"/>
        <v/>
      </c>
      <c r="U34" s="209">
        <f t="shared" si="2"/>
        <v>34</v>
      </c>
    </row>
    <row r="35" spans="2:21" ht="17">
      <c r="B35" s="206" t="s">
        <v>89</v>
      </c>
      <c r="C35" s="207" t="s">
        <v>90</v>
      </c>
      <c r="D35" s="207" t="s">
        <v>216</v>
      </c>
      <c r="E35" s="210" t="s">
        <v>91</v>
      </c>
      <c r="F35" s="102" t="str">
        <f t="shared" si="3"/>
        <v>PH</v>
      </c>
      <c r="O35" s="209" t="str">
        <f t="shared" si="0"/>
        <v/>
      </c>
      <c r="P35" s="209" t="str">
        <f t="shared" si="4"/>
        <v/>
      </c>
      <c r="U35" s="209">
        <f t="shared" si="2"/>
        <v>35</v>
      </c>
    </row>
    <row r="36" spans="2:21" ht="34">
      <c r="B36" s="206" t="s">
        <v>92</v>
      </c>
      <c r="C36" s="207" t="s">
        <v>93</v>
      </c>
      <c r="D36" s="207" t="s">
        <v>216</v>
      </c>
      <c r="E36" s="210" t="s">
        <v>1619</v>
      </c>
      <c r="F36" s="102" t="str">
        <f t="shared" si="3"/>
        <v>CIT</v>
      </c>
      <c r="O36" s="209" t="str">
        <f t="shared" si="0"/>
        <v/>
      </c>
      <c r="P36" s="209" t="str">
        <f t="shared" si="4"/>
        <v/>
      </c>
      <c r="U36" s="209">
        <f t="shared" si="2"/>
        <v>36</v>
      </c>
    </row>
    <row r="37" spans="2:21" ht="17">
      <c r="B37" s="206" t="s">
        <v>94</v>
      </c>
      <c r="C37" s="207" t="s">
        <v>95</v>
      </c>
      <c r="D37" s="207" t="s">
        <v>216</v>
      </c>
      <c r="E37" s="210" t="s">
        <v>96</v>
      </c>
      <c r="F37" s="102" t="str">
        <f t="shared" si="3"/>
        <v>FD</v>
      </c>
      <c r="O37" s="209" t="str">
        <f t="shared" si="0"/>
        <v/>
      </c>
      <c r="P37" s="209" t="str">
        <f t="shared" si="4"/>
        <v/>
      </c>
      <c r="U37" s="209">
        <f t="shared" si="2"/>
        <v>37</v>
      </c>
    </row>
    <row r="38" spans="2:21" ht="17">
      <c r="B38" s="206" t="s">
        <v>97</v>
      </c>
      <c r="E38" s="210" t="s">
        <v>98</v>
      </c>
      <c r="F38" s="102" t="str">
        <f t="shared" si="3"/>
        <v>DAT</v>
      </c>
      <c r="O38" s="209" t="str">
        <f t="shared" si="0"/>
        <v/>
      </c>
      <c r="P38" s="209" t="str">
        <f t="shared" si="4"/>
        <v/>
      </c>
      <c r="U38" s="209">
        <f t="shared" si="2"/>
        <v>38</v>
      </c>
    </row>
    <row r="39" spans="2:21" ht="17">
      <c r="B39" s="206" t="s">
        <v>99</v>
      </c>
      <c r="E39" s="210" t="s">
        <v>100</v>
      </c>
      <c r="F39" s="102" t="str">
        <f t="shared" si="3"/>
        <v>MSA</v>
      </c>
      <c r="O39" s="209" t="str">
        <f t="shared" si="0"/>
        <v/>
      </c>
      <c r="P39" s="209" t="str">
        <f t="shared" si="4"/>
        <v/>
      </c>
      <c r="U39" s="209">
        <f t="shared" si="2"/>
        <v>39</v>
      </c>
    </row>
    <row r="40" spans="2:21" ht="17">
      <c r="B40" s="206" t="s">
        <v>101</v>
      </c>
      <c r="C40" s="207" t="s">
        <v>102</v>
      </c>
      <c r="D40" s="207" t="s">
        <v>216</v>
      </c>
      <c r="E40" s="210" t="s">
        <v>103</v>
      </c>
      <c r="F40" s="102" t="str">
        <f t="shared" si="3"/>
        <v>LFL</v>
      </c>
      <c r="O40" s="209" t="str">
        <f t="shared" si="0"/>
        <v/>
      </c>
      <c r="P40" s="209" t="str">
        <f t="shared" si="4"/>
        <v/>
      </c>
      <c r="U40" s="209">
        <f t="shared" si="2"/>
        <v>40</v>
      </c>
    </row>
    <row r="41" spans="2:21" ht="17">
      <c r="B41" s="206" t="s">
        <v>104</v>
      </c>
      <c r="C41" s="207" t="s">
        <v>105</v>
      </c>
      <c r="D41" s="207" t="s">
        <v>216</v>
      </c>
      <c r="E41" s="210" t="s">
        <v>106</v>
      </c>
      <c r="F41" s="102" t="str">
        <f t="shared" si="3"/>
        <v>MFD</v>
      </c>
      <c r="O41" s="209" t="str">
        <f t="shared" si="0"/>
        <v/>
      </c>
      <c r="P41" s="209" t="str">
        <f t="shared" si="4"/>
        <v/>
      </c>
      <c r="U41" s="209">
        <f t="shared" si="2"/>
        <v>41</v>
      </c>
    </row>
    <row r="42" spans="2:21" ht="17">
      <c r="B42" s="206" t="s">
        <v>107</v>
      </c>
      <c r="C42" s="207" t="s">
        <v>108</v>
      </c>
      <c r="D42" s="207" t="s">
        <v>216</v>
      </c>
      <c r="E42" s="210" t="s">
        <v>109</v>
      </c>
      <c r="F42" s="102" t="str">
        <f t="shared" si="3"/>
        <v>DQ</v>
      </c>
      <c r="O42" s="209" t="str">
        <f t="shared" si="0"/>
        <v/>
      </c>
      <c r="P42" s="209" t="str">
        <f t="shared" si="4"/>
        <v/>
      </c>
      <c r="U42" s="209">
        <f t="shared" si="2"/>
        <v>42</v>
      </c>
    </row>
    <row r="43" spans="2:21" ht="17">
      <c r="B43" s="206" t="s">
        <v>110</v>
      </c>
      <c r="C43" s="207" t="s">
        <v>111</v>
      </c>
      <c r="D43" s="207" t="s">
        <v>216</v>
      </c>
      <c r="E43" s="210" t="s">
        <v>112</v>
      </c>
      <c r="F43" s="102" t="str">
        <f t="shared" si="3"/>
        <v>MSO</v>
      </c>
      <c r="O43" s="209" t="str">
        <f t="shared" si="0"/>
        <v/>
      </c>
      <c r="P43" s="209" t="str">
        <f t="shared" si="4"/>
        <v/>
      </c>
      <c r="U43" s="209">
        <f t="shared" si="2"/>
        <v>43</v>
      </c>
    </row>
    <row r="44" spans="2:21" ht="17">
      <c r="B44" s="206" t="s">
        <v>113</v>
      </c>
      <c r="C44" s="207" t="s">
        <v>114</v>
      </c>
      <c r="D44" s="207" t="s">
        <v>35</v>
      </c>
      <c r="E44" s="210" t="s">
        <v>115</v>
      </c>
      <c r="F44" s="102" t="str">
        <f t="shared" si="3"/>
        <v>MRA</v>
      </c>
      <c r="O44" s="209" t="str">
        <f t="shared" si="0"/>
        <v/>
      </c>
      <c r="P44" s="209" t="str">
        <f t="shared" ref="P44:P75" si="5">IFERROR(LARGE(O$1:O$100, ROW()), "")</f>
        <v/>
      </c>
      <c r="U44" s="209">
        <f t="shared" si="2"/>
        <v>44</v>
      </c>
    </row>
    <row r="45" spans="2:21" ht="17">
      <c r="B45" s="206" t="s">
        <v>116</v>
      </c>
      <c r="C45" s="207" t="s">
        <v>117</v>
      </c>
      <c r="D45" s="207" t="s">
        <v>216</v>
      </c>
      <c r="E45" s="210" t="s">
        <v>118</v>
      </c>
      <c r="F45" s="102" t="str">
        <f t="shared" si="3"/>
        <v>CA</v>
      </c>
      <c r="O45" s="209" t="str">
        <f t="shared" si="0"/>
        <v/>
      </c>
      <c r="P45" s="209" t="str">
        <f t="shared" si="5"/>
        <v/>
      </c>
      <c r="U45" s="209">
        <f t="shared" si="2"/>
        <v>45</v>
      </c>
    </row>
    <row r="46" spans="2:21" ht="17">
      <c r="B46" s="206" t="s">
        <v>119</v>
      </c>
      <c r="C46" s="207" t="s">
        <v>120</v>
      </c>
      <c r="D46" s="207" t="s">
        <v>216</v>
      </c>
      <c r="E46" s="210" t="s">
        <v>121</v>
      </c>
      <c r="F46" s="102" t="str">
        <f t="shared" si="3"/>
        <v>MJA</v>
      </c>
      <c r="O46" s="209" t="str">
        <f t="shared" si="0"/>
        <v/>
      </c>
      <c r="P46" s="209" t="str">
        <f t="shared" si="5"/>
        <v/>
      </c>
      <c r="U46" s="209">
        <f t="shared" si="2"/>
        <v>46</v>
      </c>
    </row>
    <row r="47" spans="2:21" ht="17">
      <c r="B47" s="206" t="s">
        <v>844</v>
      </c>
      <c r="C47" s="207" t="s">
        <v>123</v>
      </c>
      <c r="D47" s="207" t="s">
        <v>856</v>
      </c>
      <c r="E47" s="210">
        <v>0</v>
      </c>
      <c r="F47" s="102" t="str">
        <f t="shared" si="3"/>
        <v>UH</v>
      </c>
      <c r="O47" s="209" t="str">
        <f t="shared" si="0"/>
        <v/>
      </c>
      <c r="P47" s="209" t="str">
        <f t="shared" si="5"/>
        <v/>
      </c>
      <c r="U47" s="209">
        <f t="shared" si="2"/>
        <v>47</v>
      </c>
    </row>
    <row r="48" spans="2:21" ht="17">
      <c r="B48" s="206" t="s">
        <v>122</v>
      </c>
      <c r="C48" s="207" t="s">
        <v>843</v>
      </c>
      <c r="D48" s="207" t="s">
        <v>342</v>
      </c>
      <c r="E48" s="210">
        <v>0</v>
      </c>
      <c r="F48" s="102" t="str">
        <f t="shared" si="3"/>
        <v>U</v>
      </c>
      <c r="O48" s="209" t="str">
        <f t="shared" si="0"/>
        <v/>
      </c>
      <c r="P48" s="209" t="str">
        <f t="shared" si="5"/>
        <v/>
      </c>
      <c r="U48" s="209">
        <f t="shared" si="2"/>
        <v>48</v>
      </c>
    </row>
    <row r="49" spans="2:21" ht="17">
      <c r="B49" s="206" t="s">
        <v>124</v>
      </c>
      <c r="C49" s="207" t="s">
        <v>125</v>
      </c>
      <c r="D49" s="207" t="s">
        <v>51</v>
      </c>
      <c r="E49" s="210">
        <v>0</v>
      </c>
      <c r="F49" s="102" t="str">
        <f t="shared" si="3"/>
        <v>EHR</v>
      </c>
      <c r="O49" s="209" t="str">
        <f t="shared" si="0"/>
        <v/>
      </c>
      <c r="P49" s="209" t="str">
        <f t="shared" si="5"/>
        <v/>
      </c>
      <c r="U49" s="209">
        <f t="shared" si="2"/>
        <v>49</v>
      </c>
    </row>
    <row r="50" spans="2:21" ht="17">
      <c r="B50" s="206" t="s">
        <v>126</v>
      </c>
      <c r="C50" s="207" t="s">
        <v>69</v>
      </c>
      <c r="D50" s="207" t="s">
        <v>216</v>
      </c>
      <c r="E50" s="210">
        <v>0</v>
      </c>
      <c r="F50" s="102" t="str">
        <f t="shared" si="3"/>
        <v>EK</v>
      </c>
      <c r="O50" s="209" t="str">
        <f t="shared" si="0"/>
        <v/>
      </c>
      <c r="P50" s="209" t="str">
        <f t="shared" si="5"/>
        <v/>
      </c>
      <c r="U50" s="209">
        <f t="shared" si="2"/>
        <v>50</v>
      </c>
    </row>
    <row r="51" spans="2:21" ht="17">
      <c r="B51" s="206" t="s">
        <v>127</v>
      </c>
      <c r="C51" s="207" t="s">
        <v>128</v>
      </c>
      <c r="D51" s="207" t="s">
        <v>216</v>
      </c>
      <c r="E51" s="210">
        <v>0</v>
      </c>
      <c r="F51" s="102" t="str">
        <f t="shared" si="3"/>
        <v>ET</v>
      </c>
      <c r="O51" s="209" t="str">
        <f t="shared" si="0"/>
        <v/>
      </c>
      <c r="P51" s="209" t="str">
        <f t="shared" si="5"/>
        <v/>
      </c>
      <c r="U51" s="209">
        <f t="shared" si="2"/>
        <v>51</v>
      </c>
    </row>
    <row r="52" spans="2:21" ht="17">
      <c r="B52" s="206" t="s">
        <v>129</v>
      </c>
      <c r="C52" s="207" t="s">
        <v>130</v>
      </c>
      <c r="D52" s="207" t="s">
        <v>216</v>
      </c>
      <c r="E52" s="210">
        <v>0</v>
      </c>
      <c r="F52" s="102" t="str">
        <f t="shared" si="3"/>
        <v>EK</v>
      </c>
      <c r="O52" s="209" t="str">
        <f t="shared" si="0"/>
        <v/>
      </c>
      <c r="P52" s="209" t="str">
        <f t="shared" si="5"/>
        <v/>
      </c>
      <c r="U52" s="209">
        <f t="shared" si="2"/>
        <v>52</v>
      </c>
    </row>
    <row r="53" spans="2:21" ht="17">
      <c r="B53" s="206" t="s">
        <v>131</v>
      </c>
      <c r="C53" s="207" t="s">
        <v>132</v>
      </c>
      <c r="D53" s="207" t="s">
        <v>216</v>
      </c>
      <c r="E53" s="210" t="s">
        <v>133</v>
      </c>
      <c r="F53" s="102" t="str">
        <f t="shared" si="3"/>
        <v>JA</v>
      </c>
      <c r="O53" s="209" t="str">
        <f t="shared" si="0"/>
        <v/>
      </c>
      <c r="P53" s="209" t="str">
        <f t="shared" si="5"/>
        <v/>
      </c>
      <c r="U53" s="209">
        <f t="shared" si="2"/>
        <v>53</v>
      </c>
    </row>
    <row r="54" spans="2:21" ht="17">
      <c r="B54" s="206" t="s">
        <v>134</v>
      </c>
      <c r="C54" s="207" t="s">
        <v>114</v>
      </c>
      <c r="D54" s="207" t="s">
        <v>35</v>
      </c>
      <c r="E54" s="210" t="s">
        <v>135</v>
      </c>
      <c r="F54" s="102" t="str">
        <f t="shared" si="3"/>
        <v>MEP</v>
      </c>
      <c r="O54" s="209" t="str">
        <f t="shared" si="0"/>
        <v/>
      </c>
      <c r="P54" s="209" t="str">
        <f t="shared" si="5"/>
        <v/>
      </c>
      <c r="U54" s="209">
        <f t="shared" si="2"/>
        <v>54</v>
      </c>
    </row>
    <row r="55" spans="2:21" ht="17">
      <c r="B55" s="206" t="s">
        <v>136</v>
      </c>
      <c r="C55" s="207" t="s">
        <v>32</v>
      </c>
      <c r="D55" s="207" t="s">
        <v>216</v>
      </c>
      <c r="E55" s="210" t="s">
        <v>137</v>
      </c>
      <c r="F55" s="102" t="str">
        <f t="shared" si="3"/>
        <v>CG</v>
      </c>
      <c r="O55" s="209" t="str">
        <f t="shared" si="0"/>
        <v/>
      </c>
      <c r="P55" s="209" t="str">
        <f t="shared" si="5"/>
        <v/>
      </c>
      <c r="U55" s="209">
        <f t="shared" si="2"/>
        <v>55</v>
      </c>
    </row>
    <row r="56" spans="2:21" ht="17">
      <c r="B56" s="206" t="s">
        <v>138</v>
      </c>
      <c r="C56" s="207" t="s">
        <v>32</v>
      </c>
      <c r="D56" s="207" t="s">
        <v>216</v>
      </c>
      <c r="E56" s="210" t="s">
        <v>139</v>
      </c>
      <c r="F56" s="102" t="str">
        <f t="shared" si="3"/>
        <v>MEA</v>
      </c>
      <c r="O56" s="209" t="str">
        <f t="shared" si="0"/>
        <v/>
      </c>
      <c r="P56" s="209" t="str">
        <f t="shared" si="5"/>
        <v/>
      </c>
      <c r="U56" s="209">
        <f t="shared" si="2"/>
        <v>56</v>
      </c>
    </row>
    <row r="57" spans="2:21" ht="17">
      <c r="B57" s="206" t="s">
        <v>140</v>
      </c>
      <c r="C57" s="207" t="s">
        <v>141</v>
      </c>
      <c r="D57" s="207" t="s">
        <v>216</v>
      </c>
      <c r="E57" s="210" t="s">
        <v>142</v>
      </c>
      <c r="F57" s="102" t="str">
        <f t="shared" si="3"/>
        <v>MRT</v>
      </c>
      <c r="O57" s="209" t="str">
        <f t="shared" si="0"/>
        <v/>
      </c>
      <c r="P57" s="209" t="str">
        <f t="shared" si="5"/>
        <v/>
      </c>
      <c r="U57" s="209">
        <f t="shared" si="2"/>
        <v>57</v>
      </c>
    </row>
    <row r="58" spans="2:21" ht="17">
      <c r="B58" s="206" t="s">
        <v>143</v>
      </c>
      <c r="C58" s="207" t="s">
        <v>35</v>
      </c>
      <c r="D58" s="207" t="s">
        <v>216</v>
      </c>
      <c r="E58" s="210" t="s">
        <v>144</v>
      </c>
      <c r="F58" s="102" t="str">
        <f t="shared" si="3"/>
        <v>J</v>
      </c>
      <c r="O58" s="209" t="str">
        <f t="shared" si="0"/>
        <v/>
      </c>
      <c r="P58" s="209" t="str">
        <f t="shared" si="5"/>
        <v/>
      </c>
      <c r="U58" s="209">
        <f t="shared" si="2"/>
        <v>58</v>
      </c>
    </row>
    <row r="59" spans="2:21" ht="17">
      <c r="B59" s="206" t="s">
        <v>145</v>
      </c>
      <c r="C59" s="207" t="s">
        <v>72</v>
      </c>
      <c r="D59" s="207" t="s">
        <v>216</v>
      </c>
      <c r="E59" s="210" t="s">
        <v>146</v>
      </c>
      <c r="F59" s="102" t="str">
        <f t="shared" si="3"/>
        <v>MSC</v>
      </c>
      <c r="O59" s="209" t="str">
        <f t="shared" si="0"/>
        <v/>
      </c>
      <c r="P59" s="209" t="str">
        <f t="shared" si="5"/>
        <v/>
      </c>
      <c r="U59" s="209">
        <f t="shared" si="2"/>
        <v>59</v>
      </c>
    </row>
    <row r="60" spans="2:21" ht="17">
      <c r="B60" s="206" t="s">
        <v>147</v>
      </c>
      <c r="C60" s="207" t="s">
        <v>69</v>
      </c>
      <c r="D60" s="207" t="s">
        <v>216</v>
      </c>
      <c r="E60" s="210" t="s">
        <v>146</v>
      </c>
      <c r="F60" s="102" t="str">
        <f t="shared" si="3"/>
        <v>M</v>
      </c>
      <c r="O60" s="209" t="str">
        <f t="shared" si="0"/>
        <v/>
      </c>
      <c r="P60" s="209" t="str">
        <f t="shared" si="5"/>
        <v/>
      </c>
      <c r="U60" s="209">
        <f t="shared" si="2"/>
        <v>60</v>
      </c>
    </row>
    <row r="61" spans="2:21" ht="17">
      <c r="B61" s="206" t="s">
        <v>148</v>
      </c>
      <c r="C61" s="207" t="s">
        <v>149</v>
      </c>
      <c r="D61" s="207" t="s">
        <v>35</v>
      </c>
      <c r="E61" s="210" t="s">
        <v>150</v>
      </c>
      <c r="F61" s="102" t="str">
        <f t="shared" si="3"/>
        <v>MAB</v>
      </c>
      <c r="O61" s="209" t="str">
        <f t="shared" si="0"/>
        <v/>
      </c>
      <c r="P61" s="209" t="str">
        <f t="shared" si="5"/>
        <v/>
      </c>
      <c r="U61" s="209">
        <f t="shared" si="2"/>
        <v>61</v>
      </c>
    </row>
    <row r="62" spans="2:21" ht="17">
      <c r="B62" s="206" t="s">
        <v>151</v>
      </c>
      <c r="C62" s="207" t="s">
        <v>152</v>
      </c>
      <c r="D62" s="207" t="s">
        <v>216</v>
      </c>
      <c r="E62" s="210" t="s">
        <v>153</v>
      </c>
      <c r="F62" s="102" t="str">
        <f t="shared" si="3"/>
        <v>SA</v>
      </c>
      <c r="O62" s="209" t="str">
        <f t="shared" si="0"/>
        <v/>
      </c>
      <c r="P62" s="209" t="str">
        <f t="shared" si="5"/>
        <v/>
      </c>
      <c r="U62" s="209">
        <f t="shared" si="2"/>
        <v>62</v>
      </c>
    </row>
    <row r="63" spans="2:21" ht="17">
      <c r="B63" s="206" t="s">
        <v>154</v>
      </c>
      <c r="C63" s="207" t="s">
        <v>120</v>
      </c>
      <c r="D63" s="207" t="s">
        <v>216</v>
      </c>
      <c r="E63" s="210" t="s">
        <v>155</v>
      </c>
      <c r="F63" s="102" t="str">
        <f t="shared" si="3"/>
        <v>ST</v>
      </c>
      <c r="O63" s="209" t="str">
        <f t="shared" si="0"/>
        <v/>
      </c>
      <c r="P63" s="209" t="str">
        <f t="shared" si="5"/>
        <v/>
      </c>
      <c r="U63" s="209">
        <f t="shared" si="2"/>
        <v>63</v>
      </c>
    </row>
    <row r="64" spans="2:21" ht="34">
      <c r="B64" s="206" t="s">
        <v>156</v>
      </c>
      <c r="C64" s="207" t="s">
        <v>157</v>
      </c>
      <c r="D64" s="207" t="s">
        <v>216</v>
      </c>
      <c r="E64" s="210" t="s">
        <v>158</v>
      </c>
      <c r="F64" s="102" t="str">
        <f t="shared" si="3"/>
        <v>A</v>
      </c>
      <c r="O64" s="209" t="str">
        <f t="shared" si="0"/>
        <v/>
      </c>
      <c r="P64" s="209" t="str">
        <f t="shared" si="5"/>
        <v/>
      </c>
      <c r="U64" s="209">
        <f t="shared" si="2"/>
        <v>64</v>
      </c>
    </row>
    <row r="65" spans="2:21" ht="17">
      <c r="B65" s="206" t="s">
        <v>159</v>
      </c>
      <c r="C65" s="207" t="s">
        <v>160</v>
      </c>
      <c r="D65" s="207" t="s">
        <v>216</v>
      </c>
      <c r="E65" s="210" t="s">
        <v>155</v>
      </c>
      <c r="F65" s="102" t="str">
        <f t="shared" si="3"/>
        <v>AO</v>
      </c>
      <c r="O65" s="209" t="str">
        <f t="shared" si="0"/>
        <v/>
      </c>
      <c r="P65" s="209" t="str">
        <f t="shared" si="5"/>
        <v/>
      </c>
      <c r="U65" s="209">
        <f t="shared" si="2"/>
        <v>65</v>
      </c>
    </row>
    <row r="66" spans="2:21" ht="17">
      <c r="B66" s="206" t="s">
        <v>161</v>
      </c>
      <c r="C66" s="207" t="s">
        <v>162</v>
      </c>
      <c r="D66" s="207" t="s">
        <v>216</v>
      </c>
      <c r="E66" s="210" t="s">
        <v>163</v>
      </c>
      <c r="F66" s="102" t="str">
        <f t="shared" si="3"/>
        <v>IO</v>
      </c>
      <c r="O66" s="209" t="str">
        <f t="shared" ref="O66:O100" si="6">IF(MOD($N$1,ROW())=0,ROW(),"")</f>
        <v/>
      </c>
      <c r="P66" s="209" t="str">
        <f t="shared" si="5"/>
        <v/>
      </c>
      <c r="U66" s="209">
        <f t="shared" ref="U66:U101" si="7">IF(MOD($T$500,ROW())=0,ROW(),"")</f>
        <v>66</v>
      </c>
    </row>
    <row r="67" spans="2:21" ht="17">
      <c r="B67" s="206" t="s">
        <v>164</v>
      </c>
      <c r="C67" s="207" t="s">
        <v>165</v>
      </c>
      <c r="D67" s="207" t="s">
        <v>216</v>
      </c>
      <c r="E67" s="210" t="s">
        <v>166</v>
      </c>
      <c r="F67" s="102" t="str">
        <f t="shared" ref="F67:F130" si="8">UPPER(LEFT(B67,1)) &amp; IFERROR(UPPER(LEFT(MID(B67,FIND(" ",B67)+1,LEN(B67)),1)),"") &amp; IFERROR(UPPER(LEFT(MID(B67,FIND(" ",B67,FIND(" ",B67)+1)+1,LEN(B67)),1)),"") &amp; IFERROR(UPPER(LEFT(MID(B67,FIND(" ",B67,FIND(" ",B67,FIND(" ",B67)+1)+1)+1,LEN(B67)),1)),"")</f>
        <v>AKO</v>
      </c>
      <c r="O67" s="209" t="str">
        <f t="shared" si="6"/>
        <v/>
      </c>
      <c r="P67" s="209" t="str">
        <f t="shared" si="5"/>
        <v/>
      </c>
      <c r="U67" s="209">
        <f t="shared" si="7"/>
        <v>67</v>
      </c>
    </row>
    <row r="68" spans="2:21" ht="17">
      <c r="B68" s="206" t="s">
        <v>167</v>
      </c>
      <c r="C68" s="207" t="s">
        <v>105</v>
      </c>
      <c r="D68" s="207" t="s">
        <v>216</v>
      </c>
      <c r="E68" s="210" t="s">
        <v>168</v>
      </c>
      <c r="F68" s="102" t="str">
        <f t="shared" si="8"/>
        <v>JSD</v>
      </c>
      <c r="O68" s="209" t="str">
        <f t="shared" si="6"/>
        <v/>
      </c>
      <c r="P68" s="209" t="str">
        <f t="shared" si="5"/>
        <v/>
      </c>
      <c r="U68" s="209">
        <f t="shared" si="7"/>
        <v>68</v>
      </c>
    </row>
    <row r="69" spans="2:21" ht="17">
      <c r="B69" s="206" t="s">
        <v>169</v>
      </c>
      <c r="C69" s="207" t="s">
        <v>170</v>
      </c>
      <c r="D69" s="207" t="s">
        <v>216</v>
      </c>
      <c r="E69" s="210" t="s">
        <v>171</v>
      </c>
      <c r="F69" s="102" t="str">
        <f t="shared" si="8"/>
        <v>SA</v>
      </c>
      <c r="O69" s="209" t="str">
        <f t="shared" si="6"/>
        <v/>
      </c>
      <c r="P69" s="209" t="str">
        <f t="shared" si="5"/>
        <v/>
      </c>
      <c r="U69" s="209">
        <f t="shared" si="7"/>
        <v>69</v>
      </c>
    </row>
    <row r="70" spans="2:21" ht="17">
      <c r="B70" s="206" t="s">
        <v>172</v>
      </c>
      <c r="C70" s="207" t="s">
        <v>111</v>
      </c>
      <c r="D70" s="207" t="s">
        <v>216</v>
      </c>
      <c r="E70" s="210" t="s">
        <v>173</v>
      </c>
      <c r="F70" s="102" t="str">
        <f t="shared" si="8"/>
        <v>AKSA</v>
      </c>
      <c r="O70" s="209" t="str">
        <f t="shared" si="6"/>
        <v/>
      </c>
      <c r="P70" s="209" t="str">
        <f t="shared" si="5"/>
        <v/>
      </c>
      <c r="U70" s="209">
        <f t="shared" si="7"/>
        <v>70</v>
      </c>
    </row>
    <row r="71" spans="2:21" ht="17">
      <c r="B71" s="206" t="s">
        <v>174</v>
      </c>
      <c r="C71" s="207" t="s">
        <v>114</v>
      </c>
      <c r="D71" s="207" t="s">
        <v>35</v>
      </c>
      <c r="E71" s="210" t="s">
        <v>175</v>
      </c>
      <c r="F71" s="102" t="str">
        <f t="shared" si="8"/>
        <v>DS</v>
      </c>
      <c r="O71" s="209" t="str">
        <f t="shared" si="6"/>
        <v/>
      </c>
      <c r="P71" s="209" t="str">
        <f t="shared" si="5"/>
        <v/>
      </c>
      <c r="U71" s="209">
        <f t="shared" si="7"/>
        <v>71</v>
      </c>
    </row>
    <row r="72" spans="2:21" ht="17">
      <c r="B72" s="206" t="s">
        <v>176</v>
      </c>
      <c r="C72" s="207" t="s">
        <v>35</v>
      </c>
      <c r="D72" s="207" t="s">
        <v>35</v>
      </c>
      <c r="E72" s="210" t="s">
        <v>177</v>
      </c>
      <c r="F72" s="102" t="str">
        <f t="shared" si="8"/>
        <v>MFKB</v>
      </c>
      <c r="O72" s="209" t="str">
        <f t="shared" si="6"/>
        <v/>
      </c>
      <c r="P72" s="209" t="str">
        <f t="shared" si="5"/>
        <v/>
      </c>
      <c r="U72" s="209">
        <f t="shared" si="7"/>
        <v>72</v>
      </c>
    </row>
    <row r="73" spans="2:21" ht="17">
      <c r="B73" s="206" t="s">
        <v>178</v>
      </c>
      <c r="C73" s="207" t="s">
        <v>179</v>
      </c>
      <c r="D73" s="207" t="s">
        <v>216</v>
      </c>
      <c r="E73" s="210" t="s">
        <v>180</v>
      </c>
      <c r="F73" s="102" t="str">
        <f t="shared" si="8"/>
        <v>IIP</v>
      </c>
      <c r="O73" s="209" t="str">
        <f t="shared" si="6"/>
        <v/>
      </c>
      <c r="P73" s="209" t="str">
        <f t="shared" si="5"/>
        <v/>
      </c>
      <c r="U73" s="209">
        <f t="shared" si="7"/>
        <v>73</v>
      </c>
    </row>
    <row r="74" spans="2:21" ht="17">
      <c r="B74" s="206" t="s">
        <v>181</v>
      </c>
      <c r="C74" s="207" t="s">
        <v>182</v>
      </c>
      <c r="D74" s="207" t="s">
        <v>216</v>
      </c>
      <c r="E74" s="210" t="s">
        <v>183</v>
      </c>
      <c r="F74" s="102" t="str">
        <f t="shared" si="8"/>
        <v>PCA</v>
      </c>
      <c r="O74" s="209" t="str">
        <f t="shared" si="6"/>
        <v/>
      </c>
      <c r="P74" s="209" t="str">
        <f t="shared" si="5"/>
        <v/>
      </c>
      <c r="U74" s="209">
        <f t="shared" si="7"/>
        <v>74</v>
      </c>
    </row>
    <row r="75" spans="2:21" ht="34">
      <c r="B75" s="206" t="s">
        <v>184</v>
      </c>
      <c r="C75" s="207" t="s">
        <v>120</v>
      </c>
      <c r="D75" s="207" t="s">
        <v>216</v>
      </c>
      <c r="E75" s="210" t="s">
        <v>185</v>
      </c>
      <c r="F75" s="102" t="str">
        <f t="shared" si="8"/>
        <v>GSD</v>
      </c>
      <c r="O75" s="209" t="str">
        <f t="shared" si="6"/>
        <v/>
      </c>
      <c r="P75" s="209" t="str">
        <f t="shared" si="5"/>
        <v/>
      </c>
      <c r="U75" s="209">
        <f t="shared" si="7"/>
        <v>75</v>
      </c>
    </row>
    <row r="76" spans="2:21" ht="17">
      <c r="B76" s="206" t="s">
        <v>186</v>
      </c>
      <c r="C76" s="207" t="s">
        <v>187</v>
      </c>
      <c r="D76" s="207" t="s">
        <v>216</v>
      </c>
      <c r="E76" s="210" t="s">
        <v>188</v>
      </c>
      <c r="F76" s="102" t="str">
        <f t="shared" si="8"/>
        <v>EFO</v>
      </c>
      <c r="O76" s="209" t="str">
        <f t="shared" si="6"/>
        <v/>
      </c>
      <c r="P76" s="209" t="str">
        <f t="shared" ref="P76:P100" si="9">IFERROR(LARGE(O$1:O$100, ROW()), "")</f>
        <v/>
      </c>
      <c r="U76" s="209">
        <f t="shared" si="7"/>
        <v>76</v>
      </c>
    </row>
    <row r="77" spans="2:21" ht="17">
      <c r="B77" s="206" t="s">
        <v>189</v>
      </c>
      <c r="C77" s="207" t="s">
        <v>190</v>
      </c>
      <c r="D77" s="207" t="s">
        <v>216</v>
      </c>
      <c r="E77" s="210" t="s">
        <v>191</v>
      </c>
      <c r="F77" s="102" t="str">
        <f t="shared" si="8"/>
        <v>KR</v>
      </c>
      <c r="O77" s="209" t="str">
        <f t="shared" si="6"/>
        <v/>
      </c>
      <c r="P77" s="209" t="str">
        <f t="shared" si="9"/>
        <v/>
      </c>
      <c r="U77" s="209">
        <f t="shared" si="7"/>
        <v>77</v>
      </c>
    </row>
    <row r="78" spans="2:21" ht="17">
      <c r="B78" s="206" t="s">
        <v>193</v>
      </c>
      <c r="C78" s="207" t="s">
        <v>44</v>
      </c>
      <c r="D78" s="207" t="s">
        <v>35</v>
      </c>
      <c r="E78" s="210" t="s">
        <v>194</v>
      </c>
      <c r="F78" s="102" t="str">
        <f t="shared" si="8"/>
        <v>BB</v>
      </c>
      <c r="O78" s="209" t="str">
        <f t="shared" si="6"/>
        <v/>
      </c>
      <c r="P78" s="209" t="str">
        <f t="shared" si="9"/>
        <v/>
      </c>
      <c r="U78" s="209">
        <f t="shared" si="7"/>
        <v>78</v>
      </c>
    </row>
    <row r="79" spans="2:21" ht="17">
      <c r="B79" s="206" t="s">
        <v>195</v>
      </c>
      <c r="C79" s="207" t="s">
        <v>196</v>
      </c>
      <c r="D79" s="207" t="s">
        <v>35</v>
      </c>
      <c r="E79" s="210" t="s">
        <v>197</v>
      </c>
      <c r="F79" s="102" t="str">
        <f t="shared" si="8"/>
        <v>OAA</v>
      </c>
      <c r="O79" s="209" t="str">
        <f t="shared" si="6"/>
        <v/>
      </c>
      <c r="P79" s="209" t="str">
        <f t="shared" si="9"/>
        <v/>
      </c>
      <c r="U79" s="209">
        <f t="shared" si="7"/>
        <v>79</v>
      </c>
    </row>
    <row r="80" spans="2:21" ht="17">
      <c r="B80" s="206" t="s">
        <v>198</v>
      </c>
      <c r="C80" s="207" t="s">
        <v>199</v>
      </c>
      <c r="D80" s="207" t="s">
        <v>35</v>
      </c>
      <c r="E80" s="210" t="s">
        <v>200</v>
      </c>
      <c r="F80" s="102" t="str">
        <f t="shared" si="8"/>
        <v>AR</v>
      </c>
      <c r="O80" s="209" t="str">
        <f t="shared" si="6"/>
        <v/>
      </c>
      <c r="P80" s="209" t="str">
        <f t="shared" si="9"/>
        <v/>
      </c>
      <c r="U80" s="209">
        <f t="shared" si="7"/>
        <v>80</v>
      </c>
    </row>
    <row r="81" spans="2:21" ht="17">
      <c r="B81" s="206" t="s">
        <v>201</v>
      </c>
      <c r="C81" s="207" t="s">
        <v>202</v>
      </c>
      <c r="D81" s="207" t="s">
        <v>216</v>
      </c>
      <c r="E81" s="210" t="s">
        <v>203</v>
      </c>
      <c r="F81" s="102" t="str">
        <f t="shared" si="8"/>
        <v>NA</v>
      </c>
      <c r="O81" s="209" t="str">
        <f t="shared" si="6"/>
        <v/>
      </c>
      <c r="P81" s="209" t="str">
        <f t="shared" si="9"/>
        <v/>
      </c>
      <c r="U81" s="209">
        <f t="shared" si="7"/>
        <v>81</v>
      </c>
    </row>
    <row r="82" spans="2:21" ht="17">
      <c r="B82" s="206" t="s">
        <v>204</v>
      </c>
      <c r="C82" s="207" t="s">
        <v>120</v>
      </c>
      <c r="D82" s="207" t="s">
        <v>216</v>
      </c>
      <c r="E82" s="210" t="s">
        <v>205</v>
      </c>
      <c r="F82" s="102" t="str">
        <f t="shared" si="8"/>
        <v>SKA</v>
      </c>
      <c r="O82" s="209" t="str">
        <f t="shared" si="6"/>
        <v/>
      </c>
      <c r="P82" s="209" t="str">
        <f t="shared" si="9"/>
        <v/>
      </c>
      <c r="U82" s="209">
        <f t="shared" si="7"/>
        <v>82</v>
      </c>
    </row>
    <row r="83" spans="2:21" ht="17">
      <c r="B83" s="206" t="s">
        <v>206</v>
      </c>
      <c r="C83" s="207" t="s">
        <v>207</v>
      </c>
      <c r="D83" s="207" t="s">
        <v>216</v>
      </c>
      <c r="E83" s="210" t="s">
        <v>208</v>
      </c>
      <c r="F83" s="102" t="str">
        <f t="shared" si="8"/>
        <v>JAA</v>
      </c>
      <c r="O83" s="209" t="str">
        <f t="shared" si="6"/>
        <v/>
      </c>
      <c r="P83" s="209" t="str">
        <f t="shared" si="9"/>
        <v/>
      </c>
      <c r="U83" s="209">
        <f t="shared" si="7"/>
        <v>83</v>
      </c>
    </row>
    <row r="84" spans="2:21" ht="17">
      <c r="B84" s="206" t="s">
        <v>209</v>
      </c>
      <c r="C84" s="207" t="s">
        <v>210</v>
      </c>
      <c r="D84" s="207" t="s">
        <v>216</v>
      </c>
      <c r="E84" s="210" t="s">
        <v>211</v>
      </c>
      <c r="F84" s="102" t="str">
        <f t="shared" si="8"/>
        <v>AE</v>
      </c>
      <c r="O84" s="209" t="str">
        <f t="shared" si="6"/>
        <v/>
      </c>
      <c r="P84" s="209" t="str">
        <f t="shared" si="9"/>
        <v/>
      </c>
      <c r="U84" s="209">
        <f t="shared" si="7"/>
        <v>84</v>
      </c>
    </row>
    <row r="85" spans="2:21" ht="17">
      <c r="B85" s="206" t="s">
        <v>212</v>
      </c>
      <c r="C85" s="207" t="s">
        <v>213</v>
      </c>
      <c r="D85" s="207" t="s">
        <v>216</v>
      </c>
      <c r="E85" s="210" t="s">
        <v>214</v>
      </c>
      <c r="F85" s="102" t="str">
        <f t="shared" si="8"/>
        <v>EN</v>
      </c>
      <c r="O85" s="209" t="str">
        <f t="shared" si="6"/>
        <v/>
      </c>
      <c r="P85" s="209" t="str">
        <f t="shared" si="9"/>
        <v/>
      </c>
      <c r="U85" s="209">
        <f t="shared" si="7"/>
        <v>85</v>
      </c>
    </row>
    <row r="86" spans="2:21" ht="17">
      <c r="B86" s="206" t="s">
        <v>215</v>
      </c>
      <c r="C86" s="207" t="s">
        <v>216</v>
      </c>
      <c r="D86" s="207" t="s">
        <v>216</v>
      </c>
      <c r="E86" s="210" t="s">
        <v>217</v>
      </c>
      <c r="F86" s="102" t="str">
        <f t="shared" si="8"/>
        <v>AK</v>
      </c>
      <c r="O86" s="209" t="str">
        <f t="shared" si="6"/>
        <v/>
      </c>
      <c r="P86" s="209" t="str">
        <f t="shared" si="9"/>
        <v/>
      </c>
      <c r="U86" s="209">
        <f t="shared" si="7"/>
        <v>86</v>
      </c>
    </row>
    <row r="87" spans="2:21" ht="17">
      <c r="B87" s="206" t="s">
        <v>218</v>
      </c>
      <c r="C87" s="207" t="s">
        <v>219</v>
      </c>
      <c r="D87" s="207" t="s">
        <v>216</v>
      </c>
      <c r="E87" s="210" t="s">
        <v>220</v>
      </c>
      <c r="F87" s="102" t="str">
        <f t="shared" si="8"/>
        <v>NRB</v>
      </c>
      <c r="O87" s="209" t="str">
        <f t="shared" si="6"/>
        <v/>
      </c>
      <c r="P87" s="209" t="str">
        <f t="shared" si="9"/>
        <v/>
      </c>
      <c r="U87" s="209">
        <f t="shared" si="7"/>
        <v>87</v>
      </c>
    </row>
    <row r="88" spans="2:21" ht="17">
      <c r="B88" s="206" t="s">
        <v>221</v>
      </c>
      <c r="C88" s="207" t="s">
        <v>222</v>
      </c>
      <c r="D88" s="207" t="s">
        <v>49</v>
      </c>
      <c r="E88" s="210" t="s">
        <v>223</v>
      </c>
      <c r="F88" s="102" t="str">
        <f t="shared" si="8"/>
        <v>SLHC</v>
      </c>
      <c r="O88" s="209" t="str">
        <f t="shared" si="6"/>
        <v/>
      </c>
      <c r="P88" s="209" t="str">
        <f t="shared" si="9"/>
        <v/>
      </c>
      <c r="U88" s="209">
        <f t="shared" si="7"/>
        <v>88</v>
      </c>
    </row>
    <row r="89" spans="2:21" ht="17">
      <c r="B89" s="206" t="s">
        <v>224</v>
      </c>
      <c r="C89" s="207" t="s">
        <v>225</v>
      </c>
      <c r="D89" s="207" t="s">
        <v>295</v>
      </c>
      <c r="E89" s="210" t="s">
        <v>226</v>
      </c>
      <c r="F89" s="102" t="str">
        <f t="shared" si="8"/>
        <v>YD</v>
      </c>
      <c r="O89" s="209" t="str">
        <f t="shared" si="6"/>
        <v/>
      </c>
      <c r="P89" s="209" t="str">
        <f t="shared" si="9"/>
        <v/>
      </c>
      <c r="U89" s="209">
        <f t="shared" si="7"/>
        <v>89</v>
      </c>
    </row>
    <row r="90" spans="2:21" ht="17">
      <c r="B90" s="206" t="s">
        <v>227</v>
      </c>
      <c r="C90" s="207" t="s">
        <v>228</v>
      </c>
      <c r="D90" s="207" t="s">
        <v>295</v>
      </c>
      <c r="E90" s="210" t="s">
        <v>229</v>
      </c>
      <c r="F90" s="102" t="str">
        <f t="shared" si="8"/>
        <v>KK</v>
      </c>
      <c r="O90" s="209" t="str">
        <f t="shared" si="6"/>
        <v/>
      </c>
      <c r="P90" s="209" t="str">
        <f t="shared" si="9"/>
        <v/>
      </c>
      <c r="U90" s="209">
        <f t="shared" si="7"/>
        <v>90</v>
      </c>
    </row>
    <row r="91" spans="2:21" ht="17">
      <c r="B91" s="206" t="s">
        <v>230</v>
      </c>
      <c r="C91" s="207" t="s">
        <v>32</v>
      </c>
      <c r="D91" s="207" t="s">
        <v>216</v>
      </c>
      <c r="E91" s="210" t="s">
        <v>231</v>
      </c>
      <c r="F91" s="102" t="str">
        <f t="shared" si="8"/>
        <v>MHL</v>
      </c>
      <c r="O91" s="209" t="str">
        <f t="shared" si="6"/>
        <v/>
      </c>
      <c r="P91" s="209" t="str">
        <f t="shared" si="9"/>
        <v/>
      </c>
      <c r="U91" s="209">
        <f t="shared" si="7"/>
        <v>91</v>
      </c>
    </row>
    <row r="92" spans="2:21" ht="17">
      <c r="B92" s="206" t="s">
        <v>232</v>
      </c>
      <c r="C92" s="207" t="s">
        <v>233</v>
      </c>
      <c r="D92" s="207" t="s">
        <v>35</v>
      </c>
      <c r="E92" s="210" t="s">
        <v>234</v>
      </c>
      <c r="F92" s="102" t="str">
        <f t="shared" si="8"/>
        <v>JA</v>
      </c>
      <c r="O92" s="209" t="str">
        <f t="shared" si="6"/>
        <v/>
      </c>
      <c r="P92" s="209" t="str">
        <f t="shared" si="9"/>
        <v/>
      </c>
      <c r="U92" s="209">
        <f t="shared" si="7"/>
        <v>92</v>
      </c>
    </row>
    <row r="93" spans="2:21" ht="17">
      <c r="B93" s="206" t="s">
        <v>235</v>
      </c>
      <c r="C93" s="207" t="s">
        <v>35</v>
      </c>
      <c r="D93" s="207" t="s">
        <v>35</v>
      </c>
      <c r="E93" s="210" t="s">
        <v>236</v>
      </c>
      <c r="F93" s="102" t="str">
        <f t="shared" si="8"/>
        <v>EM</v>
      </c>
      <c r="O93" s="209" t="str">
        <f t="shared" si="6"/>
        <v/>
      </c>
      <c r="P93" s="209" t="str">
        <f t="shared" si="9"/>
        <v/>
      </c>
      <c r="U93" s="209">
        <f t="shared" si="7"/>
        <v>93</v>
      </c>
    </row>
    <row r="94" spans="2:21" ht="17">
      <c r="B94" s="206" t="s">
        <v>237</v>
      </c>
      <c r="C94" s="207" t="s">
        <v>238</v>
      </c>
      <c r="D94" s="207" t="s">
        <v>216</v>
      </c>
      <c r="E94" s="210" t="s">
        <v>239</v>
      </c>
      <c r="F94" s="102" t="str">
        <f t="shared" si="8"/>
        <v>MYB</v>
      </c>
      <c r="O94" s="209" t="str">
        <f t="shared" si="6"/>
        <v/>
      </c>
      <c r="P94" s="209" t="str">
        <f t="shared" si="9"/>
        <v/>
      </c>
      <c r="U94" s="209">
        <f t="shared" si="7"/>
        <v>94</v>
      </c>
    </row>
    <row r="95" spans="2:21" ht="17">
      <c r="B95" s="206" t="s">
        <v>240</v>
      </c>
      <c r="C95" s="207" t="s">
        <v>241</v>
      </c>
      <c r="D95" s="207" t="s">
        <v>216</v>
      </c>
      <c r="E95" s="210" t="s">
        <v>242</v>
      </c>
      <c r="F95" s="102" t="str">
        <f t="shared" si="8"/>
        <v>DKQ</v>
      </c>
      <c r="O95" s="209" t="str">
        <f t="shared" si="6"/>
        <v/>
      </c>
      <c r="P95" s="209" t="str">
        <f t="shared" si="9"/>
        <v/>
      </c>
      <c r="U95" s="209">
        <f t="shared" si="7"/>
        <v>95</v>
      </c>
    </row>
    <row r="96" spans="2:21" ht="17">
      <c r="B96" s="206" t="s">
        <v>243</v>
      </c>
      <c r="C96" s="207" t="s">
        <v>32</v>
      </c>
      <c r="D96" s="207" t="s">
        <v>216</v>
      </c>
      <c r="E96" s="210" t="s">
        <v>244</v>
      </c>
      <c r="F96" s="102" t="str">
        <f t="shared" si="8"/>
        <v>SND</v>
      </c>
      <c r="O96" s="209" t="str">
        <f t="shared" si="6"/>
        <v/>
      </c>
      <c r="P96" s="209" t="str">
        <f t="shared" si="9"/>
        <v/>
      </c>
      <c r="U96" s="209">
        <f t="shared" si="7"/>
        <v>96</v>
      </c>
    </row>
    <row r="97" spans="2:21" ht="17">
      <c r="B97" s="206" t="s">
        <v>245</v>
      </c>
      <c r="C97" s="207" t="s">
        <v>69</v>
      </c>
      <c r="D97" s="207" t="s">
        <v>216</v>
      </c>
      <c r="E97" s="210" t="s">
        <v>246</v>
      </c>
      <c r="F97" s="102" t="str">
        <f t="shared" si="8"/>
        <v>HP</v>
      </c>
      <c r="O97" s="209" t="str">
        <f t="shared" si="6"/>
        <v/>
      </c>
      <c r="P97" s="209" t="str">
        <f t="shared" si="9"/>
        <v/>
      </c>
      <c r="U97" s="209">
        <f t="shared" si="7"/>
        <v>97</v>
      </c>
    </row>
    <row r="98" spans="2:21" ht="17">
      <c r="B98" s="206" t="s">
        <v>247</v>
      </c>
      <c r="C98" s="207" t="s">
        <v>67</v>
      </c>
      <c r="D98" s="207" t="s">
        <v>216</v>
      </c>
      <c r="E98" s="210" t="s">
        <v>248</v>
      </c>
      <c r="F98" s="102" t="str">
        <f t="shared" si="8"/>
        <v>SCDA</v>
      </c>
      <c r="O98" s="209" t="str">
        <f t="shared" si="6"/>
        <v/>
      </c>
      <c r="P98" s="209" t="str">
        <f t="shared" si="9"/>
        <v/>
      </c>
      <c r="U98" s="209">
        <f t="shared" si="7"/>
        <v>98</v>
      </c>
    </row>
    <row r="99" spans="2:21" ht="17">
      <c r="B99" s="206" t="s">
        <v>249</v>
      </c>
      <c r="C99" s="207" t="s">
        <v>250</v>
      </c>
      <c r="D99" s="207" t="s">
        <v>216</v>
      </c>
      <c r="E99" s="210" t="s">
        <v>251</v>
      </c>
      <c r="F99" s="102" t="str">
        <f t="shared" si="8"/>
        <v>OG</v>
      </c>
      <c r="O99" s="209" t="str">
        <f t="shared" si="6"/>
        <v/>
      </c>
      <c r="P99" s="209" t="str">
        <f t="shared" si="9"/>
        <v/>
      </c>
      <c r="U99" s="209">
        <f t="shared" si="7"/>
        <v>99</v>
      </c>
    </row>
    <row r="100" spans="2:21" ht="17">
      <c r="B100" s="206" t="s">
        <v>842</v>
      </c>
      <c r="C100" s="207" t="s">
        <v>233</v>
      </c>
      <c r="D100" s="207" t="s">
        <v>35</v>
      </c>
      <c r="E100" s="210" t="s">
        <v>253</v>
      </c>
      <c r="F100" s="102" t="str">
        <f t="shared" si="8"/>
        <v>NGBC</v>
      </c>
      <c r="G100" s="208" t="s">
        <v>1773</v>
      </c>
      <c r="O100" s="209" t="str">
        <f t="shared" si="6"/>
        <v/>
      </c>
      <c r="P100" s="209" t="str">
        <f t="shared" si="9"/>
        <v/>
      </c>
      <c r="U100" s="209">
        <f t="shared" si="7"/>
        <v>100</v>
      </c>
    </row>
    <row r="101" spans="2:21" ht="17">
      <c r="B101" s="206" t="s">
        <v>252</v>
      </c>
      <c r="C101" s="207" t="s">
        <v>35</v>
      </c>
      <c r="D101" s="207" t="s">
        <v>35</v>
      </c>
      <c r="E101" s="210" t="s">
        <v>253</v>
      </c>
      <c r="F101" s="102" t="str">
        <f t="shared" si="8"/>
        <v>NGF2</v>
      </c>
      <c r="U101" s="209">
        <f t="shared" si="7"/>
        <v>101</v>
      </c>
    </row>
    <row r="102" spans="2:21" ht="17">
      <c r="B102" s="206" t="s">
        <v>767</v>
      </c>
      <c r="C102" s="207" t="s">
        <v>35</v>
      </c>
      <c r="D102" s="207" t="s">
        <v>35</v>
      </c>
      <c r="E102" s="210" t="s">
        <v>253</v>
      </c>
      <c r="F102" s="102" t="str">
        <f t="shared" si="8"/>
        <v>NGF4</v>
      </c>
    </row>
    <row r="103" spans="2:21" ht="17">
      <c r="B103" s="206" t="s">
        <v>254</v>
      </c>
      <c r="C103" s="207" t="s">
        <v>35</v>
      </c>
      <c r="D103" s="207" t="s">
        <v>35</v>
      </c>
      <c r="E103" s="210" t="s">
        <v>253</v>
      </c>
      <c r="F103" s="102" t="str">
        <f t="shared" si="8"/>
        <v>NG2(</v>
      </c>
    </row>
    <row r="104" spans="2:21" ht="17">
      <c r="B104" s="206" t="s">
        <v>255</v>
      </c>
      <c r="C104" s="207" t="s">
        <v>35</v>
      </c>
      <c r="D104" s="207" t="s">
        <v>35</v>
      </c>
      <c r="E104" s="210" t="s">
        <v>256</v>
      </c>
      <c r="F104" s="102" t="str">
        <f t="shared" si="8"/>
        <v>NG2(</v>
      </c>
    </row>
    <row r="105" spans="2:21" ht="17">
      <c r="B105" s="206" t="s">
        <v>841</v>
      </c>
      <c r="C105" s="207" t="s">
        <v>35</v>
      </c>
      <c r="D105" s="207" t="s">
        <v>35</v>
      </c>
      <c r="E105" s="210"/>
      <c r="F105" s="102" t="str">
        <f t="shared" si="8"/>
        <v>NG/E</v>
      </c>
    </row>
    <row r="106" spans="2:21" ht="17">
      <c r="B106" s="206" t="s">
        <v>257</v>
      </c>
      <c r="C106" s="207" t="s">
        <v>35</v>
      </c>
      <c r="D106" s="207" t="s">
        <v>35</v>
      </c>
      <c r="E106" s="210" t="s">
        <v>256</v>
      </c>
      <c r="F106" s="102" t="str">
        <f t="shared" si="8"/>
        <v>NG4(</v>
      </c>
    </row>
    <row r="107" spans="2:21" ht="17">
      <c r="B107" s="206" t="s">
        <v>258</v>
      </c>
      <c r="C107" s="207" t="s">
        <v>35</v>
      </c>
      <c r="D107" s="207" t="s">
        <v>35</v>
      </c>
      <c r="E107" s="210" t="s">
        <v>256</v>
      </c>
      <c r="F107" s="102" t="str">
        <f t="shared" si="8"/>
        <v>NG4(</v>
      </c>
    </row>
    <row r="108" spans="2:21" ht="17">
      <c r="B108" s="206" t="s">
        <v>1868</v>
      </c>
      <c r="C108" s="207" t="s">
        <v>35</v>
      </c>
      <c r="D108" s="207" t="s">
        <v>35</v>
      </c>
      <c r="E108" s="210" t="s">
        <v>260</v>
      </c>
      <c r="F108" s="102" t="str">
        <f t="shared" si="8"/>
        <v>NG4L</v>
      </c>
    </row>
    <row r="109" spans="2:21" ht="17">
      <c r="B109" s="206" t="s">
        <v>259</v>
      </c>
      <c r="C109" s="207" t="s">
        <v>72</v>
      </c>
      <c r="D109" s="207" t="s">
        <v>216</v>
      </c>
      <c r="E109" s="210" t="s">
        <v>260</v>
      </c>
      <c r="F109" s="102" t="str">
        <f t="shared" si="8"/>
        <v>NGLH</v>
      </c>
    </row>
    <row r="110" spans="2:21" ht="17">
      <c r="B110" s="206" t="s">
        <v>261</v>
      </c>
      <c r="C110" s="207" t="s">
        <v>72</v>
      </c>
      <c r="D110" s="207" t="s">
        <v>216</v>
      </c>
      <c r="E110" s="210" t="s">
        <v>260</v>
      </c>
      <c r="F110" s="102" t="str">
        <f t="shared" si="8"/>
        <v>NGLH</v>
      </c>
    </row>
    <row r="111" spans="2:21" ht="34">
      <c r="B111" s="206" t="s">
        <v>262</v>
      </c>
      <c r="C111" s="207" t="s">
        <v>72</v>
      </c>
      <c r="D111" s="207" t="s">
        <v>216</v>
      </c>
      <c r="E111" s="210" t="s">
        <v>260</v>
      </c>
      <c r="F111" s="102" t="str">
        <f t="shared" si="8"/>
        <v>NGLH</v>
      </c>
    </row>
    <row r="112" spans="2:21" ht="17">
      <c r="B112" s="206" t="s">
        <v>263</v>
      </c>
      <c r="C112" s="207" t="s">
        <v>207</v>
      </c>
      <c r="D112" s="207" t="s">
        <v>216</v>
      </c>
      <c r="E112" s="210" t="s">
        <v>264</v>
      </c>
      <c r="F112" s="102" t="str">
        <f t="shared" si="8"/>
        <v>DBST</v>
      </c>
    </row>
    <row r="113" spans="2:6" ht="17">
      <c r="B113" s="206" t="s">
        <v>265</v>
      </c>
      <c r="C113" s="207" t="s">
        <v>114</v>
      </c>
      <c r="D113" s="207" t="s">
        <v>35</v>
      </c>
      <c r="E113" s="210" t="s">
        <v>266</v>
      </c>
      <c r="F113" s="102" t="str">
        <f t="shared" si="8"/>
        <v>LTA</v>
      </c>
    </row>
    <row r="114" spans="2:6" ht="17">
      <c r="B114" s="206" t="s">
        <v>267</v>
      </c>
      <c r="C114" s="207" t="s">
        <v>268</v>
      </c>
      <c r="D114" s="207" t="s">
        <v>216</v>
      </c>
      <c r="E114" s="210" t="s">
        <v>269</v>
      </c>
      <c r="F114" s="102" t="str">
        <f t="shared" si="8"/>
        <v>EY</v>
      </c>
    </row>
    <row r="115" spans="2:6" ht="17">
      <c r="B115" s="206" t="s">
        <v>2408</v>
      </c>
      <c r="C115" s="207" t="s">
        <v>1875</v>
      </c>
      <c r="D115" s="207" t="s">
        <v>35</v>
      </c>
      <c r="E115" s="210" t="s">
        <v>2355</v>
      </c>
      <c r="F115" s="102" t="str">
        <f t="shared" si="8"/>
        <v>EY-A</v>
      </c>
    </row>
    <row r="116" spans="2:6" ht="17">
      <c r="B116" s="206" t="s">
        <v>270</v>
      </c>
      <c r="C116" s="207" t="s">
        <v>271</v>
      </c>
      <c r="D116" s="207" t="s">
        <v>216</v>
      </c>
      <c r="E116" s="210" t="s">
        <v>272</v>
      </c>
      <c r="F116" s="102" t="str">
        <f t="shared" si="8"/>
        <v>DT</v>
      </c>
    </row>
    <row r="117" spans="2:6" ht="17">
      <c r="B117" s="206" t="s">
        <v>273</v>
      </c>
      <c r="C117" s="207" t="s">
        <v>274</v>
      </c>
      <c r="D117" s="207" t="s">
        <v>216</v>
      </c>
      <c r="E117" s="210" t="s">
        <v>275</v>
      </c>
      <c r="F117" s="102" t="str">
        <f t="shared" si="8"/>
        <v>NA</v>
      </c>
    </row>
    <row r="118" spans="2:6" ht="17">
      <c r="B118" s="206" t="s">
        <v>276</v>
      </c>
      <c r="C118" s="207" t="s">
        <v>277</v>
      </c>
      <c r="D118" s="207" t="s">
        <v>216</v>
      </c>
      <c r="E118" s="210" t="s">
        <v>278</v>
      </c>
      <c r="F118" s="102" t="str">
        <f t="shared" si="8"/>
        <v>AB</v>
      </c>
    </row>
    <row r="119" spans="2:6" ht="17">
      <c r="B119" s="206" t="s">
        <v>279</v>
      </c>
      <c r="C119" s="207" t="s">
        <v>280</v>
      </c>
      <c r="D119" s="207" t="s">
        <v>216</v>
      </c>
      <c r="E119" s="210" t="s">
        <v>281</v>
      </c>
      <c r="F119" s="102" t="str">
        <f t="shared" si="8"/>
        <v>AB</v>
      </c>
    </row>
    <row r="120" spans="2:6" ht="17">
      <c r="B120" s="206" t="s">
        <v>282</v>
      </c>
      <c r="C120" s="207" t="s">
        <v>283</v>
      </c>
      <c r="D120" s="207" t="s">
        <v>216</v>
      </c>
      <c r="E120" s="210" t="s">
        <v>284</v>
      </c>
      <c r="F120" s="102" t="str">
        <f t="shared" si="8"/>
        <v>Z</v>
      </c>
    </row>
    <row r="121" spans="2:6" ht="17">
      <c r="B121" s="206" t="s">
        <v>285</v>
      </c>
      <c r="C121" s="207" t="s">
        <v>202</v>
      </c>
      <c r="D121" s="207" t="s">
        <v>216</v>
      </c>
      <c r="E121" s="210" t="s">
        <v>286</v>
      </c>
      <c r="F121" s="102" t="str">
        <f t="shared" si="8"/>
        <v>LML</v>
      </c>
    </row>
    <row r="122" spans="2:6" ht="17">
      <c r="B122" s="206" t="s">
        <v>287</v>
      </c>
      <c r="C122" s="207" t="s">
        <v>241</v>
      </c>
      <c r="D122" s="207" t="s">
        <v>216</v>
      </c>
      <c r="E122" s="210" t="s">
        <v>288</v>
      </c>
      <c r="F122" s="102" t="str">
        <f t="shared" si="8"/>
        <v>KD</v>
      </c>
    </row>
    <row r="123" spans="2:6" ht="17">
      <c r="B123" s="206" t="s">
        <v>289</v>
      </c>
      <c r="C123" s="207" t="s">
        <v>271</v>
      </c>
      <c r="D123" s="207" t="s">
        <v>216</v>
      </c>
      <c r="E123" s="210" t="s">
        <v>290</v>
      </c>
      <c r="F123" s="102" t="str">
        <f t="shared" si="8"/>
        <v>MR</v>
      </c>
    </row>
    <row r="124" spans="2:6" ht="17">
      <c r="B124" s="206" t="s">
        <v>291</v>
      </c>
      <c r="C124" s="207" t="s">
        <v>292</v>
      </c>
      <c r="D124" s="207" t="s">
        <v>216</v>
      </c>
      <c r="E124" s="210" t="s">
        <v>293</v>
      </c>
      <c r="F124" s="102" t="str">
        <f t="shared" si="8"/>
        <v>AT</v>
      </c>
    </row>
    <row r="125" spans="2:6" ht="17">
      <c r="B125" s="206" t="s">
        <v>294</v>
      </c>
      <c r="C125" s="207" t="s">
        <v>295</v>
      </c>
      <c r="D125" s="207" t="s">
        <v>295</v>
      </c>
      <c r="E125" s="210">
        <v>0</v>
      </c>
      <c r="F125" s="102" t="str">
        <f t="shared" si="8"/>
        <v>ET</v>
      </c>
    </row>
    <row r="126" spans="2:6" ht="17">
      <c r="B126" s="206" t="s">
        <v>296</v>
      </c>
      <c r="C126" s="207" t="s">
        <v>297</v>
      </c>
      <c r="D126" s="207" t="s">
        <v>216</v>
      </c>
      <c r="E126" s="210" t="s">
        <v>298</v>
      </c>
      <c r="F126" s="102" t="str">
        <f t="shared" si="8"/>
        <v>FA</v>
      </c>
    </row>
    <row r="127" spans="2:6" ht="34">
      <c r="B127" s="206" t="s">
        <v>299</v>
      </c>
      <c r="C127" s="207" t="s">
        <v>300</v>
      </c>
      <c r="D127" s="207" t="s">
        <v>216</v>
      </c>
      <c r="E127" s="210" t="s">
        <v>1511</v>
      </c>
      <c r="F127" s="102" t="str">
        <f t="shared" si="8"/>
        <v>KA</v>
      </c>
    </row>
    <row r="128" spans="2:6" ht="17">
      <c r="B128" s="206" t="s">
        <v>301</v>
      </c>
      <c r="C128" s="207" t="s">
        <v>62</v>
      </c>
      <c r="D128" s="207" t="s">
        <v>216</v>
      </c>
      <c r="E128" s="210" t="s">
        <v>302</v>
      </c>
      <c r="F128" s="102" t="str">
        <f t="shared" si="8"/>
        <v>MFE</v>
      </c>
    </row>
    <row r="129" spans="2:6" ht="17">
      <c r="B129" s="206" t="s">
        <v>303</v>
      </c>
      <c r="C129" s="207" t="s">
        <v>72</v>
      </c>
      <c r="D129" s="207" t="s">
        <v>216</v>
      </c>
      <c r="E129" s="210">
        <v>0</v>
      </c>
      <c r="F129" s="102" t="str">
        <f t="shared" si="8"/>
        <v>DSAL</v>
      </c>
    </row>
    <row r="130" spans="2:6" ht="17">
      <c r="B130" s="206" t="s">
        <v>304</v>
      </c>
      <c r="C130" s="207" t="s">
        <v>305</v>
      </c>
      <c r="D130" s="207" t="s">
        <v>305</v>
      </c>
      <c r="E130" s="210" t="s">
        <v>306</v>
      </c>
      <c r="F130" s="102" t="str">
        <f t="shared" si="8"/>
        <v>PA</v>
      </c>
    </row>
    <row r="131" spans="2:6" ht="17">
      <c r="B131" s="206" t="s">
        <v>307</v>
      </c>
      <c r="C131" s="207" t="s">
        <v>308</v>
      </c>
      <c r="D131" s="207" t="s">
        <v>35</v>
      </c>
      <c r="E131" s="210" t="s">
        <v>309</v>
      </c>
      <c r="F131" s="102" t="str">
        <f t="shared" ref="F131:F194" si="10">UPPER(LEFT(B131,1)) &amp; IFERROR(UPPER(LEFT(MID(B131,FIND(" ",B131)+1,LEN(B131)),1)),"") &amp; IFERROR(UPPER(LEFT(MID(B131,FIND(" ",B131,FIND(" ",B131)+1)+1,LEN(B131)),1)),"") &amp; IFERROR(UPPER(LEFT(MID(B131,FIND(" ",B131,FIND(" ",B131,FIND(" ",B131)+1)+1)+1,LEN(B131)),1)),"")</f>
        <v>DVES</v>
      </c>
    </row>
    <row r="132" spans="2:6" ht="17">
      <c r="B132" s="206" t="s">
        <v>310</v>
      </c>
      <c r="C132" s="207" t="s">
        <v>32</v>
      </c>
      <c r="D132" s="207" t="s">
        <v>216</v>
      </c>
      <c r="E132" s="210" t="s">
        <v>311</v>
      </c>
      <c r="F132" s="102" t="str">
        <f t="shared" si="10"/>
        <v>MAT</v>
      </c>
    </row>
    <row r="133" spans="2:6" ht="17">
      <c r="B133" s="206" t="s">
        <v>312</v>
      </c>
      <c r="C133" s="207" t="s">
        <v>313</v>
      </c>
      <c r="D133" s="207" t="s">
        <v>216</v>
      </c>
      <c r="E133" s="210" t="s">
        <v>314</v>
      </c>
      <c r="F133" s="102" t="str">
        <f t="shared" si="10"/>
        <v>SAF</v>
      </c>
    </row>
    <row r="134" spans="2:6" ht="17">
      <c r="B134" s="206" t="s">
        <v>315</v>
      </c>
      <c r="C134" s="207" t="s">
        <v>316</v>
      </c>
      <c r="D134" s="207" t="s">
        <v>216</v>
      </c>
      <c r="E134" s="210" t="s">
        <v>65</v>
      </c>
      <c r="F134" s="102" t="str">
        <f t="shared" si="10"/>
        <v>KH</v>
      </c>
    </row>
    <row r="135" spans="2:6" ht="17">
      <c r="B135" s="206" t="s">
        <v>317</v>
      </c>
      <c r="C135" s="207" t="s">
        <v>80</v>
      </c>
      <c r="D135" s="207" t="s">
        <v>216</v>
      </c>
      <c r="E135" s="210" t="s">
        <v>81</v>
      </c>
      <c r="F135" s="102" t="str">
        <f t="shared" si="10"/>
        <v>TS</v>
      </c>
    </row>
    <row r="136" spans="2:6" ht="17">
      <c r="B136" s="206" t="s">
        <v>318</v>
      </c>
      <c r="C136" s="207" t="s">
        <v>300</v>
      </c>
      <c r="D136" s="207" t="s">
        <v>216</v>
      </c>
      <c r="E136" s="210" t="s">
        <v>319</v>
      </c>
      <c r="F136" s="102" t="str">
        <f t="shared" si="10"/>
        <v>AKA</v>
      </c>
    </row>
    <row r="137" spans="2:6" ht="17">
      <c r="B137" s="206" t="s">
        <v>320</v>
      </c>
      <c r="C137" s="207" t="s">
        <v>321</v>
      </c>
      <c r="D137" s="207" t="s">
        <v>216</v>
      </c>
      <c r="E137" s="210" t="s">
        <v>322</v>
      </c>
      <c r="F137" s="102" t="str">
        <f t="shared" si="10"/>
        <v>S</v>
      </c>
    </row>
    <row r="138" spans="2:6" ht="17">
      <c r="B138" s="206" t="s">
        <v>323</v>
      </c>
      <c r="C138" s="207" t="s">
        <v>324</v>
      </c>
      <c r="D138" s="207" t="s">
        <v>216</v>
      </c>
      <c r="E138" s="210" t="s">
        <v>325</v>
      </c>
      <c r="F138" s="102" t="str">
        <f t="shared" si="10"/>
        <v>YF</v>
      </c>
    </row>
    <row r="139" spans="2:6" ht="17">
      <c r="B139" s="206" t="s">
        <v>326</v>
      </c>
      <c r="C139" s="207" t="s">
        <v>327</v>
      </c>
      <c r="D139" s="207" t="s">
        <v>216</v>
      </c>
      <c r="E139" s="210" t="s">
        <v>328</v>
      </c>
      <c r="F139" s="102" t="str">
        <f t="shared" si="10"/>
        <v>SA</v>
      </c>
    </row>
    <row r="140" spans="2:6" ht="17">
      <c r="B140" s="206" t="s">
        <v>329</v>
      </c>
      <c r="C140" s="207" t="s">
        <v>330</v>
      </c>
      <c r="D140" s="207" t="s">
        <v>35</v>
      </c>
      <c r="E140" s="210"/>
      <c r="F140" s="102" t="str">
        <f t="shared" si="10"/>
        <v>ETC1</v>
      </c>
    </row>
    <row r="141" spans="2:6" ht="17">
      <c r="B141" s="206" t="s">
        <v>331</v>
      </c>
      <c r="C141" s="207" t="s">
        <v>332</v>
      </c>
      <c r="D141" s="207" t="s">
        <v>216</v>
      </c>
      <c r="E141" s="210" t="s">
        <v>333</v>
      </c>
      <c r="F141" s="102" t="str">
        <f t="shared" si="10"/>
        <v>D</v>
      </c>
    </row>
    <row r="142" spans="2:6" ht="17">
      <c r="B142" s="206" t="s">
        <v>334</v>
      </c>
      <c r="C142" s="207" t="s">
        <v>37</v>
      </c>
      <c r="D142" s="207" t="s">
        <v>216</v>
      </c>
      <c r="E142" s="210" t="s">
        <v>335</v>
      </c>
      <c r="F142" s="102" t="str">
        <f t="shared" si="10"/>
        <v>MF</v>
      </c>
    </row>
    <row r="143" spans="2:6" ht="17">
      <c r="B143" s="206" t="s">
        <v>336</v>
      </c>
      <c r="C143" s="207" t="s">
        <v>337</v>
      </c>
      <c r="D143" s="207" t="s">
        <v>216</v>
      </c>
      <c r="E143" s="210">
        <v>0</v>
      </c>
      <c r="F143" s="102" t="str">
        <f t="shared" si="10"/>
        <v>DSAL</v>
      </c>
    </row>
    <row r="144" spans="2:6" ht="17">
      <c r="B144" s="206" t="s">
        <v>338</v>
      </c>
      <c r="C144" s="207" t="s">
        <v>339</v>
      </c>
      <c r="D144" s="207" t="s">
        <v>216</v>
      </c>
      <c r="E144" s="210" t="s">
        <v>340</v>
      </c>
      <c r="F144" s="102" t="str">
        <f t="shared" si="10"/>
        <v>ACRJ</v>
      </c>
    </row>
    <row r="145" spans="2:6" ht="17">
      <c r="B145" s="206" t="s">
        <v>341</v>
      </c>
      <c r="C145" s="207" t="s">
        <v>342</v>
      </c>
      <c r="D145" s="207" t="s">
        <v>342</v>
      </c>
      <c r="E145" s="210" t="s">
        <v>340</v>
      </c>
      <c r="F145" s="102" t="str">
        <f t="shared" si="10"/>
        <v>MZ</v>
      </c>
    </row>
    <row r="146" spans="2:6" ht="17">
      <c r="B146" s="206" t="s">
        <v>343</v>
      </c>
      <c r="C146" s="207" t="s">
        <v>207</v>
      </c>
      <c r="D146" s="207" t="s">
        <v>216</v>
      </c>
      <c r="E146" s="210"/>
      <c r="F146" s="102" t="str">
        <f t="shared" si="10"/>
        <v>TI</v>
      </c>
    </row>
    <row r="147" spans="2:6" ht="17">
      <c r="B147" s="206" t="s">
        <v>344</v>
      </c>
      <c r="C147" s="207" t="s">
        <v>345</v>
      </c>
      <c r="D147" s="207" t="s">
        <v>35</v>
      </c>
      <c r="E147" s="210"/>
      <c r="F147" s="102" t="str">
        <f t="shared" si="10"/>
        <v>BIC</v>
      </c>
    </row>
    <row r="148" spans="2:6" ht="17">
      <c r="B148" s="206" t="s">
        <v>346</v>
      </c>
      <c r="C148" s="207" t="s">
        <v>347</v>
      </c>
      <c r="D148" s="207" t="s">
        <v>35</v>
      </c>
      <c r="E148" s="210"/>
      <c r="F148" s="102" t="str">
        <f t="shared" si="10"/>
        <v>PRBS</v>
      </c>
    </row>
    <row r="149" spans="2:6" ht="34">
      <c r="B149" s="206" t="s">
        <v>348</v>
      </c>
      <c r="C149" s="207" t="s">
        <v>349</v>
      </c>
      <c r="D149" s="207" t="s">
        <v>216</v>
      </c>
      <c r="E149" s="210" t="s">
        <v>350</v>
      </c>
      <c r="F149" s="102" t="str">
        <f t="shared" si="10"/>
        <v>BGL</v>
      </c>
    </row>
    <row r="150" spans="2:6" ht="17">
      <c r="B150" s="206" t="s">
        <v>351</v>
      </c>
      <c r="C150" s="207" t="s">
        <v>352</v>
      </c>
      <c r="D150" s="207" t="s">
        <v>216</v>
      </c>
      <c r="E150" s="210" t="s">
        <v>353</v>
      </c>
      <c r="F150" s="102" t="str">
        <f t="shared" si="10"/>
        <v>SA</v>
      </c>
    </row>
    <row r="151" spans="2:6" ht="34">
      <c r="B151" s="206" t="s">
        <v>354</v>
      </c>
      <c r="C151" s="207" t="s">
        <v>355</v>
      </c>
      <c r="D151" s="207" t="s">
        <v>216</v>
      </c>
      <c r="E151" s="210" t="s">
        <v>356</v>
      </c>
      <c r="F151" s="102" t="str">
        <f t="shared" si="10"/>
        <v>VNB</v>
      </c>
    </row>
    <row r="152" spans="2:6" ht="17">
      <c r="B152" s="206" t="s">
        <v>2404</v>
      </c>
      <c r="C152" s="207" t="s">
        <v>216</v>
      </c>
      <c r="D152" s="207" t="s">
        <v>216</v>
      </c>
      <c r="E152" s="210" t="s">
        <v>357</v>
      </c>
      <c r="F152" s="102" t="str">
        <f t="shared" si="10"/>
        <v>MAP</v>
      </c>
    </row>
    <row r="153" spans="2:6" ht="17">
      <c r="B153" s="206" t="s">
        <v>358</v>
      </c>
      <c r="E153" s="210" t="s">
        <v>359</v>
      </c>
      <c r="F153" s="102" t="str">
        <f t="shared" si="10"/>
        <v>TTS</v>
      </c>
    </row>
    <row r="154" spans="2:6" ht="17">
      <c r="B154" s="206" t="s">
        <v>360</v>
      </c>
      <c r="C154" s="207" t="s">
        <v>241</v>
      </c>
      <c r="D154" s="207" t="s">
        <v>216</v>
      </c>
      <c r="E154" s="210" t="s">
        <v>359</v>
      </c>
      <c r="F154" s="102" t="str">
        <f t="shared" si="10"/>
        <v>CL</v>
      </c>
    </row>
    <row r="155" spans="2:6" ht="17">
      <c r="B155" s="206" t="s">
        <v>361</v>
      </c>
      <c r="C155" s="207" t="s">
        <v>362</v>
      </c>
      <c r="D155" s="207" t="s">
        <v>35</v>
      </c>
      <c r="E155" s="210" t="s">
        <v>363</v>
      </c>
      <c r="F155" s="102" t="str">
        <f t="shared" si="10"/>
        <v>DAA</v>
      </c>
    </row>
    <row r="156" spans="2:6" ht="17">
      <c r="B156" s="206" t="s">
        <v>364</v>
      </c>
      <c r="C156" s="207" t="s">
        <v>365</v>
      </c>
      <c r="D156" s="207" t="s">
        <v>216</v>
      </c>
      <c r="E156" s="210" t="s">
        <v>366</v>
      </c>
      <c r="F156" s="102" t="str">
        <f t="shared" si="10"/>
        <v>CCA</v>
      </c>
    </row>
    <row r="157" spans="2:6" ht="17">
      <c r="B157" s="206" t="s">
        <v>367</v>
      </c>
      <c r="E157" s="210">
        <v>0</v>
      </c>
      <c r="F157" s="102" t="str">
        <f t="shared" si="10"/>
        <v>NRL</v>
      </c>
    </row>
    <row r="158" spans="2:6" ht="17">
      <c r="B158" s="206" t="s">
        <v>368</v>
      </c>
      <c r="C158" s="207" t="s">
        <v>369</v>
      </c>
      <c r="D158" s="207" t="s">
        <v>216</v>
      </c>
      <c r="E158" s="210" t="s">
        <v>370</v>
      </c>
      <c r="F158" s="102" t="str">
        <f t="shared" si="10"/>
        <v>DB</v>
      </c>
    </row>
    <row r="159" spans="2:6" ht="51">
      <c r="B159" s="206" t="s">
        <v>371</v>
      </c>
      <c r="C159" s="207" t="s">
        <v>355</v>
      </c>
      <c r="D159" s="207" t="s">
        <v>216</v>
      </c>
      <c r="E159" s="210" t="s">
        <v>372</v>
      </c>
      <c r="F159" s="102" t="str">
        <f t="shared" si="10"/>
        <v>MEE-</v>
      </c>
    </row>
    <row r="160" spans="2:6" ht="17">
      <c r="B160" s="206" t="s">
        <v>373</v>
      </c>
      <c r="C160" s="207" t="s">
        <v>93</v>
      </c>
      <c r="D160" s="207" t="s">
        <v>216</v>
      </c>
      <c r="E160" s="210" t="s">
        <v>374</v>
      </c>
      <c r="F160" s="102" t="str">
        <f t="shared" si="10"/>
        <v>PAD</v>
      </c>
    </row>
    <row r="161" spans="2:6" ht="17">
      <c r="B161" s="206" t="s">
        <v>375</v>
      </c>
      <c r="C161" s="207" t="s">
        <v>376</v>
      </c>
      <c r="D161" s="207" t="s">
        <v>51</v>
      </c>
      <c r="E161" s="210" t="s">
        <v>377</v>
      </c>
      <c r="F161" s="102" t="str">
        <f t="shared" si="10"/>
        <v>JFS</v>
      </c>
    </row>
    <row r="162" spans="2:6" ht="17">
      <c r="B162" s="206" t="s">
        <v>378</v>
      </c>
      <c r="C162" s="207" t="s">
        <v>337</v>
      </c>
      <c r="D162" s="207" t="s">
        <v>216</v>
      </c>
      <c r="E162" s="210" t="s">
        <v>328</v>
      </c>
      <c r="F162" s="102" t="str">
        <f t="shared" si="10"/>
        <v>DF</v>
      </c>
    </row>
    <row r="163" spans="2:6" ht="17">
      <c r="B163" s="206" t="s">
        <v>379</v>
      </c>
      <c r="C163" s="207" t="s">
        <v>380</v>
      </c>
      <c r="D163" s="207" t="s">
        <v>216</v>
      </c>
      <c r="E163" s="210" t="s">
        <v>381</v>
      </c>
      <c r="F163" s="102" t="str">
        <f t="shared" si="10"/>
        <v>JIC</v>
      </c>
    </row>
    <row r="164" spans="2:6" ht="17">
      <c r="B164" s="206" t="s">
        <v>382</v>
      </c>
      <c r="C164" s="207" t="s">
        <v>35</v>
      </c>
      <c r="D164" s="207" t="s">
        <v>35</v>
      </c>
      <c r="E164" s="210" t="s">
        <v>383</v>
      </c>
      <c r="F164" s="102" t="str">
        <f t="shared" si="10"/>
        <v>TL</v>
      </c>
    </row>
    <row r="165" spans="2:6" ht="17">
      <c r="B165" s="206" t="s">
        <v>384</v>
      </c>
      <c r="C165" s="207" t="s">
        <v>385</v>
      </c>
      <c r="D165" s="207" t="s">
        <v>216</v>
      </c>
      <c r="E165" s="210" t="s">
        <v>386</v>
      </c>
      <c r="F165" s="102" t="str">
        <f t="shared" si="10"/>
        <v>AOVO</v>
      </c>
    </row>
    <row r="166" spans="2:6" ht="17">
      <c r="B166" s="206" t="s">
        <v>387</v>
      </c>
      <c r="C166" s="207" t="s">
        <v>32</v>
      </c>
      <c r="D166" s="207" t="s">
        <v>216</v>
      </c>
      <c r="E166" s="210">
        <v>0</v>
      </c>
      <c r="F166" s="102" t="str">
        <f t="shared" si="10"/>
        <v>GO</v>
      </c>
    </row>
    <row r="167" spans="2:6" ht="17">
      <c r="B167" s="206" t="s">
        <v>388</v>
      </c>
      <c r="C167" s="207" t="s">
        <v>389</v>
      </c>
      <c r="D167" s="207" t="s">
        <v>389</v>
      </c>
      <c r="E167" s="210">
        <v>0</v>
      </c>
      <c r="F167" s="102" t="str">
        <f t="shared" si="10"/>
        <v>CVHR</v>
      </c>
    </row>
    <row r="168" spans="2:6" ht="17">
      <c r="B168" s="206" t="s">
        <v>390</v>
      </c>
      <c r="C168" s="207" t="s">
        <v>389</v>
      </c>
      <c r="D168" s="207" t="s">
        <v>389</v>
      </c>
      <c r="E168" s="210">
        <v>0</v>
      </c>
      <c r="F168" s="102" t="str">
        <f t="shared" si="10"/>
        <v>CVHK</v>
      </c>
    </row>
    <row r="169" spans="2:6" ht="34">
      <c r="B169" s="206" t="s">
        <v>391</v>
      </c>
      <c r="C169" s="207" t="s">
        <v>392</v>
      </c>
      <c r="D169" s="207" t="s">
        <v>216</v>
      </c>
      <c r="E169" s="210" t="s">
        <v>393</v>
      </c>
      <c r="F169" s="102" t="str">
        <f t="shared" si="10"/>
        <v>KAAJ</v>
      </c>
    </row>
    <row r="170" spans="2:6" ht="17">
      <c r="B170" s="206" t="s">
        <v>840</v>
      </c>
      <c r="C170" s="207" t="s">
        <v>839</v>
      </c>
      <c r="D170" s="207" t="s">
        <v>35</v>
      </c>
      <c r="E170" s="210" t="s">
        <v>838</v>
      </c>
      <c r="F170" s="102" t="str">
        <f t="shared" si="10"/>
        <v>ALAK</v>
      </c>
    </row>
    <row r="171" spans="2:6" ht="17">
      <c r="B171" s="206" t="s">
        <v>837</v>
      </c>
      <c r="C171" s="207" t="s">
        <v>337</v>
      </c>
      <c r="D171" s="207" t="s">
        <v>216</v>
      </c>
      <c r="E171" s="210" t="s">
        <v>430</v>
      </c>
      <c r="F171" s="102" t="str">
        <f t="shared" si="10"/>
        <v>TSL</v>
      </c>
    </row>
    <row r="172" spans="2:6" ht="17">
      <c r="B172" s="206" t="s">
        <v>836</v>
      </c>
      <c r="C172" s="207" t="s">
        <v>51</v>
      </c>
      <c r="D172" s="207" t="s">
        <v>51</v>
      </c>
      <c r="E172" s="210" t="s">
        <v>430</v>
      </c>
      <c r="F172" s="102" t="str">
        <f t="shared" si="10"/>
        <v>TSLK</v>
      </c>
    </row>
    <row r="173" spans="2:6" ht="17">
      <c r="B173" s="206" t="s">
        <v>394</v>
      </c>
      <c r="C173" s="207" t="s">
        <v>51</v>
      </c>
      <c r="D173" s="207" t="s">
        <v>51</v>
      </c>
      <c r="E173" s="210">
        <v>0</v>
      </c>
      <c r="F173" s="102" t="str">
        <f t="shared" si="10"/>
        <v>AEP</v>
      </c>
    </row>
    <row r="174" spans="2:6" ht="17">
      <c r="B174" s="206" t="s">
        <v>395</v>
      </c>
      <c r="C174" s="207" t="s">
        <v>396</v>
      </c>
      <c r="D174" s="207" t="s">
        <v>216</v>
      </c>
      <c r="E174" s="210" t="s">
        <v>397</v>
      </c>
      <c r="F174" s="102" t="str">
        <f t="shared" si="10"/>
        <v>OS</v>
      </c>
    </row>
    <row r="175" spans="2:6" ht="17">
      <c r="B175" s="206" t="s">
        <v>398</v>
      </c>
      <c r="C175" s="207" t="s">
        <v>355</v>
      </c>
      <c r="D175" s="207" t="s">
        <v>216</v>
      </c>
      <c r="E175" s="210" t="s">
        <v>399</v>
      </c>
      <c r="F175" s="102" t="str">
        <f t="shared" si="10"/>
        <v>RB</v>
      </c>
    </row>
    <row r="176" spans="2:6" ht="17">
      <c r="B176" s="206" t="s">
        <v>400</v>
      </c>
      <c r="C176" s="207" t="s">
        <v>401</v>
      </c>
      <c r="D176" s="207" t="s">
        <v>216</v>
      </c>
      <c r="E176" s="210">
        <v>0</v>
      </c>
      <c r="F176" s="102" t="str">
        <f t="shared" si="10"/>
        <v>RW</v>
      </c>
    </row>
    <row r="177" spans="2:7" ht="17">
      <c r="B177" s="206" t="s">
        <v>403</v>
      </c>
      <c r="C177" s="207" t="s">
        <v>46</v>
      </c>
      <c r="D177" s="207" t="s">
        <v>216</v>
      </c>
      <c r="E177" s="210">
        <v>0</v>
      </c>
      <c r="F177" s="102" t="str">
        <f t="shared" si="10"/>
        <v>LK</v>
      </c>
    </row>
    <row r="178" spans="2:7" ht="17">
      <c r="B178" s="206" t="s">
        <v>404</v>
      </c>
      <c r="C178" s="207" t="s">
        <v>46</v>
      </c>
      <c r="D178" s="207" t="s">
        <v>216</v>
      </c>
      <c r="E178" s="210" t="s">
        <v>405</v>
      </c>
      <c r="F178" s="102" t="str">
        <f t="shared" si="10"/>
        <v>MA</v>
      </c>
    </row>
    <row r="179" spans="2:7" ht="17">
      <c r="B179" s="206" t="s">
        <v>406</v>
      </c>
      <c r="C179" s="207" t="s">
        <v>342</v>
      </c>
      <c r="D179" s="207" t="s">
        <v>216</v>
      </c>
      <c r="E179" s="210">
        <v>0</v>
      </c>
      <c r="F179" s="102" t="str">
        <f t="shared" si="10"/>
        <v>GRCL</v>
      </c>
    </row>
    <row r="180" spans="2:7" ht="17">
      <c r="B180" s="206" t="s">
        <v>407</v>
      </c>
      <c r="C180" s="207" t="s">
        <v>46</v>
      </c>
      <c r="D180" s="207" t="s">
        <v>216</v>
      </c>
      <c r="E180" s="210">
        <v>0</v>
      </c>
      <c r="F180" s="102" t="str">
        <f t="shared" si="10"/>
        <v>LT</v>
      </c>
    </row>
    <row r="181" spans="2:7" ht="17">
      <c r="B181" s="206" t="s">
        <v>408</v>
      </c>
      <c r="C181" s="207" t="s">
        <v>409</v>
      </c>
      <c r="D181" s="207" t="s">
        <v>216</v>
      </c>
      <c r="E181" s="210" t="s">
        <v>410</v>
      </c>
      <c r="F181" s="102" t="str">
        <f t="shared" si="10"/>
        <v>FD</v>
      </c>
    </row>
    <row r="182" spans="2:7" ht="17">
      <c r="B182" s="206" t="s">
        <v>1569</v>
      </c>
      <c r="C182" s="207" t="s">
        <v>1562</v>
      </c>
      <c r="D182" s="207" t="s">
        <v>216</v>
      </c>
      <c r="E182" s="210" t="s">
        <v>1563</v>
      </c>
      <c r="F182" s="102" t="str">
        <f t="shared" si="10"/>
        <v>TPGL</v>
      </c>
      <c r="G182" s="208" t="s">
        <v>1194</v>
      </c>
    </row>
    <row r="183" spans="2:7" ht="17">
      <c r="B183" s="206" t="s">
        <v>1568</v>
      </c>
      <c r="C183" s="207" t="s">
        <v>1564</v>
      </c>
      <c r="D183" s="207" t="s">
        <v>1092</v>
      </c>
      <c r="E183" s="210" t="s">
        <v>1563</v>
      </c>
      <c r="F183" s="102" t="str">
        <f t="shared" si="10"/>
        <v>TPGL</v>
      </c>
      <c r="G183" s="208" t="s">
        <v>1194</v>
      </c>
    </row>
    <row r="184" spans="2:7" ht="17">
      <c r="B184" s="206" t="s">
        <v>1567</v>
      </c>
      <c r="C184" s="207" t="s">
        <v>1566</v>
      </c>
      <c r="D184" s="207" t="s">
        <v>1092</v>
      </c>
      <c r="E184" s="210" t="s">
        <v>1565</v>
      </c>
      <c r="F184" s="102" t="str">
        <f t="shared" si="10"/>
        <v>TPGL</v>
      </c>
      <c r="G184" s="208" t="s">
        <v>1194</v>
      </c>
    </row>
    <row r="185" spans="2:7" ht="17">
      <c r="B185" s="206" t="s">
        <v>411</v>
      </c>
      <c r="C185" s="207" t="s">
        <v>412</v>
      </c>
      <c r="D185" s="207" t="s">
        <v>856</v>
      </c>
      <c r="E185" s="210" t="s">
        <v>1195</v>
      </c>
      <c r="F185" s="102" t="str">
        <f t="shared" si="10"/>
        <v>TPGL</v>
      </c>
      <c r="G185" s="208" t="s">
        <v>1194</v>
      </c>
    </row>
    <row r="186" spans="2:7" ht="17">
      <c r="B186" s="206" t="s">
        <v>630</v>
      </c>
      <c r="C186" s="207" t="s">
        <v>631</v>
      </c>
      <c r="D186" s="207" t="s">
        <v>342</v>
      </c>
      <c r="E186" s="210" t="s">
        <v>1274</v>
      </c>
      <c r="F186" s="102" t="str">
        <f t="shared" si="10"/>
        <v>TPGL</v>
      </c>
      <c r="G186" s="208" t="s">
        <v>1275</v>
      </c>
    </row>
    <row r="187" spans="2:7" ht="17">
      <c r="B187" s="206" t="s">
        <v>795</v>
      </c>
      <c r="C187" s="207" t="s">
        <v>796</v>
      </c>
      <c r="D187" s="207" t="s">
        <v>35</v>
      </c>
      <c r="E187" s="210" t="s">
        <v>1274</v>
      </c>
      <c r="F187" s="102" t="str">
        <f t="shared" si="10"/>
        <v>TPGL</v>
      </c>
      <c r="G187" s="208" t="s">
        <v>1275</v>
      </c>
    </row>
    <row r="188" spans="2:7" ht="17">
      <c r="B188" s="206" t="s">
        <v>1262</v>
      </c>
      <c r="C188" s="207" t="s">
        <v>1263</v>
      </c>
      <c r="D188" s="207" t="s">
        <v>51</v>
      </c>
      <c r="E188" s="210" t="s">
        <v>1274</v>
      </c>
      <c r="F188" s="102" t="str">
        <f t="shared" si="10"/>
        <v>TPGL</v>
      </c>
      <c r="G188" s="208" t="s">
        <v>1275</v>
      </c>
    </row>
    <row r="189" spans="2:7" ht="17">
      <c r="B189" s="206" t="s">
        <v>1264</v>
      </c>
      <c r="C189" s="207" t="s">
        <v>1265</v>
      </c>
      <c r="D189" s="207" t="s">
        <v>51</v>
      </c>
      <c r="E189" s="210" t="s">
        <v>1274</v>
      </c>
      <c r="F189" s="102" t="str">
        <f t="shared" si="10"/>
        <v>TPGL</v>
      </c>
      <c r="G189" s="208" t="s">
        <v>1275</v>
      </c>
    </row>
    <row r="190" spans="2:7" ht="17">
      <c r="B190" s="206" t="s">
        <v>1266</v>
      </c>
      <c r="C190" s="207" t="s">
        <v>1267</v>
      </c>
      <c r="D190" s="207" t="s">
        <v>216</v>
      </c>
      <c r="E190" s="210" t="s">
        <v>1274</v>
      </c>
      <c r="F190" s="102" t="str">
        <f t="shared" si="10"/>
        <v>TPGL</v>
      </c>
      <c r="G190" s="208" t="s">
        <v>1275</v>
      </c>
    </row>
    <row r="191" spans="2:7" ht="17">
      <c r="B191" s="206" t="s">
        <v>1281</v>
      </c>
      <c r="C191" s="207" t="s">
        <v>564</v>
      </c>
      <c r="D191" s="207" t="s">
        <v>216</v>
      </c>
      <c r="E191" s="210" t="s">
        <v>1274</v>
      </c>
      <c r="F191" s="102" t="str">
        <f t="shared" si="10"/>
        <v>TPGL</v>
      </c>
      <c r="G191" s="208" t="s">
        <v>1275</v>
      </c>
    </row>
    <row r="192" spans="2:7" ht="17">
      <c r="B192" s="206" t="s">
        <v>413</v>
      </c>
      <c r="C192" s="207" t="s">
        <v>414</v>
      </c>
      <c r="D192" s="207" t="s">
        <v>216</v>
      </c>
      <c r="E192" s="210" t="s">
        <v>415</v>
      </c>
      <c r="F192" s="102" t="str">
        <f t="shared" si="10"/>
        <v>SN</v>
      </c>
    </row>
    <row r="193" spans="2:6" ht="17">
      <c r="B193" s="206" t="s">
        <v>416</v>
      </c>
      <c r="C193" s="207" t="s">
        <v>355</v>
      </c>
      <c r="D193" s="207" t="s">
        <v>216</v>
      </c>
      <c r="E193" s="210" t="s">
        <v>417</v>
      </c>
      <c r="F193" s="102" t="str">
        <f t="shared" si="10"/>
        <v>GKK</v>
      </c>
    </row>
    <row r="194" spans="2:6" ht="17">
      <c r="B194" s="206" t="s">
        <v>418</v>
      </c>
      <c r="C194" s="207" t="s">
        <v>419</v>
      </c>
      <c r="D194" s="207" t="s">
        <v>216</v>
      </c>
      <c r="E194" s="210" t="s">
        <v>420</v>
      </c>
      <c r="F194" s="102" t="str">
        <f t="shared" si="10"/>
        <v>BK</v>
      </c>
    </row>
    <row r="195" spans="2:6" ht="17">
      <c r="B195" s="206" t="s">
        <v>421</v>
      </c>
      <c r="C195" s="207" t="s">
        <v>35</v>
      </c>
      <c r="D195" s="207" t="s">
        <v>35</v>
      </c>
      <c r="E195" s="210" t="s">
        <v>422</v>
      </c>
      <c r="F195" s="102" t="str">
        <f t="shared" ref="F195:F258" si="11">UPPER(LEFT(B195,1)) &amp; IFERROR(UPPER(LEFT(MID(B195,FIND(" ",B195)+1,LEN(B195)),1)),"") &amp; IFERROR(UPPER(LEFT(MID(B195,FIND(" ",B195,FIND(" ",B195)+1)+1,LEN(B195)),1)),"") &amp; IFERROR(UPPER(LEFT(MID(B195,FIND(" ",B195,FIND(" ",B195,FIND(" ",B195)+1)+1)+1,LEN(B195)),1)),"")</f>
        <v>GA</v>
      </c>
    </row>
    <row r="196" spans="2:6" ht="34">
      <c r="B196" s="206" t="s">
        <v>423</v>
      </c>
      <c r="C196" s="207" t="s">
        <v>424</v>
      </c>
      <c r="D196" s="207" t="s">
        <v>35</v>
      </c>
      <c r="E196" s="210" t="s">
        <v>425</v>
      </c>
      <c r="F196" s="102" t="str">
        <f t="shared" si="11"/>
        <v>MN</v>
      </c>
    </row>
    <row r="197" spans="2:6" ht="17">
      <c r="B197" s="206" t="s">
        <v>1771</v>
      </c>
      <c r="C197" s="207" t="s">
        <v>35</v>
      </c>
      <c r="D197" s="207" t="s">
        <v>956</v>
      </c>
      <c r="E197" s="210" t="s">
        <v>427</v>
      </c>
      <c r="F197" s="102" t="str">
        <f t="shared" si="11"/>
        <v>DB-D</v>
      </c>
    </row>
    <row r="198" spans="2:6" ht="17">
      <c r="B198" s="206" t="s">
        <v>428</v>
      </c>
      <c r="C198" s="207" t="s">
        <v>157</v>
      </c>
      <c r="D198" s="207" t="s">
        <v>216</v>
      </c>
      <c r="E198" s="210">
        <v>0</v>
      </c>
      <c r="F198" s="102" t="str">
        <f t="shared" si="11"/>
        <v>MA</v>
      </c>
    </row>
    <row r="199" spans="2:6" ht="17">
      <c r="B199" s="206" t="s">
        <v>429</v>
      </c>
      <c r="C199" s="207" t="s">
        <v>355</v>
      </c>
      <c r="D199" s="207" t="s">
        <v>216</v>
      </c>
      <c r="E199" s="210" t="s">
        <v>430</v>
      </c>
      <c r="F199" s="102" t="str">
        <f t="shared" si="11"/>
        <v>TSLW</v>
      </c>
    </row>
    <row r="200" spans="2:6" ht="17">
      <c r="B200" s="206" t="s">
        <v>431</v>
      </c>
      <c r="C200" s="207" t="s">
        <v>42</v>
      </c>
      <c r="D200" s="207" t="s">
        <v>956</v>
      </c>
      <c r="E200" s="210">
        <v>0</v>
      </c>
      <c r="F200" s="102" t="str">
        <f t="shared" si="11"/>
        <v>HFI</v>
      </c>
    </row>
    <row r="201" spans="2:6" ht="17">
      <c r="B201" s="206" t="s">
        <v>432</v>
      </c>
      <c r="C201" s="207" t="s">
        <v>241</v>
      </c>
      <c r="D201" s="207" t="s">
        <v>216</v>
      </c>
      <c r="E201" s="210" t="s">
        <v>359</v>
      </c>
      <c r="F201" s="102" t="str">
        <f t="shared" si="11"/>
        <v>ROTT</v>
      </c>
    </row>
    <row r="202" spans="2:6" ht="17">
      <c r="B202" s="206" t="s">
        <v>433</v>
      </c>
      <c r="C202" s="207" t="s">
        <v>46</v>
      </c>
      <c r="D202" s="207" t="s">
        <v>216</v>
      </c>
      <c r="E202" s="210" t="s">
        <v>434</v>
      </c>
      <c r="F202" s="102" t="str">
        <f t="shared" si="11"/>
        <v>KAN</v>
      </c>
    </row>
    <row r="203" spans="2:6" ht="17">
      <c r="B203" s="206" t="s">
        <v>435</v>
      </c>
      <c r="C203" s="207" t="s">
        <v>419</v>
      </c>
      <c r="D203" s="207" t="s">
        <v>216</v>
      </c>
      <c r="E203" s="210" t="s">
        <v>436</v>
      </c>
      <c r="F203" s="102" t="str">
        <f t="shared" si="11"/>
        <v>EA</v>
      </c>
    </row>
    <row r="204" spans="2:6" ht="17">
      <c r="B204" s="206" t="s">
        <v>437</v>
      </c>
      <c r="C204" s="207" t="s">
        <v>438</v>
      </c>
      <c r="D204" s="207" t="s">
        <v>216</v>
      </c>
      <c r="E204" s="210" t="s">
        <v>439</v>
      </c>
      <c r="F204" s="102" t="str">
        <f t="shared" si="11"/>
        <v>CP</v>
      </c>
    </row>
    <row r="205" spans="2:6" ht="17">
      <c r="B205" s="206" t="s">
        <v>440</v>
      </c>
      <c r="C205" s="207" t="s">
        <v>38</v>
      </c>
      <c r="D205" s="207" t="s">
        <v>216</v>
      </c>
      <c r="E205" s="210" t="s">
        <v>441</v>
      </c>
      <c r="F205" s="102" t="str">
        <f t="shared" si="11"/>
        <v>MH</v>
      </c>
    </row>
    <row r="206" spans="2:6" ht="17">
      <c r="B206" s="206" t="s">
        <v>442</v>
      </c>
      <c r="C206" s="207" t="s">
        <v>35</v>
      </c>
      <c r="D206" s="207" t="s">
        <v>35</v>
      </c>
      <c r="E206" s="210">
        <v>0</v>
      </c>
      <c r="F206" s="102" t="str">
        <f t="shared" si="11"/>
        <v>MPM</v>
      </c>
    </row>
    <row r="207" spans="2:6" ht="34">
      <c r="B207" s="206" t="s">
        <v>443</v>
      </c>
      <c r="C207" s="207" t="s">
        <v>424</v>
      </c>
      <c r="D207" s="207" t="s">
        <v>35</v>
      </c>
      <c r="E207" s="210" t="s">
        <v>444</v>
      </c>
      <c r="F207" s="102" t="str">
        <f t="shared" si="11"/>
        <v>MB</v>
      </c>
    </row>
    <row r="208" spans="2:6" ht="17">
      <c r="B208" s="206" t="s">
        <v>445</v>
      </c>
      <c r="C208" s="207" t="s">
        <v>446</v>
      </c>
      <c r="D208" s="207" t="s">
        <v>35</v>
      </c>
      <c r="E208" s="210" t="s">
        <v>447</v>
      </c>
      <c r="F208" s="102" t="str">
        <f t="shared" si="11"/>
        <v>ME</v>
      </c>
    </row>
    <row r="209" spans="2:6" ht="17">
      <c r="B209" s="206" t="s">
        <v>448</v>
      </c>
      <c r="C209" s="207" t="s">
        <v>241</v>
      </c>
      <c r="D209" s="207" t="s">
        <v>216</v>
      </c>
      <c r="E209" s="210" t="s">
        <v>449</v>
      </c>
      <c r="F209" s="102" t="str">
        <f t="shared" si="11"/>
        <v>JN</v>
      </c>
    </row>
    <row r="210" spans="2:6" ht="17">
      <c r="B210" s="206" t="s">
        <v>450</v>
      </c>
      <c r="C210" s="207" t="s">
        <v>409</v>
      </c>
      <c r="D210" s="207" t="s">
        <v>216</v>
      </c>
      <c r="E210" s="210" t="s">
        <v>451</v>
      </c>
      <c r="F210" s="102" t="str">
        <f t="shared" si="11"/>
        <v>GA</v>
      </c>
    </row>
    <row r="211" spans="2:6" ht="34">
      <c r="B211" s="206" t="s">
        <v>452</v>
      </c>
      <c r="C211" s="207" t="s">
        <v>453</v>
      </c>
      <c r="D211" s="207" t="s">
        <v>35</v>
      </c>
      <c r="E211" s="210" t="s">
        <v>1327</v>
      </c>
      <c r="F211" s="102" t="str">
        <f t="shared" si="11"/>
        <v>M&amp;MA</v>
      </c>
    </row>
    <row r="212" spans="2:6" ht="17">
      <c r="B212" s="206" t="s">
        <v>454</v>
      </c>
      <c r="C212" s="207" t="s">
        <v>455</v>
      </c>
      <c r="D212" s="207" t="s">
        <v>35</v>
      </c>
      <c r="E212" s="210" t="s">
        <v>456</v>
      </c>
      <c r="F212" s="102" t="str">
        <f t="shared" si="11"/>
        <v>JL</v>
      </c>
    </row>
    <row r="213" spans="2:6" ht="17">
      <c r="B213" s="206" t="s">
        <v>457</v>
      </c>
      <c r="C213" s="207" t="s">
        <v>419</v>
      </c>
      <c r="D213" s="207" t="s">
        <v>216</v>
      </c>
      <c r="E213" s="210" t="s">
        <v>458</v>
      </c>
      <c r="F213" s="102" t="str">
        <f t="shared" si="11"/>
        <v>EC</v>
      </c>
    </row>
    <row r="214" spans="2:6" ht="17">
      <c r="B214" s="206" t="s">
        <v>459</v>
      </c>
      <c r="C214" s="207" t="s">
        <v>369</v>
      </c>
      <c r="D214" s="207" t="s">
        <v>216</v>
      </c>
      <c r="E214" s="210" t="s">
        <v>460</v>
      </c>
      <c r="F214" s="102" t="str">
        <f t="shared" si="11"/>
        <v>EAT</v>
      </c>
    </row>
    <row r="215" spans="2:6" ht="17">
      <c r="B215" s="206" t="s">
        <v>461</v>
      </c>
      <c r="C215" s="207" t="s">
        <v>462</v>
      </c>
      <c r="D215" s="207" t="s">
        <v>216</v>
      </c>
      <c r="E215" s="210" t="s">
        <v>383</v>
      </c>
      <c r="F215" s="102" t="str">
        <f t="shared" si="11"/>
        <v>MB-T</v>
      </c>
    </row>
    <row r="216" spans="2:6" ht="17">
      <c r="B216" s="206" t="s">
        <v>463</v>
      </c>
      <c r="C216" s="207" t="s">
        <v>464</v>
      </c>
      <c r="D216" s="207" t="s">
        <v>216</v>
      </c>
      <c r="E216" s="210" t="s">
        <v>465</v>
      </c>
      <c r="F216" s="102" t="str">
        <f t="shared" si="11"/>
        <v>FD</v>
      </c>
    </row>
    <row r="217" spans="2:6" ht="17">
      <c r="B217" s="206" t="s">
        <v>1302</v>
      </c>
      <c r="C217" s="207" t="s">
        <v>466</v>
      </c>
      <c r="D217" s="207" t="s">
        <v>216</v>
      </c>
      <c r="E217" s="210" t="s">
        <v>467</v>
      </c>
      <c r="F217" s="102" t="str">
        <f t="shared" si="11"/>
        <v>SO-A</v>
      </c>
    </row>
    <row r="218" spans="2:6" ht="17">
      <c r="B218" s="206" t="s">
        <v>1301</v>
      </c>
      <c r="C218" s="207" t="s">
        <v>1303</v>
      </c>
      <c r="D218" s="207" t="s">
        <v>955</v>
      </c>
      <c r="E218" s="210" t="s">
        <v>467</v>
      </c>
      <c r="F218" s="102" t="str">
        <f t="shared" si="11"/>
        <v>SO-A</v>
      </c>
    </row>
    <row r="219" spans="2:6" ht="17">
      <c r="B219" s="206" t="s">
        <v>468</v>
      </c>
      <c r="C219" s="207" t="s">
        <v>339</v>
      </c>
      <c r="D219" s="207" t="s">
        <v>216</v>
      </c>
      <c r="E219" s="210" t="s">
        <v>467</v>
      </c>
      <c r="F219" s="102" t="str">
        <f t="shared" si="11"/>
        <v>OES-</v>
      </c>
    </row>
    <row r="220" spans="2:6" ht="17">
      <c r="B220" s="206" t="s">
        <v>469</v>
      </c>
      <c r="C220" s="207" t="s">
        <v>959</v>
      </c>
      <c r="D220" s="207" t="s">
        <v>216</v>
      </c>
      <c r="E220" s="210" t="s">
        <v>470</v>
      </c>
      <c r="F220" s="102" t="str">
        <f t="shared" si="11"/>
        <v>JKK</v>
      </c>
    </row>
    <row r="221" spans="2:6" ht="17">
      <c r="B221" s="206" t="s">
        <v>471</v>
      </c>
      <c r="C221" s="207" t="s">
        <v>464</v>
      </c>
      <c r="D221" s="207" t="s">
        <v>216</v>
      </c>
      <c r="E221" s="210" t="s">
        <v>472</v>
      </c>
      <c r="F221" s="102" t="str">
        <f t="shared" si="11"/>
        <v>DYA</v>
      </c>
    </row>
    <row r="222" spans="2:6" ht="17">
      <c r="B222" s="206" t="s">
        <v>473</v>
      </c>
      <c r="C222" s="207" t="s">
        <v>32</v>
      </c>
      <c r="D222" s="207" t="s">
        <v>216</v>
      </c>
      <c r="E222" s="210" t="s">
        <v>474</v>
      </c>
      <c r="F222" s="102" t="str">
        <f t="shared" si="11"/>
        <v>PJA</v>
      </c>
    </row>
    <row r="223" spans="2:6" ht="17">
      <c r="B223" s="206" t="s">
        <v>475</v>
      </c>
      <c r="C223" s="207" t="s">
        <v>476</v>
      </c>
      <c r="D223" s="207" t="s">
        <v>216</v>
      </c>
      <c r="E223" s="210">
        <v>0</v>
      </c>
      <c r="F223" s="102" t="str">
        <f t="shared" si="11"/>
        <v>MWJ</v>
      </c>
    </row>
    <row r="224" spans="2:6" ht="17">
      <c r="B224" s="206" t="s">
        <v>477</v>
      </c>
      <c r="C224" s="207" t="s">
        <v>478</v>
      </c>
      <c r="D224" s="207" t="s">
        <v>958</v>
      </c>
      <c r="E224" s="210">
        <v>0</v>
      </c>
      <c r="F224" s="102" t="str">
        <f t="shared" si="11"/>
        <v>C3OA</v>
      </c>
    </row>
    <row r="225" spans="2:7" ht="17">
      <c r="B225" s="206" t="s">
        <v>479</v>
      </c>
      <c r="C225" s="207" t="s">
        <v>120</v>
      </c>
      <c r="D225" s="207" t="s">
        <v>216</v>
      </c>
      <c r="E225" s="210" t="s">
        <v>480</v>
      </c>
      <c r="F225" s="102" t="str">
        <f t="shared" si="11"/>
        <v>KB</v>
      </c>
    </row>
    <row r="226" spans="2:7" ht="17">
      <c r="B226" s="206" t="s">
        <v>481</v>
      </c>
      <c r="C226" s="207" t="s">
        <v>482</v>
      </c>
      <c r="D226" s="207" t="s">
        <v>35</v>
      </c>
      <c r="E226" s="210" t="s">
        <v>483</v>
      </c>
      <c r="F226" s="102" t="str">
        <f t="shared" si="11"/>
        <v>DA</v>
      </c>
    </row>
    <row r="227" spans="2:7" ht="17">
      <c r="B227" s="206" t="s">
        <v>484</v>
      </c>
      <c r="C227" s="207" t="s">
        <v>69</v>
      </c>
      <c r="D227" s="207" t="s">
        <v>216</v>
      </c>
      <c r="E227" s="210" t="s">
        <v>485</v>
      </c>
      <c r="F227" s="102" t="str">
        <f t="shared" si="11"/>
        <v>MV</v>
      </c>
    </row>
    <row r="228" spans="2:7" ht="17">
      <c r="B228" s="206" t="s">
        <v>486</v>
      </c>
      <c r="C228" s="207" t="s">
        <v>487</v>
      </c>
      <c r="D228" s="207" t="s">
        <v>954</v>
      </c>
      <c r="E228" s="210" t="s">
        <v>488</v>
      </c>
      <c r="F228" s="102" t="str">
        <f t="shared" si="11"/>
        <v>P</v>
      </c>
    </row>
    <row r="229" spans="2:7" ht="17">
      <c r="B229" s="206" t="s">
        <v>489</v>
      </c>
      <c r="C229" s="207" t="s">
        <v>490</v>
      </c>
      <c r="D229" s="207" t="s">
        <v>35</v>
      </c>
      <c r="E229" s="210" t="s">
        <v>491</v>
      </c>
      <c r="F229" s="102" t="str">
        <f t="shared" si="11"/>
        <v>MSA</v>
      </c>
    </row>
    <row r="230" spans="2:7" ht="17">
      <c r="B230" s="206" t="s">
        <v>492</v>
      </c>
      <c r="C230" s="207" t="s">
        <v>493</v>
      </c>
      <c r="D230" s="207" t="s">
        <v>35</v>
      </c>
      <c r="E230" s="210" t="s">
        <v>494</v>
      </c>
      <c r="F230" s="102" t="str">
        <f t="shared" si="11"/>
        <v>MAF</v>
      </c>
    </row>
    <row r="231" spans="2:7" ht="17">
      <c r="B231" s="206" t="s">
        <v>495</v>
      </c>
      <c r="C231" s="207" t="s">
        <v>496</v>
      </c>
      <c r="D231" s="207" t="s">
        <v>216</v>
      </c>
      <c r="E231" s="210" t="s">
        <v>497</v>
      </c>
      <c r="F231" s="102" t="str">
        <f t="shared" si="11"/>
        <v>PCA</v>
      </c>
    </row>
    <row r="232" spans="2:7" ht="17">
      <c r="B232" s="206" t="s">
        <v>498</v>
      </c>
      <c r="C232" s="207" t="s">
        <v>105</v>
      </c>
      <c r="D232" s="207" t="s">
        <v>216</v>
      </c>
      <c r="E232" s="210" t="s">
        <v>499</v>
      </c>
      <c r="F232" s="102" t="str">
        <f t="shared" si="11"/>
        <v>VD</v>
      </c>
    </row>
    <row r="233" spans="2:7" ht="17">
      <c r="B233" s="206" t="s">
        <v>500</v>
      </c>
      <c r="C233" s="207" t="s">
        <v>501</v>
      </c>
      <c r="D233" s="207" t="s">
        <v>35</v>
      </c>
      <c r="E233" s="210" t="s">
        <v>502</v>
      </c>
      <c r="F233" s="102" t="str">
        <f t="shared" si="11"/>
        <v>T</v>
      </c>
    </row>
    <row r="234" spans="2:7" ht="34">
      <c r="B234" s="206" t="s">
        <v>964</v>
      </c>
      <c r="C234" s="207" t="s">
        <v>965</v>
      </c>
      <c r="D234" s="207" t="s">
        <v>216</v>
      </c>
      <c r="E234" s="210" t="s">
        <v>2690</v>
      </c>
      <c r="F234" s="102" t="str">
        <f t="shared" si="11"/>
        <v>DPGL</v>
      </c>
      <c r="G234" s="208" t="s">
        <v>2691</v>
      </c>
    </row>
    <row r="235" spans="2:7" ht="34">
      <c r="B235" s="206" t="s">
        <v>964</v>
      </c>
      <c r="C235" s="207" t="s">
        <v>965</v>
      </c>
      <c r="D235" s="207" t="s">
        <v>216</v>
      </c>
      <c r="E235" s="210" t="s">
        <v>503</v>
      </c>
      <c r="F235" s="102" t="str">
        <f t="shared" si="11"/>
        <v>DPGL</v>
      </c>
      <c r="G235" s="208" t="s">
        <v>1559</v>
      </c>
    </row>
    <row r="236" spans="2:7" ht="34">
      <c r="B236" s="206" t="s">
        <v>964</v>
      </c>
      <c r="C236" s="207" t="s">
        <v>965</v>
      </c>
      <c r="D236" s="207" t="s">
        <v>216</v>
      </c>
      <c r="E236" s="210" t="s">
        <v>1589</v>
      </c>
      <c r="F236" s="102" t="str">
        <f t="shared" si="11"/>
        <v>DPGL</v>
      </c>
      <c r="G236" s="208" t="s">
        <v>1588</v>
      </c>
    </row>
    <row r="237" spans="2:7" ht="17">
      <c r="B237" s="206" t="s">
        <v>504</v>
      </c>
      <c r="C237" s="207" t="s">
        <v>505</v>
      </c>
      <c r="D237" s="207" t="s">
        <v>216</v>
      </c>
      <c r="E237" s="210" t="s">
        <v>506</v>
      </c>
      <c r="F237" s="102" t="str">
        <f t="shared" si="11"/>
        <v>MDA</v>
      </c>
    </row>
    <row r="238" spans="2:7" ht="17">
      <c r="B238" s="206" t="s">
        <v>507</v>
      </c>
      <c r="C238" s="207" t="s">
        <v>111</v>
      </c>
      <c r="D238" s="207" t="s">
        <v>216</v>
      </c>
      <c r="E238" s="210" t="s">
        <v>508</v>
      </c>
      <c r="F238" s="102" t="str">
        <f t="shared" si="11"/>
        <v>SFR</v>
      </c>
    </row>
    <row r="239" spans="2:7" ht="17">
      <c r="B239" s="206" t="s">
        <v>509</v>
      </c>
      <c r="C239" s="207" t="s">
        <v>111</v>
      </c>
      <c r="D239" s="207" t="s">
        <v>216</v>
      </c>
      <c r="E239" s="210" t="s">
        <v>508</v>
      </c>
      <c r="F239" s="102" t="str">
        <f t="shared" si="11"/>
        <v>SFSB</v>
      </c>
    </row>
    <row r="240" spans="2:7" ht="17">
      <c r="B240" s="206" t="s">
        <v>510</v>
      </c>
      <c r="C240" s="207" t="s">
        <v>111</v>
      </c>
      <c r="D240" s="207" t="s">
        <v>216</v>
      </c>
      <c r="E240" s="210" t="s">
        <v>508</v>
      </c>
      <c r="F240" s="102" t="str">
        <f t="shared" si="11"/>
        <v>SFSB</v>
      </c>
    </row>
    <row r="241" spans="2:6" ht="17">
      <c r="B241" s="206" t="s">
        <v>511</v>
      </c>
      <c r="C241" s="207" t="s">
        <v>512</v>
      </c>
      <c r="D241" s="207" t="s">
        <v>956</v>
      </c>
      <c r="E241" s="210" t="s">
        <v>513</v>
      </c>
      <c r="F241" s="102" t="str">
        <f t="shared" si="11"/>
        <v>TIBA</v>
      </c>
    </row>
    <row r="242" spans="2:6" ht="17">
      <c r="B242" s="206" t="s">
        <v>514</v>
      </c>
      <c r="C242" s="207" t="s">
        <v>515</v>
      </c>
      <c r="D242" s="207" t="s">
        <v>216</v>
      </c>
      <c r="E242" s="210" t="s">
        <v>516</v>
      </c>
      <c r="F242" s="102" t="str">
        <f t="shared" si="11"/>
        <v>DGKO</v>
      </c>
    </row>
    <row r="243" spans="2:6" ht="17">
      <c r="B243" s="206" t="s">
        <v>517</v>
      </c>
      <c r="C243" s="207" t="s">
        <v>518</v>
      </c>
      <c r="D243" s="207" t="s">
        <v>954</v>
      </c>
      <c r="E243" s="210">
        <v>0</v>
      </c>
      <c r="F243" s="102" t="str">
        <f t="shared" si="11"/>
        <v>V</v>
      </c>
    </row>
    <row r="244" spans="2:6" ht="17">
      <c r="B244" s="206" t="s">
        <v>1369</v>
      </c>
      <c r="C244" s="207" t="s">
        <v>519</v>
      </c>
      <c r="D244" s="207" t="s">
        <v>216</v>
      </c>
      <c r="E244" s="210" t="s">
        <v>520</v>
      </c>
      <c r="F244" s="102" t="str">
        <f t="shared" si="11"/>
        <v>OC-R</v>
      </c>
    </row>
    <row r="245" spans="2:6" ht="17">
      <c r="B245" s="206" t="s">
        <v>521</v>
      </c>
      <c r="C245" s="207" t="s">
        <v>522</v>
      </c>
      <c r="D245" s="207" t="s">
        <v>216</v>
      </c>
      <c r="E245" s="210" t="s">
        <v>523</v>
      </c>
      <c r="F245" s="102" t="str">
        <f t="shared" si="11"/>
        <v>VA</v>
      </c>
    </row>
    <row r="246" spans="2:6" ht="17">
      <c r="B246" s="206" t="s">
        <v>524</v>
      </c>
      <c r="C246" s="207" t="s">
        <v>466</v>
      </c>
      <c r="D246" s="207" t="s">
        <v>954</v>
      </c>
      <c r="E246" s="210" t="s">
        <v>525</v>
      </c>
      <c r="F246" s="102" t="str">
        <f t="shared" si="11"/>
        <v>MPT</v>
      </c>
    </row>
    <row r="247" spans="2:6" ht="17">
      <c r="B247" s="206" t="s">
        <v>526</v>
      </c>
      <c r="C247" s="207" t="s">
        <v>35</v>
      </c>
      <c r="D247" s="207" t="s">
        <v>35</v>
      </c>
      <c r="E247" s="210">
        <v>0</v>
      </c>
      <c r="F247" s="102" t="str">
        <f t="shared" si="11"/>
        <v>SOF</v>
      </c>
    </row>
    <row r="248" spans="2:6" ht="17">
      <c r="B248" s="206" t="s">
        <v>527</v>
      </c>
      <c r="C248" s="207" t="s">
        <v>528</v>
      </c>
      <c r="D248" s="207" t="s">
        <v>35</v>
      </c>
      <c r="E248" s="210" t="s">
        <v>458</v>
      </c>
      <c r="F248" s="102" t="str">
        <f t="shared" si="11"/>
        <v>AD-W</v>
      </c>
    </row>
    <row r="249" spans="2:6" ht="17">
      <c r="B249" s="206" t="s">
        <v>529</v>
      </c>
      <c r="C249" s="207" t="s">
        <v>337</v>
      </c>
      <c r="D249" s="207" t="s">
        <v>216</v>
      </c>
      <c r="E249" s="210" t="s">
        <v>530</v>
      </c>
      <c r="F249" s="102" t="str">
        <f t="shared" si="11"/>
        <v>VT</v>
      </c>
    </row>
    <row r="250" spans="2:6" ht="17">
      <c r="B250" s="206" t="s">
        <v>531</v>
      </c>
      <c r="C250" s="207" t="s">
        <v>532</v>
      </c>
      <c r="D250" s="207" t="s">
        <v>216</v>
      </c>
      <c r="E250" s="210" t="s">
        <v>533</v>
      </c>
      <c r="F250" s="102" t="str">
        <f t="shared" si="11"/>
        <v>DG</v>
      </c>
    </row>
    <row r="251" spans="2:6" ht="17">
      <c r="B251" s="206" t="s">
        <v>534</v>
      </c>
      <c r="C251" s="207" t="s">
        <v>46</v>
      </c>
      <c r="D251" s="207" t="s">
        <v>216</v>
      </c>
      <c r="E251" s="210" t="s">
        <v>535</v>
      </c>
      <c r="F251" s="102" t="str">
        <f t="shared" si="11"/>
        <v xml:space="preserve"> MND</v>
      </c>
    </row>
    <row r="252" spans="2:6" ht="17">
      <c r="B252" s="206" t="s">
        <v>536</v>
      </c>
      <c r="C252" s="207" t="s">
        <v>537</v>
      </c>
      <c r="D252" s="207" t="s">
        <v>216</v>
      </c>
      <c r="E252" s="210" t="s">
        <v>538</v>
      </c>
      <c r="F252" s="102" t="str">
        <f t="shared" si="11"/>
        <v>MA</v>
      </c>
    </row>
    <row r="253" spans="2:6" ht="17">
      <c r="B253" s="206" t="s">
        <v>539</v>
      </c>
      <c r="C253" s="207" t="s">
        <v>182</v>
      </c>
      <c r="D253" s="207" t="s">
        <v>216</v>
      </c>
      <c r="E253" s="210">
        <v>0</v>
      </c>
      <c r="F253" s="102" t="str">
        <f t="shared" si="11"/>
        <v>MAY</v>
      </c>
    </row>
    <row r="254" spans="2:6" ht="17">
      <c r="B254" s="206" t="s">
        <v>540</v>
      </c>
      <c r="C254" s="207" t="s">
        <v>102</v>
      </c>
      <c r="D254" s="207" t="s">
        <v>216</v>
      </c>
      <c r="E254" s="210" t="s">
        <v>541</v>
      </c>
      <c r="F254" s="102" t="str">
        <f t="shared" si="11"/>
        <v>EA</v>
      </c>
    </row>
    <row r="255" spans="2:6" ht="17">
      <c r="B255" s="206" t="s">
        <v>542</v>
      </c>
      <c r="C255" s="207" t="s">
        <v>543</v>
      </c>
      <c r="D255" s="207" t="s">
        <v>216</v>
      </c>
      <c r="E255" s="210" t="s">
        <v>544</v>
      </c>
      <c r="F255" s="102" t="str">
        <f t="shared" si="11"/>
        <v>KB</v>
      </c>
    </row>
    <row r="256" spans="2:6" ht="17">
      <c r="B256" s="206" t="s">
        <v>545</v>
      </c>
      <c r="C256" s="207" t="s">
        <v>546</v>
      </c>
      <c r="D256" s="207" t="s">
        <v>216</v>
      </c>
      <c r="E256" s="210" t="s">
        <v>547</v>
      </c>
      <c r="F256" s="102" t="str">
        <f t="shared" si="11"/>
        <v>JA</v>
      </c>
    </row>
    <row r="257" spans="2:6" ht="17">
      <c r="B257" s="206" t="s">
        <v>548</v>
      </c>
      <c r="C257" s="207" t="s">
        <v>549</v>
      </c>
      <c r="D257" s="207" t="s">
        <v>216</v>
      </c>
      <c r="E257" s="210" t="s">
        <v>550</v>
      </c>
      <c r="F257" s="102" t="str">
        <f t="shared" si="11"/>
        <v>ND</v>
      </c>
    </row>
    <row r="258" spans="2:6" ht="17">
      <c r="B258" s="206" t="s">
        <v>551</v>
      </c>
      <c r="C258" s="207" t="s">
        <v>32</v>
      </c>
      <c r="D258" s="207" t="s">
        <v>216</v>
      </c>
      <c r="E258" s="210" t="s">
        <v>552</v>
      </c>
      <c r="F258" s="102" t="str">
        <f t="shared" si="11"/>
        <v>NS</v>
      </c>
    </row>
    <row r="259" spans="2:6" ht="17">
      <c r="B259" s="206" t="s">
        <v>553</v>
      </c>
      <c r="C259" s="207" t="s">
        <v>554</v>
      </c>
      <c r="D259" s="207" t="s">
        <v>216</v>
      </c>
      <c r="E259" s="210" t="s">
        <v>555</v>
      </c>
      <c r="F259" s="102" t="str">
        <f t="shared" ref="F259:F322" si="12">UPPER(LEFT(B259,1)) &amp; IFERROR(UPPER(LEFT(MID(B259,FIND(" ",B259)+1,LEN(B259)),1)),"") &amp; IFERROR(UPPER(LEFT(MID(B259,FIND(" ",B259,FIND(" ",B259)+1)+1,LEN(B259)),1)),"") &amp; IFERROR(UPPER(LEFT(MID(B259,FIND(" ",B259,FIND(" ",B259,FIND(" ",B259)+1)+1)+1,LEN(B259)),1)),"")</f>
        <v>JQ</v>
      </c>
    </row>
    <row r="260" spans="2:6" ht="17">
      <c r="B260" s="206" t="s">
        <v>556</v>
      </c>
      <c r="C260" s="207" t="s">
        <v>557</v>
      </c>
      <c r="D260" s="207" t="s">
        <v>216</v>
      </c>
      <c r="E260" s="210" t="s">
        <v>558</v>
      </c>
      <c r="F260" s="102" t="str">
        <f t="shared" si="12"/>
        <v>SBA</v>
      </c>
    </row>
    <row r="261" spans="2:6" ht="17">
      <c r="B261" s="206" t="s">
        <v>559</v>
      </c>
      <c r="C261" s="207" t="s">
        <v>560</v>
      </c>
      <c r="D261" s="207" t="s">
        <v>954</v>
      </c>
      <c r="E261" s="210" t="s">
        <v>561</v>
      </c>
      <c r="F261" s="102" t="str">
        <f t="shared" si="12"/>
        <v>AMC</v>
      </c>
    </row>
    <row r="262" spans="2:6" ht="17">
      <c r="B262" s="206" t="s">
        <v>562</v>
      </c>
      <c r="C262" s="207" t="s">
        <v>26</v>
      </c>
      <c r="D262" s="207" t="s">
        <v>855</v>
      </c>
      <c r="E262" s="210">
        <v>0</v>
      </c>
      <c r="F262" s="102" t="str">
        <f t="shared" si="12"/>
        <v>MBR</v>
      </c>
    </row>
    <row r="263" spans="2:6" ht="17">
      <c r="B263" s="206" t="s">
        <v>563</v>
      </c>
      <c r="C263" s="207" t="s">
        <v>564</v>
      </c>
      <c r="D263" s="207" t="s">
        <v>216</v>
      </c>
      <c r="E263" s="210">
        <v>0</v>
      </c>
      <c r="F263" s="102" t="str">
        <f t="shared" si="12"/>
        <v>T-TF</v>
      </c>
    </row>
    <row r="264" spans="2:6" ht="17">
      <c r="B264" s="206" t="s">
        <v>565</v>
      </c>
      <c r="C264" s="207" t="s">
        <v>566</v>
      </c>
      <c r="D264" s="207" t="s">
        <v>216</v>
      </c>
      <c r="E264" s="210" t="s">
        <v>567</v>
      </c>
      <c r="F264" s="102" t="str">
        <f t="shared" si="12"/>
        <v>FM</v>
      </c>
    </row>
    <row r="265" spans="2:6" ht="17">
      <c r="B265" s="206" t="s">
        <v>568</v>
      </c>
      <c r="C265" s="207" t="s">
        <v>274</v>
      </c>
      <c r="D265" s="207" t="s">
        <v>216</v>
      </c>
      <c r="E265" s="210">
        <v>0</v>
      </c>
      <c r="F265" s="102" t="str">
        <f t="shared" si="12"/>
        <v>SGL</v>
      </c>
    </row>
    <row r="266" spans="2:6" ht="17">
      <c r="B266" s="206" t="s">
        <v>569</v>
      </c>
      <c r="C266" s="207" t="s">
        <v>570</v>
      </c>
      <c r="D266" s="207" t="s">
        <v>960</v>
      </c>
      <c r="E266" s="210" t="s">
        <v>571</v>
      </c>
      <c r="F266" s="102" t="str">
        <f t="shared" si="12"/>
        <v>ILBA</v>
      </c>
    </row>
    <row r="267" spans="2:6" ht="17">
      <c r="B267" s="206" t="s">
        <v>572</v>
      </c>
      <c r="C267" s="207" t="s">
        <v>46</v>
      </c>
      <c r="D267" s="207" t="s">
        <v>46</v>
      </c>
      <c r="E267" s="210" t="s">
        <v>573</v>
      </c>
      <c r="F267" s="102" t="str">
        <f t="shared" si="12"/>
        <v>MN</v>
      </c>
    </row>
    <row r="268" spans="2:6" ht="17">
      <c r="B268" s="206" t="s">
        <v>574</v>
      </c>
      <c r="C268" s="207" t="s">
        <v>72</v>
      </c>
      <c r="D268" s="207" t="s">
        <v>216</v>
      </c>
      <c r="E268" s="210">
        <v>0</v>
      </c>
      <c r="F268" s="102" t="str">
        <f t="shared" si="12"/>
        <v>PT</v>
      </c>
    </row>
    <row r="269" spans="2:6" ht="17">
      <c r="B269" s="206" t="s">
        <v>575</v>
      </c>
      <c r="C269" s="207" t="s">
        <v>576</v>
      </c>
      <c r="D269" s="207" t="s">
        <v>576</v>
      </c>
      <c r="E269" s="210" t="s">
        <v>577</v>
      </c>
      <c r="F269" s="102" t="str">
        <f t="shared" si="12"/>
        <v>FPK</v>
      </c>
    </row>
    <row r="270" spans="2:6" ht="17">
      <c r="B270" s="206" t="s">
        <v>578</v>
      </c>
      <c r="C270" s="207" t="s">
        <v>337</v>
      </c>
      <c r="D270" s="207" t="s">
        <v>216</v>
      </c>
      <c r="E270" s="210" t="s">
        <v>579</v>
      </c>
      <c r="F270" s="102" t="str">
        <f t="shared" si="12"/>
        <v>MB</v>
      </c>
    </row>
    <row r="271" spans="2:6" ht="17">
      <c r="B271" s="206" t="s">
        <v>580</v>
      </c>
      <c r="C271" s="207" t="s">
        <v>581</v>
      </c>
      <c r="D271" s="207" t="s">
        <v>581</v>
      </c>
      <c r="E271" s="210" t="s">
        <v>582</v>
      </c>
      <c r="F271" s="102" t="str">
        <f t="shared" si="12"/>
        <v>ASAL</v>
      </c>
    </row>
    <row r="272" spans="2:6" ht="17">
      <c r="B272" s="206" t="s">
        <v>583</v>
      </c>
      <c r="C272" s="207" t="s">
        <v>42</v>
      </c>
      <c r="D272" s="207" t="s">
        <v>42</v>
      </c>
      <c r="E272" s="210" t="s">
        <v>561</v>
      </c>
      <c r="F272" s="102" t="str">
        <f t="shared" si="12"/>
        <v>T</v>
      </c>
    </row>
    <row r="273" spans="2:7" ht="17">
      <c r="B273" s="206" t="s">
        <v>584</v>
      </c>
      <c r="C273" s="207" t="s">
        <v>102</v>
      </c>
      <c r="D273" s="207" t="s">
        <v>102</v>
      </c>
      <c r="E273" s="210" t="s">
        <v>585</v>
      </c>
      <c r="F273" s="102" t="str">
        <f t="shared" si="12"/>
        <v>BAT</v>
      </c>
    </row>
    <row r="274" spans="2:7" ht="17">
      <c r="B274" s="206" t="s">
        <v>586</v>
      </c>
      <c r="C274" s="207" t="s">
        <v>295</v>
      </c>
      <c r="D274" s="207" t="s">
        <v>295</v>
      </c>
      <c r="E274" s="210" t="s">
        <v>587</v>
      </c>
      <c r="F274" s="102" t="str">
        <f t="shared" si="12"/>
        <v>JA</v>
      </c>
    </row>
    <row r="275" spans="2:7" ht="17">
      <c r="B275" s="206" t="s">
        <v>589</v>
      </c>
      <c r="C275" s="207" t="s">
        <v>120</v>
      </c>
      <c r="D275" s="207" t="s">
        <v>120</v>
      </c>
      <c r="E275" s="210" t="s">
        <v>590</v>
      </c>
      <c r="F275" s="102" t="str">
        <f t="shared" si="12"/>
        <v>MMD</v>
      </c>
    </row>
    <row r="276" spans="2:7" ht="17">
      <c r="B276" s="206" t="s">
        <v>591</v>
      </c>
      <c r="C276" s="207" t="s">
        <v>120</v>
      </c>
      <c r="D276" s="207" t="s">
        <v>120</v>
      </c>
      <c r="E276" s="210" t="s">
        <v>590</v>
      </c>
      <c r="F276" s="102" t="str">
        <f t="shared" si="12"/>
        <v>MMD</v>
      </c>
    </row>
    <row r="277" spans="2:7" ht="17">
      <c r="B277" s="206" t="s">
        <v>592</v>
      </c>
      <c r="C277" s="207" t="s">
        <v>593</v>
      </c>
      <c r="D277" s="207" t="s">
        <v>593</v>
      </c>
      <c r="E277" s="210">
        <v>0</v>
      </c>
      <c r="F277" s="102" t="str">
        <f t="shared" si="12"/>
        <v>CH2</v>
      </c>
    </row>
    <row r="278" spans="2:7" ht="17">
      <c r="B278" s="206" t="s">
        <v>594</v>
      </c>
      <c r="C278" s="207" t="s">
        <v>595</v>
      </c>
      <c r="D278" s="207" t="s">
        <v>595</v>
      </c>
      <c r="E278" s="210" t="s">
        <v>596</v>
      </c>
      <c r="F278" s="102" t="str">
        <f t="shared" si="12"/>
        <v>B</v>
      </c>
    </row>
    <row r="279" spans="2:7" ht="17">
      <c r="B279" s="206" t="s">
        <v>597</v>
      </c>
      <c r="C279" s="207" t="s">
        <v>598</v>
      </c>
      <c r="D279" s="207" t="s">
        <v>598</v>
      </c>
      <c r="E279" s="210" t="s">
        <v>599</v>
      </c>
      <c r="F279" s="102" t="str">
        <f t="shared" si="12"/>
        <v>MSA</v>
      </c>
    </row>
    <row r="280" spans="2:7" ht="17">
      <c r="B280" s="206" t="s">
        <v>600</v>
      </c>
      <c r="C280" s="207" t="s">
        <v>601</v>
      </c>
      <c r="D280" s="207" t="s">
        <v>601</v>
      </c>
      <c r="E280" s="210" t="s">
        <v>602</v>
      </c>
      <c r="F280" s="102" t="str">
        <f t="shared" si="12"/>
        <v>EM</v>
      </c>
    </row>
    <row r="281" spans="2:7" ht="17">
      <c r="B281" s="206" t="s">
        <v>603</v>
      </c>
      <c r="C281" s="207" t="s">
        <v>604</v>
      </c>
      <c r="D281" s="207" t="s">
        <v>604</v>
      </c>
      <c r="E281" s="210" t="s">
        <v>605</v>
      </c>
      <c r="F281" s="102" t="str">
        <f t="shared" si="12"/>
        <v>MA</v>
      </c>
    </row>
    <row r="282" spans="2:7" ht="17">
      <c r="B282" s="206" t="s">
        <v>606</v>
      </c>
      <c r="C282" s="207" t="s">
        <v>607</v>
      </c>
      <c r="D282" s="207" t="s">
        <v>607</v>
      </c>
      <c r="E282" s="210" t="s">
        <v>608</v>
      </c>
      <c r="F282" s="102" t="str">
        <f t="shared" si="12"/>
        <v>N</v>
      </c>
    </row>
    <row r="283" spans="2:7" ht="17">
      <c r="B283" s="206" t="s">
        <v>609</v>
      </c>
      <c r="C283" s="207" t="s">
        <v>607</v>
      </c>
      <c r="D283" s="207" t="s">
        <v>607</v>
      </c>
      <c r="E283" s="210" t="s">
        <v>608</v>
      </c>
      <c r="F283" s="102" t="str">
        <f t="shared" si="12"/>
        <v>N</v>
      </c>
    </row>
    <row r="284" spans="2:7" ht="17">
      <c r="B284" s="206" t="s">
        <v>610</v>
      </c>
      <c r="C284" s="207" t="s">
        <v>337</v>
      </c>
      <c r="D284" s="207" t="s">
        <v>216</v>
      </c>
      <c r="E284" s="210" t="s">
        <v>608</v>
      </c>
      <c r="F284" s="102" t="str">
        <f t="shared" si="12"/>
        <v>GM</v>
      </c>
    </row>
    <row r="285" spans="2:7" ht="17">
      <c r="B285" s="206" t="s">
        <v>611</v>
      </c>
      <c r="C285" s="207" t="s">
        <v>612</v>
      </c>
      <c r="D285" s="207" t="s">
        <v>612</v>
      </c>
      <c r="E285" s="210" t="s">
        <v>613</v>
      </c>
      <c r="F285" s="102" t="str">
        <f t="shared" si="12"/>
        <v>MK</v>
      </c>
    </row>
    <row r="286" spans="2:7" ht="17">
      <c r="B286" s="206" t="s">
        <v>614</v>
      </c>
      <c r="C286" s="207" t="s">
        <v>105</v>
      </c>
      <c r="D286" s="207" t="s">
        <v>105</v>
      </c>
      <c r="E286" s="210" t="s">
        <v>615</v>
      </c>
      <c r="F286" s="102" t="str">
        <f t="shared" si="12"/>
        <v>FP E</v>
      </c>
    </row>
    <row r="287" spans="2:7" ht="17">
      <c r="B287" s="206" t="s">
        <v>616</v>
      </c>
      <c r="C287" s="207" t="s">
        <v>617</v>
      </c>
      <c r="D287" s="207" t="s">
        <v>617</v>
      </c>
      <c r="E287" s="210" t="s">
        <v>618</v>
      </c>
      <c r="F287" s="102" t="str">
        <f t="shared" si="12"/>
        <v>HBC</v>
      </c>
      <c r="G287" s="208" t="s">
        <v>1539</v>
      </c>
    </row>
    <row r="288" spans="2:7" ht="17">
      <c r="B288" s="206" t="s">
        <v>619</v>
      </c>
      <c r="C288" s="207" t="s">
        <v>93</v>
      </c>
      <c r="D288" s="207" t="s">
        <v>93</v>
      </c>
      <c r="E288" s="210">
        <v>0</v>
      </c>
      <c r="F288" s="102" t="str">
        <f t="shared" si="12"/>
        <v>OES</v>
      </c>
    </row>
    <row r="289" spans="2:6" ht="17">
      <c r="B289" s="206" t="s">
        <v>620</v>
      </c>
      <c r="C289" s="207" t="s">
        <v>38</v>
      </c>
      <c r="D289" s="207" t="s">
        <v>38</v>
      </c>
      <c r="E289" s="210" t="s">
        <v>621</v>
      </c>
      <c r="F289" s="102" t="str">
        <f t="shared" si="12"/>
        <v>BE</v>
      </c>
    </row>
    <row r="290" spans="2:6" ht="17">
      <c r="B290" s="206" t="s">
        <v>622</v>
      </c>
      <c r="C290" s="207" t="s">
        <v>623</v>
      </c>
      <c r="D290" s="207" t="s">
        <v>623</v>
      </c>
      <c r="E290" s="210" t="s">
        <v>624</v>
      </c>
      <c r="F290" s="102" t="str">
        <f t="shared" si="12"/>
        <v>HP</v>
      </c>
    </row>
    <row r="291" spans="2:6" ht="17">
      <c r="B291" s="206" t="s">
        <v>625</v>
      </c>
      <c r="C291" s="207" t="s">
        <v>409</v>
      </c>
      <c r="D291" s="207" t="s">
        <v>409</v>
      </c>
      <c r="E291" s="210" t="s">
        <v>626</v>
      </c>
      <c r="F291" s="102" t="str">
        <f t="shared" si="12"/>
        <v>MBY</v>
      </c>
    </row>
    <row r="292" spans="2:6" ht="17">
      <c r="B292" s="206" t="s">
        <v>632</v>
      </c>
      <c r="C292" s="207" t="s">
        <v>342</v>
      </c>
      <c r="D292" s="207" t="s">
        <v>342</v>
      </c>
      <c r="E292" s="210" t="s">
        <v>561</v>
      </c>
      <c r="F292" s="102" t="str">
        <f t="shared" si="12"/>
        <v>TF</v>
      </c>
    </row>
    <row r="293" spans="2:6" ht="17">
      <c r="B293" s="206" t="s">
        <v>633</v>
      </c>
      <c r="C293" s="207" t="s">
        <v>634</v>
      </c>
      <c r="D293" s="207" t="s">
        <v>634</v>
      </c>
      <c r="E293" s="210" t="s">
        <v>635</v>
      </c>
      <c r="F293" s="102" t="str">
        <f t="shared" si="12"/>
        <v>T(1</v>
      </c>
    </row>
    <row r="294" spans="2:6" ht="17">
      <c r="B294" s="206" t="s">
        <v>636</v>
      </c>
      <c r="C294" s="207" t="s">
        <v>634</v>
      </c>
      <c r="D294" s="207" t="s">
        <v>634</v>
      </c>
      <c r="E294" s="210" t="s">
        <v>635</v>
      </c>
      <c r="F294" s="102" t="str">
        <f t="shared" si="12"/>
        <v>T(2</v>
      </c>
    </row>
    <row r="295" spans="2:6" ht="17">
      <c r="B295" s="206" t="s">
        <v>637</v>
      </c>
      <c r="C295" s="207" t="s">
        <v>634</v>
      </c>
      <c r="D295" s="207" t="s">
        <v>634</v>
      </c>
      <c r="E295" s="210" t="s">
        <v>635</v>
      </c>
      <c r="F295" s="102" t="str">
        <f t="shared" si="12"/>
        <v>T(3</v>
      </c>
    </row>
    <row r="296" spans="2:6" ht="17">
      <c r="B296" s="206" t="s">
        <v>638</v>
      </c>
      <c r="C296" s="207" t="s">
        <v>634</v>
      </c>
      <c r="D296" s="207" t="s">
        <v>634</v>
      </c>
      <c r="E296" s="210" t="s">
        <v>635</v>
      </c>
      <c r="F296" s="102" t="str">
        <f t="shared" si="12"/>
        <v>T(4</v>
      </c>
    </row>
    <row r="297" spans="2:6" ht="17">
      <c r="B297" s="206" t="s">
        <v>639</v>
      </c>
      <c r="C297" s="207" t="s">
        <v>634</v>
      </c>
      <c r="D297" s="207" t="s">
        <v>634</v>
      </c>
      <c r="E297" s="210" t="s">
        <v>635</v>
      </c>
      <c r="F297" s="102" t="str">
        <f t="shared" si="12"/>
        <v>T(5</v>
      </c>
    </row>
    <row r="298" spans="2:6" ht="17">
      <c r="B298" s="206" t="s">
        <v>640</v>
      </c>
      <c r="C298" s="207" t="s">
        <v>634</v>
      </c>
      <c r="D298" s="207" t="s">
        <v>634</v>
      </c>
      <c r="E298" s="210" t="s">
        <v>635</v>
      </c>
      <c r="F298" s="102" t="str">
        <f t="shared" si="12"/>
        <v>T(6</v>
      </c>
    </row>
    <row r="299" spans="2:6" ht="17">
      <c r="B299" s="206" t="s">
        <v>641</v>
      </c>
      <c r="C299" s="207" t="s">
        <v>634</v>
      </c>
      <c r="D299" s="207" t="s">
        <v>634</v>
      </c>
      <c r="E299" s="210" t="s">
        <v>635</v>
      </c>
      <c r="F299" s="102" t="str">
        <f t="shared" si="12"/>
        <v>T(7</v>
      </c>
    </row>
    <row r="300" spans="2:6" ht="17">
      <c r="B300" s="206" t="s">
        <v>642</v>
      </c>
      <c r="C300" s="207" t="s">
        <v>634</v>
      </c>
      <c r="D300" s="207" t="s">
        <v>634</v>
      </c>
      <c r="E300" s="210" t="s">
        <v>635</v>
      </c>
      <c r="F300" s="102" t="str">
        <f t="shared" si="12"/>
        <v>T(8</v>
      </c>
    </row>
    <row r="301" spans="2:6" ht="17">
      <c r="B301" s="206" t="s">
        <v>643</v>
      </c>
      <c r="C301" s="207" t="s">
        <v>634</v>
      </c>
      <c r="D301" s="207" t="s">
        <v>634</v>
      </c>
      <c r="E301" s="210" t="s">
        <v>635</v>
      </c>
      <c r="F301" s="102" t="str">
        <f t="shared" si="12"/>
        <v>T(9</v>
      </c>
    </row>
    <row r="302" spans="2:6" ht="17">
      <c r="B302" s="206" t="s">
        <v>644</v>
      </c>
      <c r="C302" s="207" t="s">
        <v>634</v>
      </c>
      <c r="D302" s="207" t="s">
        <v>634</v>
      </c>
      <c r="E302" s="210" t="s">
        <v>635</v>
      </c>
      <c r="F302" s="102" t="str">
        <f t="shared" si="12"/>
        <v>T(1</v>
      </c>
    </row>
    <row r="303" spans="2:6" ht="17">
      <c r="B303" s="206" t="s">
        <v>645</v>
      </c>
      <c r="C303" s="207" t="s">
        <v>634</v>
      </c>
      <c r="D303" s="207" t="s">
        <v>634</v>
      </c>
      <c r="E303" s="210" t="s">
        <v>635</v>
      </c>
      <c r="F303" s="102" t="str">
        <f t="shared" si="12"/>
        <v>T(1</v>
      </c>
    </row>
    <row r="304" spans="2:6" ht="17">
      <c r="B304" s="206" t="s">
        <v>646</v>
      </c>
      <c r="C304" s="207" t="s">
        <v>634</v>
      </c>
      <c r="D304" s="207" t="s">
        <v>634</v>
      </c>
      <c r="E304" s="210" t="s">
        <v>635</v>
      </c>
      <c r="F304" s="102" t="str">
        <f t="shared" si="12"/>
        <v>T(1</v>
      </c>
    </row>
    <row r="305" spans="2:6" ht="17">
      <c r="B305" s="206" t="s">
        <v>647</v>
      </c>
      <c r="C305" s="207" t="s">
        <v>634</v>
      </c>
      <c r="D305" s="207" t="s">
        <v>634</v>
      </c>
      <c r="E305" s="210" t="s">
        <v>635</v>
      </c>
      <c r="F305" s="102" t="str">
        <f t="shared" si="12"/>
        <v>T(1</v>
      </c>
    </row>
    <row r="306" spans="2:6" ht="17">
      <c r="B306" s="206" t="s">
        <v>648</v>
      </c>
      <c r="C306" s="207" t="s">
        <v>634</v>
      </c>
      <c r="D306" s="207" t="s">
        <v>634</v>
      </c>
      <c r="E306" s="210" t="s">
        <v>635</v>
      </c>
      <c r="F306" s="102" t="str">
        <f t="shared" si="12"/>
        <v>T(1A</v>
      </c>
    </row>
    <row r="307" spans="2:6" ht="17">
      <c r="B307" s="206" t="s">
        <v>649</v>
      </c>
      <c r="C307" s="207" t="s">
        <v>634</v>
      </c>
      <c r="D307" s="207" t="s">
        <v>634</v>
      </c>
      <c r="E307" s="210" t="s">
        <v>635</v>
      </c>
      <c r="F307" s="102" t="str">
        <f t="shared" si="12"/>
        <v>T(1</v>
      </c>
    </row>
    <row r="308" spans="2:6" ht="17">
      <c r="B308" s="206" t="s">
        <v>650</v>
      </c>
      <c r="C308" s="207" t="s">
        <v>46</v>
      </c>
      <c r="D308" s="207" t="s">
        <v>46</v>
      </c>
      <c r="E308" s="210" t="s">
        <v>651</v>
      </c>
      <c r="F308" s="102" t="str">
        <f t="shared" si="12"/>
        <v>GOA</v>
      </c>
    </row>
    <row r="309" spans="2:6" ht="17">
      <c r="B309" s="206" t="s">
        <v>652</v>
      </c>
      <c r="C309" s="207" t="s">
        <v>653</v>
      </c>
      <c r="D309" s="207" t="s">
        <v>653</v>
      </c>
      <c r="E309" s="210" t="s">
        <v>654</v>
      </c>
      <c r="F309" s="102" t="str">
        <f t="shared" si="12"/>
        <v>PC-B</v>
      </c>
    </row>
    <row r="310" spans="2:6" ht="17">
      <c r="B310" s="206" t="s">
        <v>655</v>
      </c>
      <c r="C310" s="207" t="s">
        <v>49</v>
      </c>
      <c r="D310" s="207" t="s">
        <v>49</v>
      </c>
      <c r="E310" s="210" t="s">
        <v>651</v>
      </c>
      <c r="F310" s="102" t="str">
        <f t="shared" si="12"/>
        <v>CBB</v>
      </c>
    </row>
    <row r="311" spans="2:6" ht="17">
      <c r="B311" s="206" t="s">
        <v>656</v>
      </c>
      <c r="C311" s="207" t="s">
        <v>657</v>
      </c>
      <c r="D311" s="207" t="s">
        <v>657</v>
      </c>
      <c r="E311" s="210">
        <v>0</v>
      </c>
      <c r="F311" s="102" t="str">
        <f t="shared" si="12"/>
        <v>JEA</v>
      </c>
    </row>
    <row r="312" spans="2:6" ht="17">
      <c r="B312" s="206" t="s">
        <v>658</v>
      </c>
      <c r="C312" s="207" t="s">
        <v>120</v>
      </c>
      <c r="D312" s="207" t="s">
        <v>120</v>
      </c>
      <c r="E312" s="210" t="s">
        <v>659</v>
      </c>
      <c r="F312" s="102" t="str">
        <f t="shared" si="12"/>
        <v>AM</v>
      </c>
    </row>
    <row r="313" spans="2:6" ht="17">
      <c r="B313" s="206" t="s">
        <v>660</v>
      </c>
      <c r="C313" s="207" t="s">
        <v>32</v>
      </c>
      <c r="D313" s="207" t="s">
        <v>32</v>
      </c>
      <c r="E313" s="210" t="s">
        <v>661</v>
      </c>
      <c r="F313" s="102" t="str">
        <f t="shared" si="12"/>
        <v>H</v>
      </c>
    </row>
    <row r="314" spans="2:6" ht="17">
      <c r="B314" s="206" t="s">
        <v>662</v>
      </c>
      <c r="C314" s="207" t="s">
        <v>588</v>
      </c>
      <c r="D314" s="207" t="s">
        <v>588</v>
      </c>
      <c r="E314" s="210" t="s">
        <v>663</v>
      </c>
      <c r="F314" s="102" t="str">
        <f t="shared" si="12"/>
        <v>APS</v>
      </c>
    </row>
    <row r="315" spans="2:6" ht="17">
      <c r="B315" s="206" t="s">
        <v>664</v>
      </c>
      <c r="C315" s="207" t="s">
        <v>46</v>
      </c>
      <c r="D315" s="207" t="s">
        <v>46</v>
      </c>
      <c r="E315" s="210">
        <v>0</v>
      </c>
      <c r="F315" s="102" t="str">
        <f t="shared" si="12"/>
        <v>MO</v>
      </c>
    </row>
    <row r="316" spans="2:6" ht="17">
      <c r="B316" s="206" t="s">
        <v>665</v>
      </c>
      <c r="C316" s="207" t="s">
        <v>666</v>
      </c>
      <c r="D316" s="207" t="s">
        <v>666</v>
      </c>
      <c r="E316" s="210" t="s">
        <v>667</v>
      </c>
      <c r="F316" s="102" t="str">
        <f t="shared" si="12"/>
        <v>JA</v>
      </c>
    </row>
    <row r="317" spans="2:6" ht="17">
      <c r="B317" s="206" t="s">
        <v>668</v>
      </c>
      <c r="C317" s="207" t="s">
        <v>669</v>
      </c>
      <c r="D317" s="207" t="s">
        <v>669</v>
      </c>
      <c r="E317" s="210" t="s">
        <v>670</v>
      </c>
      <c r="F317" s="102" t="str">
        <f t="shared" si="12"/>
        <v>MTB</v>
      </c>
    </row>
    <row r="318" spans="2:6" ht="17">
      <c r="B318" s="206" t="s">
        <v>402</v>
      </c>
      <c r="C318" s="207" t="s">
        <v>671</v>
      </c>
      <c r="D318" s="207" t="s">
        <v>671</v>
      </c>
      <c r="E318" s="210" t="s">
        <v>672</v>
      </c>
      <c r="F318" s="102" t="str">
        <f t="shared" si="12"/>
        <v>M</v>
      </c>
    </row>
    <row r="319" spans="2:6" ht="17">
      <c r="B319" s="206" t="s">
        <v>673</v>
      </c>
      <c r="C319" s="207" t="s">
        <v>671</v>
      </c>
      <c r="D319" s="207" t="s">
        <v>671</v>
      </c>
      <c r="E319" s="210" t="s">
        <v>674</v>
      </c>
      <c r="F319" s="102" t="str">
        <f t="shared" si="12"/>
        <v>JA</v>
      </c>
    </row>
    <row r="320" spans="2:6" ht="17">
      <c r="B320" s="206" t="s">
        <v>675</v>
      </c>
      <c r="C320" s="207" t="s">
        <v>671</v>
      </c>
      <c r="D320" s="207" t="s">
        <v>671</v>
      </c>
      <c r="E320" s="210">
        <v>0</v>
      </c>
      <c r="F320" s="102" t="str">
        <f t="shared" si="12"/>
        <v>EB</v>
      </c>
    </row>
    <row r="321" spans="2:6" ht="17">
      <c r="B321" s="206" t="s">
        <v>676</v>
      </c>
      <c r="C321" s="207" t="s">
        <v>69</v>
      </c>
      <c r="D321" s="207" t="s">
        <v>69</v>
      </c>
      <c r="E321" s="210">
        <v>0</v>
      </c>
      <c r="F321" s="102" t="str">
        <f t="shared" si="12"/>
        <v>KNF</v>
      </c>
    </row>
    <row r="322" spans="2:6" ht="17">
      <c r="B322" s="206" t="s">
        <v>677</v>
      </c>
      <c r="C322" s="207" t="s">
        <v>51</v>
      </c>
      <c r="D322" s="207" t="s">
        <v>51</v>
      </c>
      <c r="E322" s="210">
        <v>0</v>
      </c>
      <c r="F322" s="102" t="str">
        <f t="shared" si="12"/>
        <v>MV</v>
      </c>
    </row>
    <row r="323" spans="2:6" ht="17">
      <c r="B323" s="206" t="s">
        <v>678</v>
      </c>
      <c r="C323" s="207" t="s">
        <v>32</v>
      </c>
      <c r="D323" s="207" t="s">
        <v>32</v>
      </c>
      <c r="E323" s="210">
        <v>0</v>
      </c>
      <c r="F323" s="102" t="str">
        <f t="shared" ref="F323:F386" si="13">UPPER(LEFT(B323,1)) &amp; IFERROR(UPPER(LEFT(MID(B323,FIND(" ",B323)+1,LEN(B323)),1)),"") &amp; IFERROR(UPPER(LEFT(MID(B323,FIND(" ",B323,FIND(" ",B323)+1)+1,LEN(B323)),1)),"") &amp; IFERROR(UPPER(LEFT(MID(B323,FIND(" ",B323,FIND(" ",B323,FIND(" ",B323)+1)+1)+1,LEN(B323)),1)),"")</f>
        <v>MK</v>
      </c>
    </row>
    <row r="324" spans="2:6" ht="17">
      <c r="B324" s="206" t="s">
        <v>679</v>
      </c>
      <c r="C324" s="207" t="s">
        <v>111</v>
      </c>
      <c r="D324" s="207" t="s">
        <v>216</v>
      </c>
      <c r="E324" s="210" t="s">
        <v>680</v>
      </c>
      <c r="F324" s="102" t="str">
        <f t="shared" si="13"/>
        <v>BICL</v>
      </c>
    </row>
    <row r="325" spans="2:6" ht="17">
      <c r="B325" s="206" t="s">
        <v>681</v>
      </c>
      <c r="C325" s="207" t="s">
        <v>170</v>
      </c>
      <c r="D325" s="207" t="s">
        <v>170</v>
      </c>
      <c r="E325" s="210">
        <v>0</v>
      </c>
      <c r="F325" s="102" t="str">
        <f t="shared" si="13"/>
        <v>TP</v>
      </c>
    </row>
    <row r="326" spans="2:6" ht="17">
      <c r="B326" s="206" t="s">
        <v>682</v>
      </c>
      <c r="C326" s="207" t="s">
        <v>683</v>
      </c>
      <c r="D326" s="207" t="s">
        <v>683</v>
      </c>
      <c r="E326" s="210">
        <v>0</v>
      </c>
      <c r="F326" s="102" t="str">
        <f t="shared" si="13"/>
        <v>MP(</v>
      </c>
    </row>
    <row r="327" spans="2:6" ht="17">
      <c r="B327" s="206" t="s">
        <v>685</v>
      </c>
      <c r="C327" s="207" t="s">
        <v>170</v>
      </c>
      <c r="D327" s="207" t="s">
        <v>170</v>
      </c>
      <c r="E327" s="210">
        <v>0</v>
      </c>
      <c r="F327" s="102" t="str">
        <f t="shared" si="13"/>
        <v>MP(</v>
      </c>
    </row>
    <row r="328" spans="2:6" ht="17">
      <c r="B328" s="206" t="s">
        <v>686</v>
      </c>
      <c r="C328" s="207" t="s">
        <v>120</v>
      </c>
      <c r="D328" s="207" t="s">
        <v>120</v>
      </c>
      <c r="E328" s="210" t="s">
        <v>687</v>
      </c>
      <c r="F328" s="102" t="str">
        <f t="shared" si="13"/>
        <v>JT</v>
      </c>
    </row>
    <row r="329" spans="2:6" ht="17">
      <c r="B329" s="206" t="s">
        <v>688</v>
      </c>
      <c r="C329" s="207" t="s">
        <v>337</v>
      </c>
      <c r="D329" s="207" t="s">
        <v>337</v>
      </c>
      <c r="E329" s="210" t="s">
        <v>689</v>
      </c>
      <c r="F329" s="102" t="str">
        <f t="shared" si="13"/>
        <v>GC</v>
      </c>
    </row>
    <row r="330" spans="2:6" ht="17">
      <c r="B330" s="206" t="s">
        <v>690</v>
      </c>
      <c r="C330" s="207" t="s">
        <v>691</v>
      </c>
      <c r="D330" s="207" t="s">
        <v>691</v>
      </c>
      <c r="E330" s="210">
        <v>0</v>
      </c>
      <c r="F330" s="102" t="str">
        <f t="shared" si="13"/>
        <v>JSS</v>
      </c>
    </row>
    <row r="331" spans="2:6" ht="34">
      <c r="B331" s="206" t="s">
        <v>692</v>
      </c>
      <c r="C331" s="207" t="s">
        <v>693</v>
      </c>
      <c r="D331" s="207" t="s">
        <v>693</v>
      </c>
      <c r="E331" s="210" t="s">
        <v>694</v>
      </c>
      <c r="F331" s="102" t="str">
        <f t="shared" si="13"/>
        <v>EZ</v>
      </c>
    </row>
    <row r="332" spans="2:6" ht="17">
      <c r="B332" s="206" t="s">
        <v>695</v>
      </c>
      <c r="C332" s="207" t="s">
        <v>696</v>
      </c>
      <c r="D332" s="207" t="s">
        <v>696</v>
      </c>
      <c r="E332" s="210" t="s">
        <v>697</v>
      </c>
      <c r="F332" s="102" t="str">
        <f t="shared" si="13"/>
        <v>BLBA</v>
      </c>
    </row>
    <row r="333" spans="2:6" ht="17">
      <c r="B333" s="206" t="s">
        <v>698</v>
      </c>
      <c r="C333" s="207" t="s">
        <v>46</v>
      </c>
      <c r="D333" s="207" t="s">
        <v>46</v>
      </c>
      <c r="E333" s="210" t="s">
        <v>699</v>
      </c>
      <c r="F333" s="102" t="str">
        <f t="shared" si="13"/>
        <v>DHBA</v>
      </c>
    </row>
    <row r="334" spans="2:6" ht="17">
      <c r="B334" s="206" t="s">
        <v>700</v>
      </c>
      <c r="C334" s="207" t="s">
        <v>701</v>
      </c>
      <c r="D334" s="207" t="s">
        <v>701</v>
      </c>
      <c r="E334" s="210" t="s">
        <v>702</v>
      </c>
      <c r="F334" s="102" t="str">
        <f t="shared" si="13"/>
        <v>KD</v>
      </c>
    </row>
    <row r="335" spans="2:6" ht="17">
      <c r="B335" s="206" t="s">
        <v>703</v>
      </c>
      <c r="C335" s="207" t="s">
        <v>704</v>
      </c>
      <c r="D335" s="207" t="s">
        <v>704</v>
      </c>
      <c r="E335" s="210" t="s">
        <v>680</v>
      </c>
      <c r="F335" s="102" t="str">
        <f t="shared" si="13"/>
        <v>BIR1</v>
      </c>
    </row>
    <row r="336" spans="2:6" ht="17">
      <c r="B336" s="206" t="s">
        <v>705</v>
      </c>
      <c r="C336" s="207" t="s">
        <v>704</v>
      </c>
      <c r="D336" s="207" t="s">
        <v>704</v>
      </c>
      <c r="E336" s="210" t="s">
        <v>680</v>
      </c>
      <c r="F336" s="102" t="str">
        <f t="shared" si="13"/>
        <v>BIR2</v>
      </c>
    </row>
    <row r="337" spans="2:6" ht="17">
      <c r="B337" s="206" t="s">
        <v>706</v>
      </c>
      <c r="C337" s="207" t="s">
        <v>707</v>
      </c>
      <c r="D337" s="207" t="s">
        <v>707</v>
      </c>
      <c r="E337" s="210" t="s">
        <v>708</v>
      </c>
      <c r="F337" s="102" t="str">
        <f t="shared" si="13"/>
        <v>R</v>
      </c>
    </row>
    <row r="338" spans="2:6" ht="34">
      <c r="B338" s="206" t="s">
        <v>709</v>
      </c>
      <c r="C338" s="207" t="s">
        <v>710</v>
      </c>
      <c r="D338" s="207" t="s">
        <v>710</v>
      </c>
      <c r="E338" s="210" t="s">
        <v>711</v>
      </c>
      <c r="F338" s="102" t="str">
        <f t="shared" si="13"/>
        <v>MSC</v>
      </c>
    </row>
    <row r="339" spans="2:6" ht="17">
      <c r="B339" s="206" t="s">
        <v>712</v>
      </c>
      <c r="C339" s="207" t="s">
        <v>295</v>
      </c>
      <c r="D339" s="207" t="s">
        <v>295</v>
      </c>
      <c r="E339" s="210">
        <v>0</v>
      </c>
      <c r="F339" s="102" t="str">
        <f t="shared" si="13"/>
        <v>D</v>
      </c>
    </row>
    <row r="340" spans="2:6" ht="17">
      <c r="B340" s="206" t="s">
        <v>713</v>
      </c>
      <c r="C340" s="207" t="s">
        <v>389</v>
      </c>
      <c r="D340" s="207" t="s">
        <v>389</v>
      </c>
      <c r="E340" s="210" t="s">
        <v>714</v>
      </c>
      <c r="F340" s="102" t="str">
        <f t="shared" si="13"/>
        <v>SL</v>
      </c>
    </row>
    <row r="341" spans="2:6" ht="17">
      <c r="B341" s="206" t="s">
        <v>715</v>
      </c>
      <c r="C341" s="207" t="s">
        <v>716</v>
      </c>
      <c r="D341" s="207" t="s">
        <v>716</v>
      </c>
      <c r="E341" s="210" t="s">
        <v>717</v>
      </c>
      <c r="F341" s="102" t="str">
        <f t="shared" si="13"/>
        <v>MGD</v>
      </c>
    </row>
    <row r="342" spans="2:6" ht="17">
      <c r="B342" s="206" t="s">
        <v>718</v>
      </c>
      <c r="C342" s="207" t="s">
        <v>46</v>
      </c>
      <c r="D342" s="207" t="s">
        <v>46</v>
      </c>
      <c r="E342" s="210">
        <v>0</v>
      </c>
      <c r="F342" s="102" t="str">
        <f t="shared" si="13"/>
        <v>DB</v>
      </c>
    </row>
    <row r="343" spans="2:6" ht="17">
      <c r="B343" s="206" t="s">
        <v>719</v>
      </c>
      <c r="C343" s="207" t="s">
        <v>32</v>
      </c>
      <c r="D343" s="207" t="s">
        <v>32</v>
      </c>
      <c r="E343" s="210" t="s">
        <v>720</v>
      </c>
      <c r="F343" s="102" t="str">
        <f t="shared" si="13"/>
        <v>PA</v>
      </c>
    </row>
    <row r="344" spans="2:6" ht="17">
      <c r="B344" s="206" t="s">
        <v>721</v>
      </c>
      <c r="C344" s="207" t="s">
        <v>93</v>
      </c>
      <c r="D344" s="207" t="s">
        <v>93</v>
      </c>
      <c r="E344" s="210">
        <v>0</v>
      </c>
      <c r="F344" s="102" t="str">
        <f t="shared" si="13"/>
        <v>TSNW</v>
      </c>
    </row>
    <row r="345" spans="2:6" ht="17">
      <c r="B345" s="206" t="s">
        <v>722</v>
      </c>
      <c r="C345" s="207" t="s">
        <v>332</v>
      </c>
      <c r="D345" s="207" t="s">
        <v>332</v>
      </c>
      <c r="E345" s="210">
        <v>0</v>
      </c>
      <c r="F345" s="102" t="str">
        <f t="shared" si="13"/>
        <v>FADA</v>
      </c>
    </row>
    <row r="346" spans="2:6" ht="17">
      <c r="B346" s="206" t="s">
        <v>723</v>
      </c>
      <c r="C346" s="207" t="s">
        <v>724</v>
      </c>
      <c r="D346" s="207" t="s">
        <v>724</v>
      </c>
      <c r="E346" s="210" t="s">
        <v>725</v>
      </c>
      <c r="F346" s="102" t="str">
        <f t="shared" si="13"/>
        <v>SH</v>
      </c>
    </row>
    <row r="347" spans="2:6" ht="17">
      <c r="B347" s="206" t="s">
        <v>726</v>
      </c>
      <c r="C347" s="207" t="s">
        <v>835</v>
      </c>
      <c r="D347" s="207" t="s">
        <v>835</v>
      </c>
      <c r="E347" s="210">
        <v>0</v>
      </c>
      <c r="F347" s="102" t="str">
        <f t="shared" si="13"/>
        <v>BO</v>
      </c>
    </row>
    <row r="348" spans="2:6" ht="17">
      <c r="B348" s="206" t="s">
        <v>727</v>
      </c>
      <c r="C348" s="207" t="s">
        <v>684</v>
      </c>
      <c r="D348" s="207" t="s">
        <v>684</v>
      </c>
      <c r="E348" s="210" t="s">
        <v>728</v>
      </c>
      <c r="F348" s="102" t="str">
        <f t="shared" si="13"/>
        <v>FE</v>
      </c>
    </row>
    <row r="349" spans="2:6" ht="17">
      <c r="B349" s="206" t="s">
        <v>729</v>
      </c>
      <c r="C349" s="207" t="s">
        <v>730</v>
      </c>
      <c r="D349" s="207" t="s">
        <v>730</v>
      </c>
      <c r="E349" s="210" t="s">
        <v>731</v>
      </c>
      <c r="F349" s="102" t="str">
        <f t="shared" si="13"/>
        <v>E-IC</v>
      </c>
    </row>
    <row r="350" spans="2:6" ht="17">
      <c r="B350" s="206" t="s">
        <v>732</v>
      </c>
      <c r="C350" s="207" t="s">
        <v>170</v>
      </c>
      <c r="D350" s="207" t="s">
        <v>170</v>
      </c>
      <c r="E350" s="210" t="s">
        <v>733</v>
      </c>
      <c r="F350" s="102" t="str">
        <f t="shared" si="13"/>
        <v>MTA</v>
      </c>
    </row>
    <row r="351" spans="2:6" ht="17">
      <c r="B351" s="206" t="s">
        <v>734</v>
      </c>
      <c r="C351" s="207" t="s">
        <v>735</v>
      </c>
      <c r="D351" s="207" t="s">
        <v>735</v>
      </c>
      <c r="E351" s="210" t="s">
        <v>736</v>
      </c>
      <c r="F351" s="102" t="str">
        <f t="shared" si="13"/>
        <v>MIT</v>
      </c>
    </row>
    <row r="352" spans="2:6" ht="17">
      <c r="B352" s="206" t="s">
        <v>737</v>
      </c>
      <c r="C352" s="207" t="s">
        <v>60</v>
      </c>
      <c r="D352" s="207" t="s">
        <v>60</v>
      </c>
      <c r="E352" s="210" t="s">
        <v>61</v>
      </c>
      <c r="F352" s="102" t="str">
        <f t="shared" si="13"/>
        <v>NR</v>
      </c>
    </row>
    <row r="353" spans="2:7" ht="17">
      <c r="B353" s="206" t="s">
        <v>738</v>
      </c>
      <c r="C353" s="207" t="s">
        <v>120</v>
      </c>
      <c r="D353" s="207" t="s">
        <v>120</v>
      </c>
      <c r="E353" s="210" t="s">
        <v>739</v>
      </c>
      <c r="F353" s="102" t="str">
        <f t="shared" si="13"/>
        <v>VKK</v>
      </c>
    </row>
    <row r="354" spans="2:7" ht="17">
      <c r="B354" s="206" t="s">
        <v>740</v>
      </c>
      <c r="C354" s="207" t="s">
        <v>438</v>
      </c>
      <c r="D354" s="207" t="s">
        <v>438</v>
      </c>
      <c r="E354" s="210">
        <v>0</v>
      </c>
      <c r="F354" s="102" t="str">
        <f t="shared" si="13"/>
        <v>VL</v>
      </c>
    </row>
    <row r="355" spans="2:7" ht="17">
      <c r="B355" s="206" t="s">
        <v>741</v>
      </c>
      <c r="C355" s="207" t="s">
        <v>742</v>
      </c>
      <c r="D355" s="207" t="s">
        <v>742</v>
      </c>
      <c r="E355" s="210" t="s">
        <v>743</v>
      </c>
      <c r="F355" s="102" t="str">
        <f t="shared" si="13"/>
        <v>FB</v>
      </c>
    </row>
    <row r="356" spans="2:7" ht="17">
      <c r="B356" s="206" t="s">
        <v>744</v>
      </c>
      <c r="C356" s="207" t="s">
        <v>280</v>
      </c>
      <c r="D356" s="207" t="s">
        <v>280</v>
      </c>
      <c r="E356" s="210">
        <v>0</v>
      </c>
      <c r="F356" s="102" t="str">
        <f t="shared" si="13"/>
        <v>LOU</v>
      </c>
    </row>
    <row r="357" spans="2:7" ht="17">
      <c r="B357" s="206" t="s">
        <v>745</v>
      </c>
      <c r="C357" s="207" t="s">
        <v>746</v>
      </c>
      <c r="D357" s="207" t="s">
        <v>746</v>
      </c>
      <c r="E357" s="210" t="s">
        <v>747</v>
      </c>
      <c r="F357" s="102" t="str">
        <f t="shared" si="13"/>
        <v>JT</v>
      </c>
    </row>
    <row r="358" spans="2:7" ht="17">
      <c r="B358" s="206" t="s">
        <v>748</v>
      </c>
      <c r="C358" s="207" t="s">
        <v>72</v>
      </c>
      <c r="D358" s="207" t="s">
        <v>72</v>
      </c>
      <c r="E358" s="210" t="s">
        <v>260</v>
      </c>
      <c r="F358" s="102" t="str">
        <f t="shared" si="13"/>
        <v>NGLH</v>
      </c>
    </row>
    <row r="359" spans="2:7" ht="17">
      <c r="B359" s="206" t="s">
        <v>749</v>
      </c>
      <c r="C359" s="207" t="s">
        <v>750</v>
      </c>
      <c r="D359" s="207" t="s">
        <v>750</v>
      </c>
      <c r="E359" s="210">
        <v>0</v>
      </c>
      <c r="F359" s="102" t="str">
        <f t="shared" si="13"/>
        <v>JAH</v>
      </c>
    </row>
    <row r="360" spans="2:7" ht="17">
      <c r="B360" s="206" t="s">
        <v>751</v>
      </c>
      <c r="C360" s="207" t="s">
        <v>752</v>
      </c>
      <c r="D360" s="207" t="s">
        <v>752</v>
      </c>
      <c r="E360" s="210" t="s">
        <v>753</v>
      </c>
      <c r="F360" s="102" t="str">
        <f t="shared" si="13"/>
        <v>DC</v>
      </c>
    </row>
    <row r="361" spans="2:7" ht="17">
      <c r="B361" s="206" t="s">
        <v>1285</v>
      </c>
      <c r="C361" s="207" t="s">
        <v>216</v>
      </c>
      <c r="D361" s="207" t="s">
        <v>216</v>
      </c>
      <c r="E361" s="210" t="s">
        <v>309</v>
      </c>
      <c r="F361" s="102" t="str">
        <f t="shared" si="13"/>
        <v>SSE</v>
      </c>
      <c r="G361" s="208" t="s">
        <v>1355</v>
      </c>
    </row>
    <row r="362" spans="2:7" ht="17">
      <c r="B362" s="206" t="s">
        <v>754</v>
      </c>
      <c r="C362" s="207" t="s">
        <v>300</v>
      </c>
      <c r="D362" s="207" t="s">
        <v>300</v>
      </c>
      <c r="E362" s="210">
        <v>0</v>
      </c>
      <c r="F362" s="102" t="str">
        <f t="shared" si="13"/>
        <v>D</v>
      </c>
    </row>
    <row r="363" spans="2:7" ht="17">
      <c r="B363" s="206" t="s">
        <v>755</v>
      </c>
      <c r="C363" s="207" t="s">
        <v>752</v>
      </c>
      <c r="D363" s="207" t="s">
        <v>752</v>
      </c>
      <c r="E363" s="210">
        <v>0</v>
      </c>
      <c r="F363" s="102" t="str">
        <f t="shared" si="13"/>
        <v>AMW</v>
      </c>
    </row>
    <row r="364" spans="2:7" ht="17">
      <c r="B364" s="206" t="s">
        <v>756</v>
      </c>
      <c r="C364" s="207" t="s">
        <v>32</v>
      </c>
      <c r="D364" s="207" t="s">
        <v>32</v>
      </c>
      <c r="E364" s="210">
        <v>0</v>
      </c>
      <c r="F364" s="102" t="str">
        <f t="shared" si="13"/>
        <v>VN</v>
      </c>
    </row>
    <row r="365" spans="2:7" ht="17">
      <c r="B365" s="206" t="s">
        <v>757</v>
      </c>
      <c r="C365" s="207" t="s">
        <v>49</v>
      </c>
      <c r="D365" s="207" t="s">
        <v>49</v>
      </c>
      <c r="E365" s="210">
        <v>0</v>
      </c>
      <c r="F365" s="102" t="str">
        <f t="shared" si="13"/>
        <v>RA</v>
      </c>
    </row>
    <row r="366" spans="2:7" ht="17">
      <c r="B366" s="206" t="s">
        <v>758</v>
      </c>
      <c r="C366" s="207" t="s">
        <v>120</v>
      </c>
      <c r="D366" s="207" t="s">
        <v>120</v>
      </c>
      <c r="E366" s="210">
        <v>0</v>
      </c>
      <c r="F366" s="102" t="str">
        <f t="shared" si="13"/>
        <v>MEM</v>
      </c>
    </row>
    <row r="367" spans="2:7" ht="17">
      <c r="B367" s="206" t="s">
        <v>759</v>
      </c>
      <c r="C367" s="207" t="s">
        <v>581</v>
      </c>
      <c r="D367" s="207" t="s">
        <v>581</v>
      </c>
      <c r="E367" s="210">
        <v>0</v>
      </c>
      <c r="F367" s="102" t="str">
        <f t="shared" si="13"/>
        <v>MAG</v>
      </c>
    </row>
    <row r="368" spans="2:7" ht="17">
      <c r="B368" s="206" t="s">
        <v>760</v>
      </c>
      <c r="C368" s="207" t="s">
        <v>761</v>
      </c>
      <c r="D368" s="207" t="s">
        <v>761</v>
      </c>
      <c r="E368" s="210" t="s">
        <v>1548</v>
      </c>
      <c r="F368" s="102" t="str">
        <f t="shared" si="13"/>
        <v>BS</v>
      </c>
      <c r="G368" s="208" t="s">
        <v>1553</v>
      </c>
    </row>
    <row r="369" spans="2:6" ht="17">
      <c r="B369" s="206" t="s">
        <v>762</v>
      </c>
      <c r="C369" s="207" t="s">
        <v>627</v>
      </c>
      <c r="D369" s="207" t="s">
        <v>627</v>
      </c>
      <c r="E369" s="210" t="s">
        <v>763</v>
      </c>
      <c r="F369" s="102" t="str">
        <f t="shared" si="13"/>
        <v>SA-Q</v>
      </c>
    </row>
    <row r="370" spans="2:6" ht="17">
      <c r="B370" s="206" t="s">
        <v>764</v>
      </c>
      <c r="C370" s="207" t="s">
        <v>409</v>
      </c>
      <c r="D370" s="207" t="s">
        <v>409</v>
      </c>
      <c r="E370" s="210">
        <v>0</v>
      </c>
      <c r="F370" s="102" t="str">
        <f t="shared" si="13"/>
        <v>NO</v>
      </c>
    </row>
    <row r="371" spans="2:6" ht="17">
      <c r="B371" s="206" t="s">
        <v>765</v>
      </c>
      <c r="C371" s="207" t="s">
        <v>766</v>
      </c>
      <c r="D371" s="207" t="s">
        <v>766</v>
      </c>
      <c r="E371" s="210">
        <v>0</v>
      </c>
      <c r="F371" s="102" t="str">
        <f t="shared" si="13"/>
        <v>PI</v>
      </c>
    </row>
    <row r="372" spans="2:6" ht="17">
      <c r="B372" s="206" t="s">
        <v>768</v>
      </c>
      <c r="C372" s="207" t="s">
        <v>426</v>
      </c>
      <c r="D372" s="207" t="s">
        <v>426</v>
      </c>
      <c r="E372" s="210" t="s">
        <v>769</v>
      </c>
      <c r="F372" s="102" t="str">
        <f t="shared" si="13"/>
        <v>PG-P</v>
      </c>
    </row>
    <row r="373" spans="2:6" ht="17">
      <c r="B373" s="206" t="s">
        <v>772</v>
      </c>
      <c r="C373" s="207" t="s">
        <v>773</v>
      </c>
      <c r="D373" s="207" t="s">
        <v>773</v>
      </c>
      <c r="E373" s="210">
        <v>0</v>
      </c>
      <c r="F373" s="102" t="str">
        <f t="shared" si="13"/>
        <v>TO</v>
      </c>
    </row>
    <row r="374" spans="2:6" ht="17">
      <c r="B374" s="206" t="s">
        <v>774</v>
      </c>
      <c r="C374" s="207" t="s">
        <v>775</v>
      </c>
      <c r="D374" s="207" t="s">
        <v>775</v>
      </c>
      <c r="E374" s="210">
        <v>0</v>
      </c>
      <c r="F374" s="102" t="str">
        <f t="shared" si="13"/>
        <v>OL</v>
      </c>
    </row>
    <row r="375" spans="2:6" ht="17">
      <c r="B375" s="206" t="s">
        <v>776</v>
      </c>
      <c r="C375" s="207" t="s">
        <v>777</v>
      </c>
      <c r="D375" s="207" t="s">
        <v>777</v>
      </c>
      <c r="E375" s="210">
        <v>0</v>
      </c>
      <c r="F375" s="102" t="str">
        <f t="shared" si="13"/>
        <v>PPF</v>
      </c>
    </row>
    <row r="376" spans="2:6" ht="17">
      <c r="B376" s="206" t="s">
        <v>778</v>
      </c>
      <c r="C376" s="207" t="s">
        <v>779</v>
      </c>
      <c r="D376" s="207" t="s">
        <v>779</v>
      </c>
      <c r="E376" s="210" t="s">
        <v>780</v>
      </c>
      <c r="F376" s="102" t="str">
        <f t="shared" si="13"/>
        <v>SCL</v>
      </c>
    </row>
    <row r="377" spans="2:6" ht="17">
      <c r="B377" s="206" t="s">
        <v>834</v>
      </c>
      <c r="C377" s="207" t="s">
        <v>123</v>
      </c>
      <c r="D377" s="207" t="s">
        <v>123</v>
      </c>
      <c r="E377" s="210">
        <v>0</v>
      </c>
      <c r="F377" s="102" t="str">
        <f t="shared" si="13"/>
        <v>U</v>
      </c>
    </row>
    <row r="378" spans="2:6" ht="17">
      <c r="B378" s="206" t="s">
        <v>781</v>
      </c>
      <c r="C378" s="207" t="s">
        <v>684</v>
      </c>
      <c r="D378" s="207" t="s">
        <v>684</v>
      </c>
      <c r="E378" s="210">
        <v>0</v>
      </c>
      <c r="F378" s="102" t="str">
        <f t="shared" si="13"/>
        <v>MGA</v>
      </c>
    </row>
    <row r="379" spans="2:6" ht="17">
      <c r="B379" s="206" t="s">
        <v>782</v>
      </c>
      <c r="C379" s="207" t="s">
        <v>691</v>
      </c>
      <c r="D379" s="207" t="s">
        <v>691</v>
      </c>
      <c r="E379" s="210">
        <v>0</v>
      </c>
      <c r="F379" s="102" t="str">
        <f t="shared" si="13"/>
        <v>AAL</v>
      </c>
    </row>
    <row r="380" spans="2:6" ht="17">
      <c r="B380" s="206" t="s">
        <v>833</v>
      </c>
      <c r="C380" s="207" t="s">
        <v>784</v>
      </c>
      <c r="D380" s="207" t="s">
        <v>784</v>
      </c>
      <c r="E380" s="210">
        <v>0</v>
      </c>
      <c r="F380" s="102" t="str">
        <f t="shared" si="13"/>
        <v>RHPA</v>
      </c>
    </row>
    <row r="381" spans="2:6" ht="17">
      <c r="B381" s="206" t="s">
        <v>783</v>
      </c>
      <c r="C381" s="207" t="s">
        <v>784</v>
      </c>
      <c r="D381" s="207" t="s">
        <v>784</v>
      </c>
      <c r="E381" s="210">
        <v>0</v>
      </c>
      <c r="F381" s="102" t="str">
        <f t="shared" si="13"/>
        <v>RPAM</v>
      </c>
    </row>
    <row r="382" spans="2:6" ht="17">
      <c r="B382" s="206" t="s">
        <v>785</v>
      </c>
      <c r="C382" s="207" t="s">
        <v>786</v>
      </c>
      <c r="D382" s="207" t="s">
        <v>786</v>
      </c>
      <c r="E382" s="210" t="s">
        <v>787</v>
      </c>
      <c r="F382" s="102" t="str">
        <f t="shared" si="13"/>
        <v>NAC</v>
      </c>
    </row>
    <row r="383" spans="2:6" ht="17">
      <c r="B383" s="206" t="s">
        <v>832</v>
      </c>
      <c r="C383" s="207" t="s">
        <v>786</v>
      </c>
      <c r="D383" s="207" t="s">
        <v>786</v>
      </c>
      <c r="E383" s="210" t="s">
        <v>787</v>
      </c>
      <c r="F383" s="102" t="str">
        <f t="shared" si="13"/>
        <v>NAC</v>
      </c>
    </row>
    <row r="384" spans="2:6" ht="17">
      <c r="B384" s="206" t="s">
        <v>788</v>
      </c>
      <c r="C384" s="207" t="s">
        <v>831</v>
      </c>
      <c r="D384" s="207" t="s">
        <v>831</v>
      </c>
      <c r="E384" s="210">
        <v>0</v>
      </c>
      <c r="F384" s="102" t="str">
        <f t="shared" si="13"/>
        <v>P</v>
      </c>
    </row>
    <row r="385" spans="2:6" ht="17">
      <c r="B385" s="206" t="s">
        <v>789</v>
      </c>
      <c r="C385" s="207" t="s">
        <v>44</v>
      </c>
      <c r="D385" s="207" t="s">
        <v>44</v>
      </c>
      <c r="E385" s="210" t="s">
        <v>790</v>
      </c>
      <c r="F385" s="102" t="str">
        <f t="shared" si="13"/>
        <v>AA</v>
      </c>
    </row>
    <row r="386" spans="2:6" ht="17">
      <c r="B386" s="206" t="s">
        <v>791</v>
      </c>
      <c r="C386" s="207" t="s">
        <v>792</v>
      </c>
      <c r="D386" s="207" t="s">
        <v>792</v>
      </c>
      <c r="E386" s="210">
        <v>0</v>
      </c>
      <c r="F386" s="102" t="str">
        <f t="shared" si="13"/>
        <v>DLPR</v>
      </c>
    </row>
    <row r="387" spans="2:6" ht="17">
      <c r="B387" s="206" t="s">
        <v>793</v>
      </c>
      <c r="C387" s="207" t="s">
        <v>794</v>
      </c>
      <c r="D387" s="207" t="s">
        <v>794</v>
      </c>
      <c r="E387" s="210">
        <v>0</v>
      </c>
      <c r="F387" s="102" t="str">
        <f t="shared" ref="F387:F450" si="14">UPPER(LEFT(B387,1)) &amp; IFERROR(UPPER(LEFT(MID(B387,FIND(" ",B387)+1,LEN(B387)),1)),"") &amp; IFERROR(UPPER(LEFT(MID(B387,FIND(" ",B387,FIND(" ",B387)+1)+1,LEN(B387)),1)),"") &amp; IFERROR(UPPER(LEFT(MID(B387,FIND(" ",B387,FIND(" ",B387,FIND(" ",B387)+1)+1)+1,LEN(B387)),1)),"")</f>
        <v>ALPR</v>
      </c>
    </row>
    <row r="388" spans="2:6" ht="17">
      <c r="B388" s="206" t="s">
        <v>830</v>
      </c>
      <c r="C388" s="207" t="s">
        <v>35</v>
      </c>
      <c r="D388" s="207" t="s">
        <v>35</v>
      </c>
      <c r="E388" s="210">
        <v>0</v>
      </c>
      <c r="F388" s="102" t="str">
        <f t="shared" si="14"/>
        <v>BSCL</v>
      </c>
    </row>
    <row r="389" spans="2:6" ht="17">
      <c r="B389" s="206" t="s">
        <v>829</v>
      </c>
      <c r="C389" s="207" t="s">
        <v>828</v>
      </c>
      <c r="D389" s="207" t="s">
        <v>828</v>
      </c>
      <c r="E389" s="210">
        <v>0</v>
      </c>
      <c r="F389" s="102" t="str">
        <f t="shared" si="14"/>
        <v>AS</v>
      </c>
    </row>
    <row r="390" spans="2:6" ht="17">
      <c r="B390" s="206" t="s">
        <v>827</v>
      </c>
      <c r="C390" s="207" t="s">
        <v>826</v>
      </c>
      <c r="D390" s="207" t="s">
        <v>826</v>
      </c>
      <c r="E390" s="210">
        <v>0</v>
      </c>
      <c r="F390" s="102" t="str">
        <f t="shared" si="14"/>
        <v>SF</v>
      </c>
    </row>
    <row r="391" spans="2:6" ht="17">
      <c r="B391" s="206" t="s">
        <v>825</v>
      </c>
      <c r="C391" s="207" t="s">
        <v>771</v>
      </c>
      <c r="D391" s="207" t="s">
        <v>771</v>
      </c>
      <c r="E391" s="210" t="s">
        <v>763</v>
      </c>
      <c r="F391" s="102" t="str">
        <f t="shared" si="14"/>
        <v>SA-R</v>
      </c>
    </row>
    <row r="392" spans="2:6" ht="17">
      <c r="B392" s="206" t="s">
        <v>824</v>
      </c>
      <c r="C392" s="207" t="s">
        <v>823</v>
      </c>
      <c r="D392" s="207" t="s">
        <v>823</v>
      </c>
      <c r="E392" s="210">
        <v>0</v>
      </c>
      <c r="F392" s="102" t="str">
        <f t="shared" si="14"/>
        <v>ME</v>
      </c>
    </row>
    <row r="393" spans="2:6" ht="17">
      <c r="B393" s="206" t="s">
        <v>822</v>
      </c>
      <c r="C393" s="207" t="s">
        <v>35</v>
      </c>
      <c r="D393" s="207" t="s">
        <v>35</v>
      </c>
      <c r="E393" s="210" t="s">
        <v>256</v>
      </c>
      <c r="F393" s="102" t="str">
        <f t="shared" si="14"/>
        <v>NG4C</v>
      </c>
    </row>
    <row r="394" spans="2:6" ht="17">
      <c r="B394" s="206" t="s">
        <v>821</v>
      </c>
      <c r="C394" s="207" t="s">
        <v>35</v>
      </c>
      <c r="D394" s="207" t="s">
        <v>35</v>
      </c>
      <c r="E394" s="210" t="s">
        <v>256</v>
      </c>
      <c r="F394" s="102" t="str">
        <f t="shared" si="14"/>
        <v>NG4B</v>
      </c>
    </row>
    <row r="395" spans="2:6" ht="17">
      <c r="B395" s="206" t="s">
        <v>820</v>
      </c>
      <c r="C395" s="207" t="s">
        <v>35</v>
      </c>
      <c r="D395" s="207" t="s">
        <v>35</v>
      </c>
      <c r="E395" s="210" t="s">
        <v>256</v>
      </c>
      <c r="F395" s="102" t="str">
        <f t="shared" si="14"/>
        <v>NG4D</v>
      </c>
    </row>
    <row r="396" spans="2:6" ht="17">
      <c r="B396" s="206" t="s">
        <v>819</v>
      </c>
      <c r="C396" s="207" t="s">
        <v>35</v>
      </c>
      <c r="D396" s="207" t="s">
        <v>35</v>
      </c>
      <c r="E396" s="210" t="s">
        <v>256</v>
      </c>
      <c r="F396" s="102" t="str">
        <f t="shared" si="14"/>
        <v>NG4I</v>
      </c>
    </row>
    <row r="397" spans="2:6" ht="17">
      <c r="B397" s="206" t="s">
        <v>818</v>
      </c>
      <c r="C397" s="207" t="s">
        <v>120</v>
      </c>
      <c r="D397" s="207" t="s">
        <v>120</v>
      </c>
      <c r="E397" s="210">
        <v>0</v>
      </c>
      <c r="F397" s="102" t="str">
        <f t="shared" si="14"/>
        <v>B-UI</v>
      </c>
    </row>
    <row r="398" spans="2:6" ht="17">
      <c r="B398" s="206" t="s">
        <v>817</v>
      </c>
      <c r="C398" s="207" t="s">
        <v>80</v>
      </c>
      <c r="D398" s="207" t="s">
        <v>80</v>
      </c>
      <c r="E398" s="210">
        <v>0</v>
      </c>
      <c r="F398" s="102" t="str">
        <f t="shared" si="14"/>
        <v>N</v>
      </c>
    </row>
    <row r="399" spans="2:6" ht="17">
      <c r="B399" s="206" t="s">
        <v>816</v>
      </c>
      <c r="C399" s="207" t="s">
        <v>438</v>
      </c>
      <c r="D399" s="207" t="s">
        <v>438</v>
      </c>
      <c r="E399" s="210">
        <v>0</v>
      </c>
      <c r="F399" s="102" t="str">
        <f t="shared" si="14"/>
        <v>I</v>
      </c>
    </row>
    <row r="400" spans="2:6" ht="17">
      <c r="B400" s="206" t="s">
        <v>815</v>
      </c>
      <c r="C400" s="207" t="s">
        <v>324</v>
      </c>
      <c r="D400" s="207" t="s">
        <v>324</v>
      </c>
      <c r="E400" s="210" t="s">
        <v>814</v>
      </c>
      <c r="F400" s="102" t="str">
        <f t="shared" si="14"/>
        <v>EA</v>
      </c>
    </row>
    <row r="401" spans="2:7" ht="17">
      <c r="B401" s="206" t="s">
        <v>813</v>
      </c>
      <c r="C401" s="207" t="s">
        <v>305</v>
      </c>
      <c r="D401" s="207" t="s">
        <v>305</v>
      </c>
      <c r="E401" s="210">
        <v>0</v>
      </c>
      <c r="F401" s="102" t="str">
        <f t="shared" si="14"/>
        <v>MBH</v>
      </c>
    </row>
    <row r="402" spans="2:7" ht="17">
      <c r="B402" s="206" t="s">
        <v>812</v>
      </c>
      <c r="C402" s="207" t="s">
        <v>337</v>
      </c>
      <c r="D402" s="207" t="s">
        <v>337</v>
      </c>
      <c r="E402" s="210" t="s">
        <v>1690</v>
      </c>
      <c r="F402" s="102" t="str">
        <f t="shared" si="14"/>
        <v>SF</v>
      </c>
      <c r="G402" s="208" t="s">
        <v>1689</v>
      </c>
    </row>
    <row r="403" spans="2:7" ht="17">
      <c r="B403" s="206" t="s">
        <v>811</v>
      </c>
      <c r="C403" s="207" t="s">
        <v>809</v>
      </c>
      <c r="D403" s="207" t="s">
        <v>809</v>
      </c>
      <c r="E403" s="210">
        <v>0</v>
      </c>
      <c r="F403" s="102" t="str">
        <f t="shared" si="14"/>
        <v>CH2</v>
      </c>
    </row>
    <row r="404" spans="2:7" ht="17">
      <c r="B404" s="206" t="s">
        <v>810</v>
      </c>
      <c r="C404" s="207" t="s">
        <v>809</v>
      </c>
      <c r="D404" s="207" t="s">
        <v>809</v>
      </c>
      <c r="E404" s="210">
        <v>0</v>
      </c>
      <c r="F404" s="102" t="str">
        <f t="shared" si="14"/>
        <v>CH2</v>
      </c>
    </row>
    <row r="405" spans="2:7" ht="17">
      <c r="B405" s="206" t="s">
        <v>808</v>
      </c>
      <c r="C405" s="207" t="s">
        <v>339</v>
      </c>
      <c r="D405" s="207" t="s">
        <v>339</v>
      </c>
      <c r="E405" s="210">
        <v>0</v>
      </c>
      <c r="F405" s="102" t="str">
        <f t="shared" si="14"/>
        <v>APWF</v>
      </c>
    </row>
    <row r="406" spans="2:7" ht="17">
      <c r="B406" s="206" t="s">
        <v>807</v>
      </c>
      <c r="C406" s="207" t="s">
        <v>29</v>
      </c>
      <c r="D406" s="207" t="s">
        <v>29</v>
      </c>
      <c r="E406" s="210">
        <v>0</v>
      </c>
      <c r="F406" s="102" t="str">
        <f t="shared" si="14"/>
        <v>KA</v>
      </c>
    </row>
    <row r="407" spans="2:7" ht="17">
      <c r="B407" s="206" t="s">
        <v>806</v>
      </c>
      <c r="C407" s="207" t="s">
        <v>805</v>
      </c>
      <c r="D407" s="207" t="s">
        <v>805</v>
      </c>
      <c r="E407" s="210">
        <v>0</v>
      </c>
      <c r="F407" s="102" t="str">
        <f t="shared" si="14"/>
        <v>KBA</v>
      </c>
    </row>
    <row r="408" spans="2:7" ht="17">
      <c r="B408" s="206" t="s">
        <v>804</v>
      </c>
      <c r="C408" s="207" t="s">
        <v>803</v>
      </c>
      <c r="D408" s="207" t="s">
        <v>803</v>
      </c>
      <c r="E408" s="210">
        <v>0</v>
      </c>
      <c r="F408" s="102" t="str">
        <f t="shared" si="14"/>
        <v>RSP</v>
      </c>
    </row>
    <row r="409" spans="2:7" ht="17">
      <c r="B409" s="206" t="s">
        <v>802</v>
      </c>
      <c r="C409" s="207" t="s">
        <v>476</v>
      </c>
      <c r="D409" s="207" t="s">
        <v>476</v>
      </c>
      <c r="E409" s="210">
        <v>0</v>
      </c>
      <c r="F409" s="102" t="str">
        <f t="shared" si="14"/>
        <v>SKK</v>
      </c>
    </row>
    <row r="410" spans="2:7" ht="17">
      <c r="B410" s="206" t="s">
        <v>801</v>
      </c>
      <c r="C410" s="207" t="s">
        <v>801</v>
      </c>
      <c r="D410" s="207" t="s">
        <v>801</v>
      </c>
      <c r="E410" s="210">
        <v>0</v>
      </c>
      <c r="F410" s="102" t="str">
        <f t="shared" si="14"/>
        <v>AP</v>
      </c>
    </row>
    <row r="411" spans="2:7" ht="34">
      <c r="B411" s="206" t="s">
        <v>857</v>
      </c>
      <c r="C411" s="207" t="s">
        <v>858</v>
      </c>
      <c r="D411" s="207" t="s">
        <v>858</v>
      </c>
      <c r="E411" s="207" t="s">
        <v>859</v>
      </c>
      <c r="F411" s="102" t="str">
        <f t="shared" si="14"/>
        <v>LH</v>
      </c>
    </row>
    <row r="412" spans="2:7" ht="17">
      <c r="B412" s="206" t="s">
        <v>1698</v>
      </c>
      <c r="C412" s="207" t="s">
        <v>409</v>
      </c>
      <c r="D412" s="207" t="s">
        <v>216</v>
      </c>
      <c r="E412" s="210" t="s">
        <v>949</v>
      </c>
      <c r="F412" s="102" t="str">
        <f t="shared" si="14"/>
        <v>IA</v>
      </c>
      <c r="G412" s="208" t="s">
        <v>1699</v>
      </c>
    </row>
    <row r="413" spans="2:7" ht="17">
      <c r="B413" s="206" t="s">
        <v>961</v>
      </c>
      <c r="C413" s="207" t="s">
        <v>627</v>
      </c>
      <c r="D413" s="207" t="s">
        <v>216</v>
      </c>
      <c r="E413" s="210" t="s">
        <v>962</v>
      </c>
      <c r="F413" s="102" t="str">
        <f t="shared" si="14"/>
        <v>DNKH</v>
      </c>
      <c r="G413" s="211" t="s">
        <v>963</v>
      </c>
    </row>
    <row r="414" spans="2:7" ht="17">
      <c r="B414" s="206" t="s">
        <v>966</v>
      </c>
      <c r="C414" s="207" t="s">
        <v>216</v>
      </c>
      <c r="D414" s="207" t="s">
        <v>216</v>
      </c>
      <c r="E414" s="210" t="s">
        <v>967</v>
      </c>
      <c r="F414" s="102" t="str">
        <f t="shared" si="14"/>
        <v>MA</v>
      </c>
    </row>
    <row r="415" spans="2:7" ht="17">
      <c r="B415" s="206" t="s">
        <v>970</v>
      </c>
      <c r="C415" s="207" t="s">
        <v>971</v>
      </c>
      <c r="D415" s="207" t="s">
        <v>216</v>
      </c>
      <c r="E415" s="210" t="s">
        <v>972</v>
      </c>
      <c r="F415" s="102" t="str">
        <f t="shared" si="14"/>
        <v>CO</v>
      </c>
    </row>
    <row r="416" spans="2:7" ht="17">
      <c r="B416" s="206" t="s">
        <v>977</v>
      </c>
      <c r="C416" s="207" t="s">
        <v>978</v>
      </c>
      <c r="D416" s="207" t="s">
        <v>216</v>
      </c>
      <c r="E416" s="210" t="s">
        <v>979</v>
      </c>
      <c r="F416" s="102" t="str">
        <f t="shared" si="14"/>
        <v>SA</v>
      </c>
      <c r="G416" s="208" t="str">
        <f ca="1">MID(CELL("filename",B2),FIND("]",CELL("filename",B2))+1,256)</f>
        <v>Client List</v>
      </c>
    </row>
    <row r="417" spans="2:6" ht="17">
      <c r="B417" s="206" t="s">
        <v>980</v>
      </c>
      <c r="C417" s="207" t="s">
        <v>981</v>
      </c>
      <c r="D417" s="207" t="s">
        <v>957</v>
      </c>
      <c r="E417" s="210" t="s">
        <v>982</v>
      </c>
      <c r="F417" s="102" t="str">
        <f t="shared" si="14"/>
        <v>JRB</v>
      </c>
    </row>
    <row r="418" spans="2:6" ht="17">
      <c r="B418" s="206" t="s">
        <v>992</v>
      </c>
      <c r="C418" s="207" t="s">
        <v>993</v>
      </c>
      <c r="D418" s="207" t="s">
        <v>957</v>
      </c>
      <c r="E418" s="210" t="s">
        <v>982</v>
      </c>
      <c r="F418" s="102" t="str">
        <f t="shared" si="14"/>
        <v>JRB-</v>
      </c>
    </row>
    <row r="419" spans="2:6" ht="17">
      <c r="B419" s="206" t="s">
        <v>994</v>
      </c>
      <c r="C419" s="207" t="s">
        <v>995</v>
      </c>
      <c r="D419" s="207" t="s">
        <v>955</v>
      </c>
      <c r="E419" s="210" t="s">
        <v>996</v>
      </c>
      <c r="F419" s="102" t="str">
        <f t="shared" si="14"/>
        <v>PO</v>
      </c>
    </row>
    <row r="420" spans="2:6" ht="17">
      <c r="B420" s="206" t="s">
        <v>1002</v>
      </c>
      <c r="C420" s="207" t="s">
        <v>1003</v>
      </c>
      <c r="D420" s="207" t="s">
        <v>216</v>
      </c>
      <c r="F420" s="102" t="str">
        <f t="shared" si="14"/>
        <v>BGB</v>
      </c>
    </row>
    <row r="421" spans="2:6" ht="17">
      <c r="B421" s="206" t="s">
        <v>1004</v>
      </c>
      <c r="C421" s="207" t="s">
        <v>219</v>
      </c>
      <c r="D421" s="207" t="s">
        <v>216</v>
      </c>
      <c r="E421" s="210" t="s">
        <v>1005</v>
      </c>
      <c r="F421" s="102" t="str">
        <f t="shared" si="14"/>
        <v>RO</v>
      </c>
    </row>
    <row r="422" spans="2:6" ht="17">
      <c r="B422" s="206" t="s">
        <v>1068</v>
      </c>
      <c r="C422" s="207" t="s">
        <v>280</v>
      </c>
      <c r="D422" s="207" t="s">
        <v>216</v>
      </c>
      <c r="E422" s="210" t="s">
        <v>1069</v>
      </c>
      <c r="F422" s="102" t="str">
        <f t="shared" si="14"/>
        <v>ROC</v>
      </c>
    </row>
    <row r="423" spans="2:6" ht="17">
      <c r="B423" s="206" t="s">
        <v>1071</v>
      </c>
      <c r="C423" s="207" t="s">
        <v>216</v>
      </c>
      <c r="D423" s="207" t="s">
        <v>216</v>
      </c>
      <c r="F423" s="102" t="str">
        <f t="shared" si="14"/>
        <v>U-S1</v>
      </c>
    </row>
    <row r="424" spans="2:6" ht="17">
      <c r="B424" s="206" t="s">
        <v>1072</v>
      </c>
      <c r="C424" s="207" t="s">
        <v>216</v>
      </c>
      <c r="D424" s="207" t="s">
        <v>216</v>
      </c>
      <c r="F424" s="102" t="str">
        <f t="shared" si="14"/>
        <v>U-S2</v>
      </c>
    </row>
    <row r="425" spans="2:6" ht="34">
      <c r="B425" s="206" t="s">
        <v>1073</v>
      </c>
      <c r="C425" s="207" t="s">
        <v>1074</v>
      </c>
      <c r="D425" s="207" t="s">
        <v>216</v>
      </c>
      <c r="E425" s="210" t="s">
        <v>1075</v>
      </c>
      <c r="F425" s="102" t="str">
        <f t="shared" si="14"/>
        <v>AP</v>
      </c>
    </row>
    <row r="426" spans="2:6" ht="17">
      <c r="B426" s="206" t="s">
        <v>1077</v>
      </c>
      <c r="C426" s="207" t="s">
        <v>216</v>
      </c>
      <c r="D426" s="207" t="s">
        <v>216</v>
      </c>
      <c r="E426" s="210" t="s">
        <v>1076</v>
      </c>
      <c r="F426" s="102" t="str">
        <f t="shared" si="14"/>
        <v>EA</v>
      </c>
    </row>
    <row r="427" spans="2:6" ht="17">
      <c r="B427" s="206" t="s">
        <v>1340</v>
      </c>
      <c r="C427" s="207" t="s">
        <v>216</v>
      </c>
      <c r="D427" s="207" t="s">
        <v>216</v>
      </c>
      <c r="E427" s="210" t="s">
        <v>1078</v>
      </c>
      <c r="F427" s="102" t="str">
        <f t="shared" si="14"/>
        <v>J-A</v>
      </c>
    </row>
    <row r="428" spans="2:6" ht="17">
      <c r="B428" s="206" t="s">
        <v>1094</v>
      </c>
      <c r="C428" s="207" t="s">
        <v>216</v>
      </c>
      <c r="D428" s="207" t="s">
        <v>216</v>
      </c>
      <c r="E428" s="210" t="s">
        <v>1095</v>
      </c>
      <c r="F428" s="102" t="str">
        <f t="shared" si="14"/>
        <v>RI</v>
      </c>
    </row>
    <row r="429" spans="2:6" ht="17">
      <c r="B429" s="206" t="s">
        <v>1096</v>
      </c>
      <c r="C429" s="207" t="s">
        <v>352</v>
      </c>
      <c r="D429" s="207" t="s">
        <v>216</v>
      </c>
      <c r="E429" s="210" t="s">
        <v>1097</v>
      </c>
      <c r="F429" s="102" t="str">
        <f t="shared" si="14"/>
        <v>AB</v>
      </c>
    </row>
    <row r="430" spans="2:6" ht="17">
      <c r="B430" s="206" t="s">
        <v>1098</v>
      </c>
      <c r="C430" s="207" t="s">
        <v>216</v>
      </c>
      <c r="D430" s="207" t="s">
        <v>216</v>
      </c>
      <c r="E430" s="210" t="s">
        <v>1099</v>
      </c>
      <c r="F430" s="102" t="str">
        <f t="shared" si="14"/>
        <v>DWA</v>
      </c>
    </row>
    <row r="431" spans="2:6" ht="17">
      <c r="B431" s="206" t="s">
        <v>1100</v>
      </c>
      <c r="C431" s="207" t="s">
        <v>44</v>
      </c>
      <c r="D431" s="207" t="s">
        <v>35</v>
      </c>
      <c r="E431" s="210" t="s">
        <v>1101</v>
      </c>
      <c r="F431" s="102" t="str">
        <f t="shared" si="14"/>
        <v>T</v>
      </c>
    </row>
    <row r="432" spans="2:6" ht="17">
      <c r="B432" s="206" t="s">
        <v>1102</v>
      </c>
      <c r="C432" s="207" t="s">
        <v>1103</v>
      </c>
      <c r="D432" s="207" t="s">
        <v>1086</v>
      </c>
      <c r="F432" s="102" t="str">
        <f t="shared" si="14"/>
        <v>RS</v>
      </c>
    </row>
    <row r="433" spans="2:7" ht="17">
      <c r="B433" s="206" t="s">
        <v>1130</v>
      </c>
      <c r="C433" s="207" t="s">
        <v>42</v>
      </c>
      <c r="D433" s="207" t="s">
        <v>956</v>
      </c>
      <c r="E433" s="210" t="s">
        <v>1131</v>
      </c>
      <c r="F433" s="102" t="str">
        <f t="shared" si="14"/>
        <v>P</v>
      </c>
    </row>
    <row r="434" spans="2:7" ht="17">
      <c r="B434" s="206" t="s">
        <v>1132</v>
      </c>
      <c r="C434" s="207" t="s">
        <v>216</v>
      </c>
      <c r="D434" s="207" t="s">
        <v>216</v>
      </c>
      <c r="E434" s="210" t="s">
        <v>1133</v>
      </c>
      <c r="F434" s="102" t="str">
        <f t="shared" si="14"/>
        <v>P</v>
      </c>
    </row>
    <row r="435" spans="2:7" ht="17">
      <c r="B435" s="206" t="s">
        <v>1149</v>
      </c>
      <c r="C435" s="207" t="s">
        <v>1150</v>
      </c>
      <c r="D435" s="207" t="s">
        <v>954</v>
      </c>
      <c r="E435" s="207" t="s">
        <v>1151</v>
      </c>
      <c r="F435" s="102" t="str">
        <f t="shared" si="14"/>
        <v>JA-D</v>
      </c>
    </row>
    <row r="436" spans="2:7" ht="17">
      <c r="B436" s="206" t="s">
        <v>1695</v>
      </c>
      <c r="C436" s="207" t="s">
        <v>362</v>
      </c>
      <c r="D436" s="207" t="s">
        <v>216</v>
      </c>
      <c r="E436" s="210" t="s">
        <v>1151</v>
      </c>
      <c r="F436" s="102" t="str">
        <f t="shared" si="14"/>
        <v>JA</v>
      </c>
    </row>
    <row r="437" spans="2:7" ht="17">
      <c r="B437" s="206" t="s">
        <v>1172</v>
      </c>
      <c r="C437" s="207" t="s">
        <v>426</v>
      </c>
      <c r="D437" s="207" t="s">
        <v>216</v>
      </c>
      <c r="E437" s="207" t="s">
        <v>1151</v>
      </c>
      <c r="F437" s="102" t="str">
        <f t="shared" si="14"/>
        <v>JA-A</v>
      </c>
    </row>
    <row r="438" spans="2:7" ht="17">
      <c r="B438" s="206" t="s">
        <v>1155</v>
      </c>
      <c r="C438" s="207" t="s">
        <v>396</v>
      </c>
      <c r="D438" s="207" t="s">
        <v>216</v>
      </c>
      <c r="E438" s="210" t="s">
        <v>1156</v>
      </c>
      <c r="F438" s="102" t="str">
        <f t="shared" si="14"/>
        <v>FGL</v>
      </c>
    </row>
    <row r="439" spans="2:7" ht="17">
      <c r="B439" s="206" t="s">
        <v>1160</v>
      </c>
      <c r="C439" s="207" t="s">
        <v>396</v>
      </c>
      <c r="D439" s="207" t="s">
        <v>216</v>
      </c>
      <c r="F439" s="102" t="str">
        <f t="shared" si="14"/>
        <v>SGIS</v>
      </c>
    </row>
    <row r="440" spans="2:7" ht="17">
      <c r="B440" s="206" t="s">
        <v>1161</v>
      </c>
      <c r="C440" s="207" t="s">
        <v>396</v>
      </c>
      <c r="D440" s="207" t="s">
        <v>216</v>
      </c>
      <c r="F440" s="102" t="str">
        <f t="shared" si="14"/>
        <v>SGIS</v>
      </c>
    </row>
    <row r="441" spans="2:7" ht="17">
      <c r="B441" s="206" t="s">
        <v>1163</v>
      </c>
      <c r="C441" s="207" t="s">
        <v>120</v>
      </c>
      <c r="D441" s="207" t="s">
        <v>216</v>
      </c>
      <c r="E441" s="210" t="s">
        <v>1162</v>
      </c>
      <c r="F441" s="102" t="str">
        <f t="shared" si="14"/>
        <v>LNT</v>
      </c>
    </row>
    <row r="442" spans="2:7" ht="17">
      <c r="B442" s="206" t="s">
        <v>1166</v>
      </c>
      <c r="C442" s="207" t="s">
        <v>1165</v>
      </c>
      <c r="D442" s="207" t="s">
        <v>954</v>
      </c>
      <c r="E442" s="210" t="s">
        <v>1167</v>
      </c>
      <c r="F442" s="102" t="str">
        <f t="shared" si="14"/>
        <v>YGL-</v>
      </c>
    </row>
    <row r="443" spans="2:7" ht="17">
      <c r="B443" s="206" t="s">
        <v>1175</v>
      </c>
      <c r="C443" s="207" t="s">
        <v>669</v>
      </c>
      <c r="D443" s="207" t="s">
        <v>35</v>
      </c>
      <c r="E443" s="210" t="s">
        <v>1176</v>
      </c>
      <c r="F443" s="102" t="str">
        <f t="shared" si="14"/>
        <v>KL</v>
      </c>
    </row>
    <row r="444" spans="2:7" ht="17">
      <c r="B444" s="206" t="s">
        <v>1177</v>
      </c>
      <c r="C444" s="207" t="s">
        <v>1178</v>
      </c>
      <c r="D444" s="207" t="s">
        <v>216</v>
      </c>
      <c r="E444" s="210" t="s">
        <v>1179</v>
      </c>
      <c r="F444" s="102" t="str">
        <f t="shared" si="14"/>
        <v>BK</v>
      </c>
    </row>
    <row r="445" spans="2:7" s="212" customFormat="1" ht="34">
      <c r="B445" s="206" t="s">
        <v>1180</v>
      </c>
      <c r="C445" s="207" t="s">
        <v>1181</v>
      </c>
      <c r="D445" s="207" t="s">
        <v>1182</v>
      </c>
      <c r="E445" s="210" t="s">
        <v>1183</v>
      </c>
      <c r="F445" s="102" t="str">
        <f t="shared" si="14"/>
        <v>SS1L</v>
      </c>
      <c r="G445" s="208" t="s">
        <v>1184</v>
      </c>
    </row>
    <row r="446" spans="2:7" ht="17">
      <c r="B446" s="206" t="s">
        <v>1192</v>
      </c>
      <c r="C446" s="207" t="s">
        <v>32</v>
      </c>
      <c r="D446" s="207" t="s">
        <v>216</v>
      </c>
      <c r="F446" s="102" t="str">
        <f t="shared" si="14"/>
        <v>EA</v>
      </c>
    </row>
    <row r="447" spans="2:7" ht="17">
      <c r="B447" s="206" t="s">
        <v>1216</v>
      </c>
      <c r="C447" s="207" t="s">
        <v>809</v>
      </c>
      <c r="D447" s="207" t="s">
        <v>216</v>
      </c>
      <c r="E447" s="207" t="s">
        <v>216</v>
      </c>
      <c r="F447" s="102" t="str">
        <f t="shared" si="14"/>
        <v>CH2</v>
      </c>
    </row>
    <row r="448" spans="2:7" ht="34">
      <c r="B448" s="206" t="s">
        <v>1220</v>
      </c>
      <c r="C448" s="207" t="s">
        <v>1221</v>
      </c>
      <c r="D448" s="207" t="s">
        <v>1502</v>
      </c>
      <c r="E448" s="210" t="s">
        <v>1222</v>
      </c>
      <c r="F448" s="102" t="str">
        <f t="shared" si="14"/>
        <v>EEFT</v>
      </c>
    </row>
    <row r="449" spans="2:7" ht="17">
      <c r="B449" s="206" t="s">
        <v>1225</v>
      </c>
      <c r="C449" s="207" t="s">
        <v>120</v>
      </c>
      <c r="D449" s="207" t="s">
        <v>216</v>
      </c>
      <c r="E449" s="210" t="s">
        <v>1226</v>
      </c>
      <c r="F449" s="102" t="str">
        <f t="shared" si="14"/>
        <v>CCBC</v>
      </c>
    </row>
    <row r="450" spans="2:7" ht="17">
      <c r="B450" s="206" t="s">
        <v>1229</v>
      </c>
      <c r="C450" s="207" t="s">
        <v>32</v>
      </c>
      <c r="D450" s="207" t="s">
        <v>216</v>
      </c>
      <c r="E450" s="210" t="s">
        <v>1230</v>
      </c>
      <c r="F450" s="102" t="str">
        <f t="shared" si="14"/>
        <v>DMCL</v>
      </c>
    </row>
    <row r="451" spans="2:7" ht="17">
      <c r="B451" s="206" t="s">
        <v>1234</v>
      </c>
      <c r="C451" s="207" t="s">
        <v>72</v>
      </c>
      <c r="D451" s="207" t="s">
        <v>216</v>
      </c>
      <c r="F451" s="102" t="str">
        <f t="shared" ref="F451:F514" si="15">UPPER(LEFT(B451,1)) &amp; IFERROR(UPPER(LEFT(MID(B451,FIND(" ",B451)+1,LEN(B451)),1)),"") &amp; IFERROR(UPPER(LEFT(MID(B451,FIND(" ",B451,FIND(" ",B451)+1)+1,LEN(B451)),1)),"") &amp; IFERROR(UPPER(LEFT(MID(B451,FIND(" ",B451,FIND(" ",B451,FIND(" ",B451)+1)+1)+1,LEN(B451)),1)),"")</f>
        <v>AS-D</v>
      </c>
    </row>
    <row r="452" spans="2:7" ht="17">
      <c r="B452" s="206" t="s">
        <v>2419</v>
      </c>
      <c r="C452" s="207" t="s">
        <v>72</v>
      </c>
      <c r="D452" s="207" t="s">
        <v>216</v>
      </c>
      <c r="F452" s="102" t="str">
        <f t="shared" si="15"/>
        <v>AS-A</v>
      </c>
    </row>
    <row r="453" spans="2:7" ht="17">
      <c r="B453" s="206" t="s">
        <v>2420</v>
      </c>
      <c r="C453" s="207" t="s">
        <v>72</v>
      </c>
      <c r="D453" s="207" t="s">
        <v>216</v>
      </c>
      <c r="F453" s="102" t="str">
        <f t="shared" si="15"/>
        <v>AS-R</v>
      </c>
    </row>
    <row r="454" spans="2:7" ht="17">
      <c r="B454" s="206" t="s">
        <v>1237</v>
      </c>
      <c r="C454" s="207" t="s">
        <v>57</v>
      </c>
      <c r="D454" s="207" t="s">
        <v>954</v>
      </c>
      <c r="E454" s="210" t="s">
        <v>1238</v>
      </c>
      <c r="F454" s="102" t="str">
        <f t="shared" si="15"/>
        <v>MMG</v>
      </c>
    </row>
    <row r="455" spans="2:7" ht="17">
      <c r="B455" s="206" t="s">
        <v>1239</v>
      </c>
      <c r="C455" s="207" t="s">
        <v>1240</v>
      </c>
      <c r="D455" s="207" t="s">
        <v>216</v>
      </c>
      <c r="E455" s="210" t="s">
        <v>1241</v>
      </c>
      <c r="F455" s="102" t="str">
        <f t="shared" si="15"/>
        <v>DA</v>
      </c>
    </row>
    <row r="456" spans="2:7" ht="17">
      <c r="B456" s="206" t="s">
        <v>1243</v>
      </c>
      <c r="C456" s="207" t="s">
        <v>823</v>
      </c>
      <c r="D456" s="207" t="s">
        <v>216</v>
      </c>
      <c r="E456" s="210" t="s">
        <v>1244</v>
      </c>
      <c r="F456" s="102" t="str">
        <f t="shared" si="15"/>
        <v>HCL</v>
      </c>
    </row>
    <row r="457" spans="2:7" ht="17">
      <c r="B457" s="206" t="s">
        <v>1247</v>
      </c>
      <c r="C457" s="207" t="s">
        <v>216</v>
      </c>
      <c r="D457" s="207" t="s">
        <v>216</v>
      </c>
      <c r="E457" s="210" t="s">
        <v>1248</v>
      </c>
      <c r="F457" s="102" t="str">
        <f t="shared" si="15"/>
        <v>SI</v>
      </c>
      <c r="G457" s="208" t="s">
        <v>1249</v>
      </c>
    </row>
    <row r="458" spans="2:7" ht="34">
      <c r="B458" s="206" t="s">
        <v>1256</v>
      </c>
      <c r="C458" s="207" t="s">
        <v>1257</v>
      </c>
      <c r="D458" s="207" t="s">
        <v>1257</v>
      </c>
      <c r="E458" s="210" t="s">
        <v>1259</v>
      </c>
      <c r="F458" s="102" t="str">
        <f t="shared" si="15"/>
        <v>AAP</v>
      </c>
    </row>
    <row r="459" spans="2:7" ht="17">
      <c r="B459" s="206" t="s">
        <v>1260</v>
      </c>
      <c r="C459" s="207" t="s">
        <v>746</v>
      </c>
      <c r="D459" s="207" t="s">
        <v>35</v>
      </c>
      <c r="E459" s="210" t="s">
        <v>1261</v>
      </c>
      <c r="F459" s="102" t="str">
        <f t="shared" si="15"/>
        <v>EM</v>
      </c>
    </row>
    <row r="460" spans="2:7" ht="17">
      <c r="B460" s="206" t="s">
        <v>1277</v>
      </c>
      <c r="C460" s="207" t="s">
        <v>51</v>
      </c>
      <c r="D460" s="207" t="s">
        <v>51</v>
      </c>
      <c r="E460" s="210" t="s">
        <v>1278</v>
      </c>
      <c r="F460" s="102" t="str">
        <f t="shared" si="15"/>
        <v>CGEC</v>
      </c>
    </row>
    <row r="461" spans="2:7" ht="17">
      <c r="B461" s="206" t="s">
        <v>1284</v>
      </c>
      <c r="C461" s="207" t="s">
        <v>216</v>
      </c>
      <c r="D461" s="207" t="s">
        <v>216</v>
      </c>
      <c r="F461" s="102" t="str">
        <f t="shared" si="15"/>
        <v>NAO</v>
      </c>
    </row>
    <row r="462" spans="2:7" ht="17">
      <c r="B462" s="206" t="s">
        <v>1286</v>
      </c>
      <c r="C462" s="207" t="s">
        <v>86</v>
      </c>
      <c r="D462" s="207" t="s">
        <v>216</v>
      </c>
      <c r="F462" s="102" t="str">
        <f t="shared" si="15"/>
        <v>KO</v>
      </c>
    </row>
    <row r="463" spans="2:7" ht="17">
      <c r="B463" s="206" t="s">
        <v>1287</v>
      </c>
      <c r="C463" s="207" t="s">
        <v>1288</v>
      </c>
      <c r="D463" s="207" t="s">
        <v>216</v>
      </c>
      <c r="E463" s="210" t="s">
        <v>1289</v>
      </c>
      <c r="F463" s="102" t="str">
        <f t="shared" si="15"/>
        <v>SA</v>
      </c>
    </row>
    <row r="464" spans="2:7" ht="17">
      <c r="B464" s="206" t="s">
        <v>1290</v>
      </c>
      <c r="C464" s="207" t="s">
        <v>1292</v>
      </c>
      <c r="D464" s="207" t="s">
        <v>960</v>
      </c>
      <c r="E464" s="210" t="s">
        <v>1291</v>
      </c>
      <c r="F464" s="102" t="str">
        <f t="shared" si="15"/>
        <v>AVTI</v>
      </c>
      <c r="G464" s="208" t="s">
        <v>629</v>
      </c>
    </row>
    <row r="465" spans="2:250" ht="34">
      <c r="B465" s="206" t="s">
        <v>1293</v>
      </c>
      <c r="C465" s="207" t="s">
        <v>352</v>
      </c>
      <c r="D465" s="207" t="s">
        <v>216</v>
      </c>
      <c r="E465" s="210" t="s">
        <v>1294</v>
      </c>
      <c r="F465" s="102" t="str">
        <f t="shared" si="15"/>
        <v>PK</v>
      </c>
    </row>
    <row r="466" spans="2:250" ht="17">
      <c r="B466" s="206" t="s">
        <v>1295</v>
      </c>
      <c r="C466" s="207" t="s">
        <v>216</v>
      </c>
      <c r="D466" s="207" t="s">
        <v>216</v>
      </c>
      <c r="F466" s="102" t="str">
        <f t="shared" si="15"/>
        <v>1SS</v>
      </c>
    </row>
    <row r="467" spans="2:250" ht="17">
      <c r="B467" s="206" t="s">
        <v>1297</v>
      </c>
      <c r="C467" s="207" t="s">
        <v>1298</v>
      </c>
      <c r="D467" s="207" t="s">
        <v>35</v>
      </c>
      <c r="E467" s="210" t="s">
        <v>731</v>
      </c>
      <c r="F467" s="102" t="str">
        <f t="shared" si="15"/>
        <v>E-IC</v>
      </c>
    </row>
    <row r="468" spans="2:250" ht="17">
      <c r="B468" s="206" t="s">
        <v>1590</v>
      </c>
      <c r="C468" s="207" t="s">
        <v>29</v>
      </c>
      <c r="D468" s="207" t="s">
        <v>216</v>
      </c>
      <c r="E468" s="210" t="s">
        <v>1305</v>
      </c>
      <c r="F468" s="102" t="str">
        <f t="shared" si="15"/>
        <v>ES-K</v>
      </c>
    </row>
    <row r="469" spans="2:250" ht="17">
      <c r="B469" s="206" t="s">
        <v>1591</v>
      </c>
      <c r="C469" s="207" t="s">
        <v>32</v>
      </c>
      <c r="D469" s="207" t="s">
        <v>216</v>
      </c>
      <c r="E469" s="210" t="s">
        <v>1305</v>
      </c>
      <c r="F469" s="102" t="str">
        <f t="shared" si="15"/>
        <v>ES-E</v>
      </c>
    </row>
    <row r="470" spans="2:250" ht="17">
      <c r="B470" s="206" t="s">
        <v>1306</v>
      </c>
      <c r="C470" s="207" t="s">
        <v>1307</v>
      </c>
      <c r="D470" s="207" t="s">
        <v>216</v>
      </c>
      <c r="E470" s="210" t="s">
        <v>1308</v>
      </c>
      <c r="F470" s="102" t="str">
        <f t="shared" si="15"/>
        <v>KA</v>
      </c>
    </row>
    <row r="471" spans="2:250" ht="17">
      <c r="B471" s="206" t="s">
        <v>1309</v>
      </c>
      <c r="C471" s="207" t="s">
        <v>69</v>
      </c>
      <c r="D471" s="207" t="s">
        <v>216</v>
      </c>
      <c r="E471" s="210" t="s">
        <v>1310</v>
      </c>
      <c r="F471" s="102" t="str">
        <f t="shared" si="15"/>
        <v>G-GH</v>
      </c>
    </row>
    <row r="472" spans="2:250" ht="17">
      <c r="B472" s="206" t="s">
        <v>1311</v>
      </c>
      <c r="C472" s="207" t="s">
        <v>446</v>
      </c>
      <c r="D472" s="207" t="s">
        <v>216</v>
      </c>
      <c r="E472" s="210" t="s">
        <v>1312</v>
      </c>
      <c r="F472" s="102" t="str">
        <f t="shared" si="15"/>
        <v>ELS</v>
      </c>
    </row>
    <row r="473" spans="2:250" ht="80">
      <c r="B473" s="206" t="s">
        <v>1314</v>
      </c>
      <c r="C473" s="207" t="s">
        <v>42</v>
      </c>
      <c r="D473" s="207" t="s">
        <v>956</v>
      </c>
      <c r="F473" s="102" t="str">
        <f t="shared" si="15"/>
        <v>AR</v>
      </c>
      <c r="EC473" s="312" t="s">
        <v>2695</v>
      </c>
      <c r="ED473" s="312" t="s">
        <v>2696</v>
      </c>
      <c r="EE473" s="312" t="s">
        <v>2697</v>
      </c>
      <c r="EF473" s="312" t="s">
        <v>2698</v>
      </c>
      <c r="EG473" s="312" t="s">
        <v>2779</v>
      </c>
      <c r="EH473" s="353" t="s">
        <v>2780</v>
      </c>
      <c r="IK473" s="312" t="s">
        <v>2695</v>
      </c>
      <c r="IL473" s="312" t="s">
        <v>2696</v>
      </c>
      <c r="IM473" s="312" t="s">
        <v>2697</v>
      </c>
      <c r="IN473" s="312" t="s">
        <v>2698</v>
      </c>
      <c r="IO473" s="312" t="s">
        <v>2779</v>
      </c>
      <c r="IP473" s="312" t="s">
        <v>2780</v>
      </c>
    </row>
    <row r="474" spans="2:250" ht="17">
      <c r="B474" s="206" t="s">
        <v>1323</v>
      </c>
      <c r="C474" s="207" t="s">
        <v>1324</v>
      </c>
      <c r="D474" s="207" t="s">
        <v>216</v>
      </c>
      <c r="E474" s="210" t="s">
        <v>1325</v>
      </c>
      <c r="F474" s="102" t="str">
        <f t="shared" si="15"/>
        <v>ET</v>
      </c>
      <c r="EC474" s="209">
        <f ca="1">MIN(EC475:EC491)+IF(SUM(EC477:EC491)=0,1,0)</f>
        <v>1</v>
      </c>
      <c r="ED474" s="209">
        <f ca="1">MIN(ED475:ED491)</f>
        <v>1</v>
      </c>
      <c r="EE474" s="311">
        <f ca="1">IF(EE489=1,2,IF(EE483=1,2,IF(EE477=1,2,IF(EE490=1,3,IF(EE484=1,3,IF(EE478=1,3,IF(EE491=1,4,IF(EE485=1,4,IF(EE479=1,4,0)))))))))</f>
        <v>2</v>
      </c>
      <c r="EF474" s="311">
        <f ca="1">IF(EE474=0,1,EE474)*IF(EG474=250,MIN(AA501,AE498),IF(EG474=150,MIN(AA501,AE497),IF(EG474=100,MIN(AA501,AE496),SUM(Items!A242:A254))))*'Customer Base'!$D26*0.8</f>
        <v>3616</v>
      </c>
      <c r="EG474" s="209">
        <f ca="1">IF(EE489=1,250,IF(EE483=1,150,IF(EE477=1,100,IF(EE490=1,250,IF(EE484=1,150,IF(EE478=1,100,IF(EE491=1,250,IF(EE485=1,150,IF(EE479=1,100,IF(AA501&lt;=AE496,AA496,IF(AA501&lt;=AE497,AA497,IF(AA501&lt;=AE498,AA498,""))))))))))))</f>
        <v>250</v>
      </c>
      <c r="EH474" s="209">
        <f ca="1">IF(AND(EG474=100,'Customer Base'!D8=12,'Client List'!EF474&gt;Items!AQ262),150,IF(AND(EG474=100,'Customer Base'!D8=24,EF474&gt;Items!AR262),150,IF(AND(EG474=100,'Customer Base'!D8=48,'Client List'!EF474&gt;Items!AS260),150,EG474)))</f>
        <v>250</v>
      </c>
      <c r="IK474" s="209">
        <f ca="1">MIN(IK475:IK491)</f>
        <v>0</v>
      </c>
      <c r="IL474" s="209">
        <f ca="1">MIN(IL475:IL491)</f>
        <v>0</v>
      </c>
      <c r="IM474" s="311">
        <f ca="1">IF(IM489=1,2,IF(IM483=1,2,IF(IM477=1,2,IF(IM490=1,3,IF(IM484=1,3,IF(IM478=1,3,IF(IM491=1,4,IF(IM485=1,4,IF(IM479=1,4,0)))))))))</f>
        <v>0</v>
      </c>
      <c r="IN474" s="311">
        <f ca="1">IF(AND(IK474=0,ED474&lt;&gt;0),ED474*'Customer Base'!D26*0.8,IM474*IF(IO474=250,AE498,IF(IO474=150,AE497,IF(IO474=100,AE496,0)))*'Customer Base'!$D26*0.8)</f>
        <v>452</v>
      </c>
      <c r="IO474" s="209">
        <f ca="1">IF(IM489=1,250,IF(IM483=1,150,IF(IM477=1,100,IF(IM490=1,250,IF(IM484=1,150,IF(IM478=1,100,IF(IM491=1,250,IF(IM485=1,150,IF(IM479=1,100,IF(AND(IK474=0,ED474&lt;&gt;0),100,0))))))))))</f>
        <v>100</v>
      </c>
      <c r="IP474" s="209">
        <f ca="1">IF(AND(IO474=100,'Customer Base'!D8=12,'Client List'!IN474&gt;Items!AQ262),150,IF(AND(IO474=100,'Customer Base'!D8=24,IN474&gt;Items!AR262),150,IF(AND(IO474=100,'Customer Base'!D8=48,IN474&gt;Items!AS260),150,IO474)))</f>
        <v>100</v>
      </c>
    </row>
    <row r="475" spans="2:250" ht="17">
      <c r="B475" s="206" t="s">
        <v>1326</v>
      </c>
      <c r="C475" s="207" t="s">
        <v>216</v>
      </c>
      <c r="D475" s="207" t="s">
        <v>216</v>
      </c>
      <c r="F475" s="102" t="str">
        <f t="shared" si="15"/>
        <v>JT</v>
      </c>
    </row>
    <row r="476" spans="2:250" ht="17">
      <c r="B476" s="206" t="s">
        <v>1329</v>
      </c>
      <c r="C476" s="207" t="s">
        <v>51</v>
      </c>
      <c r="D476" s="207" t="s">
        <v>51</v>
      </c>
      <c r="E476" s="210" t="s">
        <v>1328</v>
      </c>
      <c r="F476" s="102" t="str">
        <f t="shared" si="15"/>
        <v>T-I</v>
      </c>
      <c r="Z476" s="209" t="s">
        <v>2699</v>
      </c>
      <c r="AB476" s="209" t="s">
        <v>2689</v>
      </c>
      <c r="AC476" s="209" t="s">
        <v>2692</v>
      </c>
      <c r="AD476" s="209" t="s">
        <v>2688</v>
      </c>
      <c r="AE476" s="209" t="s">
        <v>799</v>
      </c>
      <c r="AF476" s="209">
        <v>1</v>
      </c>
      <c r="AG476" s="209">
        <v>2</v>
      </c>
      <c r="AH476" s="209">
        <v>3</v>
      </c>
      <c r="AI476" s="209">
        <v>4</v>
      </c>
      <c r="AJ476" s="209">
        <v>5</v>
      </c>
      <c r="AK476" s="209">
        <v>6</v>
      </c>
      <c r="AL476" s="209">
        <v>7</v>
      </c>
      <c r="AM476" s="209">
        <v>8</v>
      </c>
      <c r="AN476" s="209">
        <v>9</v>
      </c>
      <c r="AO476" s="209">
        <v>10</v>
      </c>
      <c r="AP476" s="209">
        <v>11</v>
      </c>
      <c r="AQ476" s="209">
        <v>12</v>
      </c>
      <c r="AR476" s="209">
        <v>13</v>
      </c>
      <c r="AS476" s="209">
        <v>14</v>
      </c>
      <c r="AT476" s="209">
        <v>15</v>
      </c>
      <c r="AU476" s="209">
        <v>16</v>
      </c>
      <c r="AV476" s="209">
        <v>17</v>
      </c>
      <c r="AW476" s="209">
        <v>18</v>
      </c>
      <c r="AX476" s="209">
        <v>19</v>
      </c>
      <c r="AY476" s="209">
        <v>20</v>
      </c>
      <c r="AZ476" s="209">
        <v>21</v>
      </c>
      <c r="BA476" s="209">
        <v>22</v>
      </c>
      <c r="BB476" s="209">
        <v>23</v>
      </c>
      <c r="BC476" s="209">
        <v>24</v>
      </c>
      <c r="BD476" s="209">
        <v>25</v>
      </c>
      <c r="BE476" s="209">
        <v>26</v>
      </c>
      <c r="BF476" s="209">
        <v>27</v>
      </c>
      <c r="BG476" s="209">
        <v>28</v>
      </c>
      <c r="BH476" s="209">
        <v>29</v>
      </c>
      <c r="BI476" s="209">
        <v>30</v>
      </c>
      <c r="BJ476" s="209">
        <v>31</v>
      </c>
      <c r="BK476" s="209">
        <v>32</v>
      </c>
      <c r="BL476" s="209">
        <v>33</v>
      </c>
      <c r="BM476" s="209">
        <v>34</v>
      </c>
      <c r="BN476" s="209">
        <v>35</v>
      </c>
      <c r="BO476" s="209">
        <v>36</v>
      </c>
      <c r="BP476" s="209">
        <v>37</v>
      </c>
      <c r="BQ476" s="209">
        <v>38</v>
      </c>
      <c r="BR476" s="209">
        <v>39</v>
      </c>
      <c r="BS476" s="209">
        <v>40</v>
      </c>
      <c r="BT476" s="209">
        <v>41</v>
      </c>
      <c r="BU476" s="209">
        <v>42</v>
      </c>
      <c r="BV476" s="209">
        <v>43</v>
      </c>
      <c r="BW476" s="209">
        <v>44</v>
      </c>
      <c r="BX476" s="209">
        <v>45</v>
      </c>
      <c r="BY476" s="209">
        <v>46</v>
      </c>
      <c r="BZ476" s="209">
        <v>47</v>
      </c>
      <c r="CA476" s="209">
        <v>48</v>
      </c>
      <c r="CB476" s="209">
        <v>49</v>
      </c>
      <c r="CC476" s="209">
        <v>50</v>
      </c>
      <c r="CD476" s="209">
        <v>51</v>
      </c>
      <c r="CE476" s="209">
        <v>52</v>
      </c>
      <c r="CF476" s="209">
        <v>53</v>
      </c>
      <c r="CG476" s="209">
        <v>54</v>
      </c>
      <c r="CH476" s="209">
        <v>55</v>
      </c>
      <c r="CI476" s="209">
        <v>56</v>
      </c>
      <c r="CJ476" s="209">
        <v>57</v>
      </c>
      <c r="CK476" s="209">
        <v>58</v>
      </c>
      <c r="CL476" s="209">
        <v>59</v>
      </c>
      <c r="CM476" s="209">
        <v>60</v>
      </c>
      <c r="CN476" s="209">
        <v>61</v>
      </c>
      <c r="CO476" s="209">
        <v>62</v>
      </c>
      <c r="CP476" s="209">
        <v>63</v>
      </c>
      <c r="CQ476" s="209">
        <v>64</v>
      </c>
      <c r="CR476" s="209">
        <v>65</v>
      </c>
      <c r="CS476" s="209">
        <v>66</v>
      </c>
      <c r="CT476" s="209">
        <v>67</v>
      </c>
      <c r="CU476" s="209">
        <v>68</v>
      </c>
      <c r="CV476" s="209">
        <v>69</v>
      </c>
      <c r="CW476" s="209">
        <v>70</v>
      </c>
      <c r="CX476" s="209">
        <v>71</v>
      </c>
      <c r="CY476" s="209">
        <v>72</v>
      </c>
      <c r="CZ476" s="209">
        <v>73</v>
      </c>
      <c r="DA476" s="209">
        <v>74</v>
      </c>
      <c r="DB476" s="209">
        <v>75</v>
      </c>
      <c r="DC476" s="209">
        <v>76</v>
      </c>
      <c r="DD476" s="209">
        <v>77</v>
      </c>
      <c r="DE476" s="209">
        <v>78</v>
      </c>
      <c r="DF476" s="209">
        <v>79</v>
      </c>
      <c r="DG476" s="209">
        <v>80</v>
      </c>
      <c r="DH476" s="209">
        <v>81</v>
      </c>
      <c r="DI476" s="209">
        <v>82</v>
      </c>
      <c r="DJ476" s="209">
        <v>83</v>
      </c>
      <c r="DK476" s="209">
        <v>84</v>
      </c>
      <c r="DL476" s="209">
        <v>85</v>
      </c>
      <c r="DM476" s="209">
        <v>86</v>
      </c>
      <c r="DN476" s="209">
        <v>87</v>
      </c>
      <c r="DO476" s="209">
        <v>88</v>
      </c>
      <c r="DP476" s="209">
        <v>89</v>
      </c>
      <c r="DQ476" s="209">
        <v>90</v>
      </c>
      <c r="DR476" s="209">
        <v>91</v>
      </c>
      <c r="DS476" s="209">
        <v>92</v>
      </c>
      <c r="DT476" s="209">
        <v>93</v>
      </c>
      <c r="DU476" s="209">
        <v>94</v>
      </c>
      <c r="DV476" s="209">
        <v>95</v>
      </c>
      <c r="DW476" s="209">
        <v>96</v>
      </c>
      <c r="DX476" s="209">
        <v>97</v>
      </c>
      <c r="DY476" s="209">
        <v>98</v>
      </c>
      <c r="DZ476" s="209">
        <v>99</v>
      </c>
      <c r="EA476" s="209">
        <v>100</v>
      </c>
      <c r="EJ476" s="209" t="s">
        <v>2689</v>
      </c>
      <c r="EK476" s="209" t="s">
        <v>2692</v>
      </c>
      <c r="EL476" s="209" t="s">
        <v>2688</v>
      </c>
      <c r="EM476" s="209" t="s">
        <v>799</v>
      </c>
      <c r="EN476" s="209">
        <v>1</v>
      </c>
      <c r="EO476" s="209">
        <v>2</v>
      </c>
      <c r="EP476" s="209">
        <v>3</v>
      </c>
      <c r="EQ476" s="209">
        <v>4</v>
      </c>
      <c r="ER476" s="209">
        <v>5</v>
      </c>
      <c r="ES476" s="209">
        <v>6</v>
      </c>
      <c r="ET476" s="209">
        <v>7</v>
      </c>
      <c r="EU476" s="209">
        <v>8</v>
      </c>
      <c r="EV476" s="209">
        <v>9</v>
      </c>
      <c r="EW476" s="209">
        <v>10</v>
      </c>
      <c r="EX476" s="209">
        <v>11</v>
      </c>
      <c r="EY476" s="209">
        <v>12</v>
      </c>
      <c r="EZ476" s="209">
        <v>13</v>
      </c>
      <c r="FA476" s="209">
        <v>14</v>
      </c>
      <c r="FB476" s="209">
        <v>15</v>
      </c>
      <c r="FC476" s="209">
        <v>16</v>
      </c>
      <c r="FD476" s="209">
        <v>17</v>
      </c>
      <c r="FE476" s="209">
        <v>18</v>
      </c>
      <c r="FF476" s="209">
        <v>19</v>
      </c>
      <c r="FG476" s="209">
        <v>20</v>
      </c>
      <c r="FH476" s="209">
        <v>21</v>
      </c>
      <c r="FI476" s="209">
        <v>22</v>
      </c>
      <c r="FJ476" s="209">
        <v>23</v>
      </c>
      <c r="FK476" s="209">
        <v>24</v>
      </c>
      <c r="FL476" s="209">
        <v>25</v>
      </c>
      <c r="FM476" s="209">
        <v>26</v>
      </c>
      <c r="FN476" s="209">
        <v>27</v>
      </c>
      <c r="FO476" s="209">
        <v>28</v>
      </c>
      <c r="FP476" s="209">
        <v>29</v>
      </c>
      <c r="FQ476" s="209">
        <v>30</v>
      </c>
      <c r="FR476" s="209">
        <v>31</v>
      </c>
      <c r="FS476" s="209">
        <v>32</v>
      </c>
      <c r="FT476" s="209">
        <v>33</v>
      </c>
      <c r="FU476" s="209">
        <v>34</v>
      </c>
      <c r="FV476" s="209">
        <v>35</v>
      </c>
      <c r="FW476" s="209">
        <v>36</v>
      </c>
      <c r="FX476" s="209">
        <v>37</v>
      </c>
      <c r="FY476" s="209">
        <v>38</v>
      </c>
      <c r="FZ476" s="209">
        <v>39</v>
      </c>
      <c r="GA476" s="209">
        <v>40</v>
      </c>
      <c r="GB476" s="209">
        <v>41</v>
      </c>
      <c r="GC476" s="209">
        <v>42</v>
      </c>
      <c r="GD476" s="209">
        <v>43</v>
      </c>
      <c r="GE476" s="209">
        <v>44</v>
      </c>
      <c r="GF476" s="209">
        <v>45</v>
      </c>
      <c r="GG476" s="209">
        <v>46</v>
      </c>
      <c r="GH476" s="209">
        <v>47</v>
      </c>
      <c r="GI476" s="209">
        <v>48</v>
      </c>
      <c r="GJ476" s="209">
        <v>49</v>
      </c>
      <c r="GK476" s="209">
        <v>50</v>
      </c>
      <c r="GL476" s="209">
        <v>51</v>
      </c>
      <c r="GM476" s="209">
        <v>52</v>
      </c>
      <c r="GN476" s="209">
        <v>53</v>
      </c>
      <c r="GO476" s="209">
        <v>54</v>
      </c>
      <c r="GP476" s="209">
        <v>55</v>
      </c>
      <c r="GQ476" s="209">
        <v>56</v>
      </c>
      <c r="GR476" s="209">
        <v>57</v>
      </c>
      <c r="GS476" s="209">
        <v>58</v>
      </c>
      <c r="GT476" s="209">
        <v>59</v>
      </c>
      <c r="GU476" s="209">
        <v>60</v>
      </c>
      <c r="GV476" s="209">
        <v>61</v>
      </c>
      <c r="GW476" s="209">
        <v>62</v>
      </c>
      <c r="GX476" s="209">
        <v>63</v>
      </c>
      <c r="GY476" s="209">
        <v>64</v>
      </c>
      <c r="GZ476" s="209">
        <v>65</v>
      </c>
      <c r="HA476" s="209">
        <v>66</v>
      </c>
      <c r="HB476" s="209">
        <v>67</v>
      </c>
      <c r="HC476" s="209">
        <v>68</v>
      </c>
      <c r="HD476" s="209">
        <v>69</v>
      </c>
      <c r="HE476" s="209">
        <v>70</v>
      </c>
      <c r="HF476" s="209">
        <v>71</v>
      </c>
      <c r="HG476" s="209">
        <v>72</v>
      </c>
      <c r="HH476" s="209">
        <v>73</v>
      </c>
      <c r="HI476" s="209">
        <v>74</v>
      </c>
      <c r="HJ476" s="209">
        <v>75</v>
      </c>
      <c r="HK476" s="209">
        <v>76</v>
      </c>
      <c r="HL476" s="209">
        <v>77</v>
      </c>
      <c r="HM476" s="209">
        <v>78</v>
      </c>
      <c r="HN476" s="209">
        <v>79</v>
      </c>
      <c r="HO476" s="209">
        <v>80</v>
      </c>
      <c r="HP476" s="209">
        <v>81</v>
      </c>
      <c r="HQ476" s="209">
        <v>82</v>
      </c>
      <c r="HR476" s="209">
        <v>83</v>
      </c>
      <c r="HS476" s="209">
        <v>84</v>
      </c>
      <c r="HT476" s="209">
        <v>85</v>
      </c>
      <c r="HU476" s="209">
        <v>86</v>
      </c>
      <c r="HV476" s="209">
        <v>87</v>
      </c>
      <c r="HW476" s="209">
        <v>88</v>
      </c>
      <c r="HX476" s="209">
        <v>89</v>
      </c>
      <c r="HY476" s="209">
        <v>90</v>
      </c>
      <c r="HZ476" s="209">
        <v>91</v>
      </c>
      <c r="IA476" s="209">
        <v>92</v>
      </c>
      <c r="IB476" s="209">
        <v>93</v>
      </c>
      <c r="IC476" s="209">
        <v>94</v>
      </c>
      <c r="ID476" s="209">
        <v>95</v>
      </c>
      <c r="IE476" s="209">
        <v>96</v>
      </c>
      <c r="IF476" s="209">
        <v>97</v>
      </c>
      <c r="IG476" s="209">
        <v>98</v>
      </c>
      <c r="IH476" s="209">
        <v>99</v>
      </c>
      <c r="II476" s="209">
        <v>100</v>
      </c>
    </row>
    <row r="477" spans="2:250" ht="17">
      <c r="B477" s="206" t="s">
        <v>1330</v>
      </c>
      <c r="C477" s="207" t="s">
        <v>339</v>
      </c>
      <c r="D477" s="207" t="s">
        <v>216</v>
      </c>
      <c r="F477" s="102" t="str">
        <f t="shared" si="15"/>
        <v>D</v>
      </c>
      <c r="AA477" s="209">
        <v>2</v>
      </c>
      <c r="AB477" s="310" t="s">
        <v>2685</v>
      </c>
      <c r="AC477" s="209">
        <f ca="1">IFERROR(MOD(AD$493,AA477),"")</f>
        <v>0.25</v>
      </c>
      <c r="AD477" s="209" t="str">
        <f ca="1">IF(OR(AD483=1,AD483=""),"",IF(AND(AC479&lt;&gt;0,AC478&lt;&gt;0,AC477=0),IF(AC477=0,AA477,""),IF(AND(MAX(AC477:AC479)&lt;=AA477,SUMPRODUCT(AD478:AD479,AE478:AE479)&lt;&gt;AD483),AA477,"")))</f>
        <v/>
      </c>
      <c r="AE477" s="209" t="str">
        <f ca="1">IFERROR(IF(AND(AD477&lt;&gt;"",OR(AD478&lt;&gt;"",AD479&lt;&gt;"")),1,(ROUNDDOWN(AD$493/AD477,0))),"")</f>
        <v/>
      </c>
      <c r="AF477" s="209">
        <f ca="1">IF($AE496*$AA477*'Customer Base'!$D$26*0.8&gt;5800,"",IF($AE496*$AA477&gt;$AA501,"",IF(($AA$477*AF$476*$AE$496)&lt;=$AA$501,((MOD($AA$501,($AA$477*AF$476*$AE$496)))),"")))</f>
        <v>1</v>
      </c>
      <c r="AG477" s="209">
        <f ca="1">IF($AE496*$AA477*'Customer Base'!$D$26*0.8&gt;5800,"",IF($AE496*$AA477&gt;$AA501,"",IF(($AA$477*AG$476*$AE$496)&lt;=$AA$501,((MOD($AA$501,($AA$477*AG$476*$AE$496)))),"")))</f>
        <v>1</v>
      </c>
      <c r="AH477" s="209">
        <f ca="1">IF($AE496*$AA477*'Customer Base'!$D$26*0.8&gt;5800,"",IF($AE496*$AA477&gt;$AA501,"",IF(($AA$477*AH$476*$AE$496)&lt;=$AA$501,((MOD($AA$501,($AA$477*AH$476*$AE$496)))),"")))</f>
        <v>3</v>
      </c>
      <c r="AI477" s="209">
        <f ca="1">IF($AE496*$AA477*'Customer Base'!$D$26*0.8&gt;5800,"",IF($AE496*$AA477&gt;$AA501,"",IF(($AA$477*AI$476*$AE$496)&lt;=$AA$501,((MOD($AA$501,($AA$477*AI$476*$AE$496)))),"")))</f>
        <v>1</v>
      </c>
      <c r="AJ477" s="209" t="str">
        <f ca="1">IF($AE496*$AA477*'Customer Base'!$D$26*0.8&gt;5800,"",IF($AE496*$AA477&gt;$AA501,"",IF(($AA$477*AJ$476*$AE$496)&lt;=$AA$501,((MOD($AA$501,($AA$477*AJ$476*$AE$496)))),"")))</f>
        <v/>
      </c>
      <c r="AK477" s="209" t="str">
        <f ca="1">IF($AE496*$AA477*'Customer Base'!$D$26*0.8&gt;5800,"",IF($AE496*$AA477&gt;$AA501,"",IF(($AA$477*AK$476*$AE$496)&lt;=$AA$501,((MOD($AA$501,($AA$477*AK$476*$AE$496)))),"")))</f>
        <v/>
      </c>
      <c r="AL477" s="209" t="str">
        <f ca="1">IF($AE496*$AA477*'Customer Base'!$D$26*0.8&gt;5800,"",IF($AE496*$AA477&gt;$AA501,"",IF(($AA$477*AL$476*$AE$496)&lt;=$AA$501,((MOD($AA$501,($AA$477*AL$476*$AE$496)))),"")))</f>
        <v/>
      </c>
      <c r="AM477" s="209" t="str">
        <f ca="1">IF($AE496*$AA477*'Customer Base'!$D$26*0.8&gt;5800,"",IF($AE496*$AA477&gt;$AA501,"",IF(($AA$477*AM$476*$AE$496)&lt;=$AA$501,((MOD($AA$501,($AA$477*AM$476*$AE$496)))),"")))</f>
        <v/>
      </c>
      <c r="AN477" s="209" t="str">
        <f ca="1">IF($AE496*$AA477*'Customer Base'!$D$26*0.8&gt;5800,"",IF($AE496*$AA477&gt;$AA501,"",IF(($AA$477*AN$476*$AE$496)&lt;=$AA$501,((MOD($AA$501,($AA$477*AN$476*$AE$496)))),"")))</f>
        <v/>
      </c>
      <c r="AO477" s="209" t="str">
        <f ca="1">IF($AE496*$AA477*'Customer Base'!$D$26*0.8&gt;5800,"",IF($AE496*$AA477&gt;$AA501,"",IF(($AA$477*AO$476*$AE$496)&lt;=$AA$501,((MOD($AA$501,($AA$477*AO$476*$AE$496)))),"")))</f>
        <v/>
      </c>
      <c r="AP477" s="209" t="str">
        <f ca="1">IF($AE496*$AA477*'Customer Base'!$D$26*0.8&gt;5800,"",IF($AE496*$AA477&gt;$AA501,"",IF(($AA$477*AP$476*$AE$496)&lt;=$AA$501,((MOD($AA$501,($AA$477*AP$476*$AE$496)))),"")))</f>
        <v/>
      </c>
      <c r="AQ477" s="209" t="str">
        <f ca="1">IF($AE496*$AA477*'Customer Base'!$D$26*0.8&gt;5800,"",IF($AE496*$AA477&gt;$AA501,"",IF(($AA$477*AQ$476*$AE$496)&lt;=$AA$501,((MOD($AA$501,($AA$477*AQ$476*$AE$496)))),"")))</f>
        <v/>
      </c>
      <c r="AR477" s="209" t="str">
        <f ca="1">IF($AE496*$AA477*'Customer Base'!$D$26*0.8&gt;5800,"",IF($AE496*$AA477&gt;$AA501,"",IF(($AA$477*AR$476*$AE$496)&lt;=$AA$501,((MOD($AA$501,($AA$477*AR$476*$AE$496)))),"")))</f>
        <v/>
      </c>
      <c r="AS477" s="209" t="str">
        <f ca="1">IF($AE496*$AA477*'Customer Base'!$D$26*0.8&gt;5800,"",IF($AE496*$AA477&gt;$AA501,"",IF(($AA$477*AS$476*$AE$496)&lt;=$AA$501,((MOD($AA$501,($AA$477*AS$476*$AE$496)))),"")))</f>
        <v/>
      </c>
      <c r="AT477" s="209" t="str">
        <f ca="1">IF($AE496*$AA477*'Customer Base'!$D$26*0.8&gt;5800,"",IF($AE496*$AA477&gt;$AA501,"",IF(($AA$477*AT$476*$AE$496)&lt;=$AA$501,((MOD($AA$501,($AA$477*AT$476*$AE$496)))),"")))</f>
        <v/>
      </c>
      <c r="AU477" s="209" t="str">
        <f ca="1">IF($AE496*$AA477*'Customer Base'!$D$26*0.8&gt;5800,"",IF($AE496*$AA477&gt;$AA501,"",IF(($AA$477*AU$476*$AE$496)&lt;=$AA$501,((MOD($AA$501,($AA$477*AU$476*$AE$496)))),"")))</f>
        <v/>
      </c>
      <c r="AV477" s="209" t="str">
        <f ca="1">IF($AE496*$AA477*'Customer Base'!$D$26*0.8&gt;5800,"",IF($AE496*$AA477&gt;$AA501,"",IF(($AA$477*AV$476*$AE$496)&lt;=$AA$501,((MOD($AA$501,($AA$477*AV$476*$AE$496)))),"")))</f>
        <v/>
      </c>
      <c r="AW477" s="209" t="str">
        <f ca="1">IF($AE496*$AA477*'Customer Base'!$D$26*0.8&gt;5800,"",IF($AE496*$AA477&gt;$AA501,"",IF(($AA$477*AW$476*$AE$496)&lt;=$AA$501,((MOD($AA$501,($AA$477*AW$476*$AE$496)))),"")))</f>
        <v/>
      </c>
      <c r="AX477" s="209" t="str">
        <f ca="1">IF($AE496*$AA477*'Customer Base'!$D$26*0.8&gt;5800,"",IF($AE496*$AA477&gt;$AA501,"",IF(($AA$477*AX$476*$AE$496)&lt;=$AA$501,((MOD($AA$501,($AA$477*AX$476*$AE$496)))),"")))</f>
        <v/>
      </c>
      <c r="AY477" s="209" t="str">
        <f ca="1">IF($AE496*$AA477*'Customer Base'!$D$26*0.8&gt;5800,"",IF($AE496*$AA477&gt;$AA501,"",IF(($AA$477*AY$476*$AE$496)&lt;=$AA$501,((MOD($AA$501,($AA$477*AY$476*$AE$496)))),"")))</f>
        <v/>
      </c>
      <c r="AZ477" s="209" t="str">
        <f ca="1">IF($AE496*$AA477*'Customer Base'!$D$26*0.8&gt;5800,"",IF($AE496*$AA477&gt;$AA501,"",IF(($AA$477*AZ$476*$AE$496)&lt;=$AA$501,((MOD($AA$501,($AA$477*AZ$476*$AE$496)))),"")))</f>
        <v/>
      </c>
      <c r="BA477" s="209" t="str">
        <f ca="1">IF($AE496*$AA477*'Customer Base'!$D$26*0.8&gt;5800,"",IF($AE496*$AA477&gt;$AA501,"",IF(($AA$477*BA$476*$AE$496)&lt;=$AA$501,((MOD($AA$501,($AA$477*BA$476*$AE$496)))),"")))</f>
        <v/>
      </c>
      <c r="BB477" s="209" t="str">
        <f ca="1">IF($AE496*$AA477*'Customer Base'!$D$26*0.8&gt;5800,"",IF($AE496*$AA477&gt;$AA501,"",IF(($AA$477*BB$476*$AE$496)&lt;=$AA$501,((MOD($AA$501,($AA$477*BB$476*$AE$496)))),"")))</f>
        <v/>
      </c>
      <c r="BC477" s="209" t="str">
        <f ca="1">IF($AE496*$AA477*'Customer Base'!$D$26*0.8&gt;5800,"",IF($AE496*$AA477&gt;$AA501,"",IF(($AA$477*BC$476*$AE$496)&lt;=$AA$501,((MOD($AA$501,($AA$477*BC$476*$AE$496)))),"")))</f>
        <v/>
      </c>
      <c r="BD477" s="209" t="str">
        <f ca="1">IF($AE496*$AA477*'Customer Base'!$D$26*0.8&gt;5800,"",IF($AE496*$AA477&gt;$AA501,"",IF(($AA$477*BD$476*$AE$496)&lt;=$AA$501,((MOD($AA$501,($AA$477*BD$476*$AE$496)))),"")))</f>
        <v/>
      </c>
      <c r="BE477" s="209" t="str">
        <f ca="1">IF($AE496*$AA477*'Customer Base'!$D$26*0.8&gt;5800,"",IF($AE496*$AA477&gt;$AA501,"",IF(($AA$477*BE$476*$AE$496)&lt;=$AA$501,((MOD($AA$501,($AA$477*BE$476*$AE$496)))),"")))</f>
        <v/>
      </c>
      <c r="BF477" s="209" t="str">
        <f ca="1">IF($AE496*$AA477*'Customer Base'!$D$26*0.8&gt;5800,"",IF($AE496*$AA477&gt;$AA501,"",IF(($AA$477*BF$476*$AE$496)&lt;=$AA$501,((MOD($AA$501,($AA$477*BF$476*$AE$496)))),"")))</f>
        <v/>
      </c>
      <c r="BG477" s="209" t="str">
        <f ca="1">IF($AE496*$AA477*'Customer Base'!$D$26*0.8&gt;5800,"",IF($AE496*$AA477&gt;$AA501,"",IF(($AA$477*BG$476*$AE$496)&lt;=$AA$501,((MOD($AA$501,($AA$477*BG$476*$AE$496)))),"")))</f>
        <v/>
      </c>
      <c r="BH477" s="209" t="str">
        <f ca="1">IF($AE496*$AA477*'Customer Base'!$D$26*0.8&gt;5800,"",IF($AE496*$AA477&gt;$AA501,"",IF(($AA$477*BH$476*$AE$496)&lt;=$AA$501,((MOD($AA$501,($AA$477*BH$476*$AE$496)))),"")))</f>
        <v/>
      </c>
      <c r="BI477" s="209" t="str">
        <f ca="1">IF($AE496*$AA477*'Customer Base'!$D$26*0.8&gt;5800,"",IF($AE496*$AA477&gt;$AA501,"",IF(($AA$477*BI$476*$AE$496)&lt;=$AA$501,((MOD($AA$501,($AA$477*BI$476*$AE$496)))),"")))</f>
        <v/>
      </c>
      <c r="BJ477" s="209" t="str">
        <f ca="1">IF($AE496*$AA477*'Customer Base'!$D$26*0.8&gt;5800,"",IF($AE496*$AA477&gt;$AA501,"",IF(($AA$477*BJ$476*$AE$496)&lt;=$AA$501,((MOD($AA$501,($AA$477*BJ$476*$AE$496)))),"")))</f>
        <v/>
      </c>
      <c r="BK477" s="209" t="str">
        <f ca="1">IF($AE496*$AA477*'Customer Base'!$D$26*0.8&gt;5800,"",IF($AE496*$AA477&gt;$AA501,"",IF(($AA$477*BK$476*$AE$496)&lt;=$AA$501,((MOD($AA$501,($AA$477*BK$476*$AE$496)))),"")))</f>
        <v/>
      </c>
      <c r="BL477" s="209" t="str">
        <f ca="1">IF($AE496*$AA477*'Customer Base'!$D$26*0.8&gt;5800,"",IF($AE496*$AA477&gt;$AA501,"",IF(($AA$477*BL$476*$AE$496)&lt;=$AA$501,((MOD($AA$501,($AA$477*BL$476*$AE$496)))),"")))</f>
        <v/>
      </c>
      <c r="BM477" s="209" t="str">
        <f ca="1">IF($AE496*$AA477*'Customer Base'!$D$26*0.8&gt;5800,"",IF($AE496*$AA477&gt;$AA501,"",IF(($AA$477*BM$476*$AE$496)&lt;=$AA$501,((MOD($AA$501,($AA$477*BM$476*$AE$496)))),"")))</f>
        <v/>
      </c>
      <c r="BN477" s="209" t="str">
        <f ca="1">IF($AE496*$AA477*'Customer Base'!$D$26*0.8&gt;5800,"",IF($AE496*$AA477&gt;$AA501,"",IF(($AA$477*BN$476*$AE$496)&lt;=$AA$501,((MOD($AA$501,($AA$477*BN$476*$AE$496)))),"")))</f>
        <v/>
      </c>
      <c r="BO477" s="209" t="str">
        <f ca="1">IF($AE496*$AA477*'Customer Base'!$D$26*0.8&gt;5800,"",IF($AE496*$AA477&gt;$AA501,"",IF(($AA$477*BO$476*$AE$496)&lt;=$AA$501,((MOD($AA$501,($AA$477*BO$476*$AE$496)))),"")))</f>
        <v/>
      </c>
      <c r="BP477" s="209" t="str">
        <f ca="1">IF($AE496*$AA477*'Customer Base'!$D$26*0.8&gt;5800,"",IF($AE496*$AA477&gt;$AA501,"",IF(($AA$477*BP$476*$AE$496)&lt;=$AA$501,((MOD($AA$501,($AA$477*BP$476*$AE$496)))),"")))</f>
        <v/>
      </c>
      <c r="BQ477" s="209" t="str">
        <f ca="1">IF($AE496*$AA477*'Customer Base'!$D$26*0.8&gt;5800,"",IF($AE496*$AA477&gt;$AA501,"",IF(($AA$477*BQ$476*$AE$496)&lt;=$AA$501,((MOD($AA$501,($AA$477*BQ$476*$AE$496)))),"")))</f>
        <v/>
      </c>
      <c r="BR477" s="209" t="str">
        <f ca="1">IF($AE496*$AA477*'Customer Base'!$D$26*0.8&gt;5800,"",IF($AE496*$AA477&gt;$AA501,"",IF(($AA$477*BR$476*$AE$496)&lt;=$AA$501,((MOD($AA$501,($AA$477*BR$476*$AE$496)))),"")))</f>
        <v/>
      </c>
      <c r="BS477" s="209" t="str">
        <f ca="1">IF($AE496*$AA477*'Customer Base'!$D$26*0.8&gt;5800,"",IF($AE496*$AA477&gt;$AA501,"",IF(($AA$477*BS$476*$AE$496)&lt;=$AA$501,((MOD($AA$501,($AA$477*BS$476*$AE$496)))),"")))</f>
        <v/>
      </c>
      <c r="BT477" s="209" t="str">
        <f ca="1">IF($AE496*$AA477*'Customer Base'!$D$26*0.8&gt;5800,"",IF($AE496*$AA477&gt;$AA501,"",IF(($AA$477*BT$476*$AE$496)&lt;=$AA$501,((MOD($AA$501,($AA$477*BT$476*$AE$496)))),"")))</f>
        <v/>
      </c>
      <c r="BU477" s="209" t="str">
        <f ca="1">IF($AE496*$AA477*'Customer Base'!$D$26*0.8&gt;5800,"",IF($AE496*$AA477&gt;$AA501,"",IF(($AA$477*BU$476*$AE$496)&lt;=$AA$501,((MOD($AA$501,($AA$477*BU$476*$AE$496)))),"")))</f>
        <v/>
      </c>
      <c r="BV477" s="209" t="str">
        <f ca="1">IF($AE496*$AA477*'Customer Base'!$D$26*0.8&gt;5800,"",IF($AE496*$AA477&gt;$AA501,"",IF(($AA$477*BV$476*$AE$496)&lt;=$AA$501,((MOD($AA$501,($AA$477*BV$476*$AE$496)))),"")))</f>
        <v/>
      </c>
      <c r="BW477" s="209" t="str">
        <f ca="1">IF($AE496*$AA477*'Customer Base'!$D$26*0.8&gt;5800,"",IF($AE496*$AA477&gt;$AA501,"",IF(($AA$477*BW$476*$AE$496)&lt;=$AA$501,((MOD($AA$501,($AA$477*BW$476*$AE$496)))),"")))</f>
        <v/>
      </c>
      <c r="BX477" s="209" t="str">
        <f ca="1">IF($AE496*$AA477*'Customer Base'!$D$26*0.8&gt;5800,"",IF($AE496*$AA477&gt;$AA501,"",IF(($AA$477*BX$476*$AE$496)&lt;=$AA$501,((MOD($AA$501,($AA$477*BX$476*$AE$496)))),"")))</f>
        <v/>
      </c>
      <c r="BY477" s="209" t="str">
        <f ca="1">IF($AE496*$AA477*'Customer Base'!$D$26*0.8&gt;5800,"",IF($AE496*$AA477&gt;$AA501,"",IF(($AA$477*BY$476*$AE$496)&lt;=$AA$501,((MOD($AA$501,($AA$477*BY$476*$AE$496)))),"")))</f>
        <v/>
      </c>
      <c r="BZ477" s="209" t="str">
        <f ca="1">IF($AE496*$AA477*'Customer Base'!$D$26*0.8&gt;5800,"",IF($AE496*$AA477&gt;$AA501,"",IF(($AA$477*BZ$476*$AE$496)&lt;=$AA$501,((MOD($AA$501,($AA$477*BZ$476*$AE$496)))),"")))</f>
        <v/>
      </c>
      <c r="CA477" s="209" t="str">
        <f ca="1">IF($AE496*$AA477*'Customer Base'!$D$26*0.8&gt;5800,"",IF($AE496*$AA477&gt;$AA501,"",IF(($AA$477*CA$476*$AE$496)&lt;=$AA$501,((MOD($AA$501,($AA$477*CA$476*$AE$496)))),"")))</f>
        <v/>
      </c>
      <c r="CB477" s="209" t="str">
        <f ca="1">IF($AE496*$AA477*'Customer Base'!$D$26*0.8&gt;5800,"",IF($AE496*$AA477&gt;$AA501,"",IF(($AA$477*CB$476*$AE$496)&lt;=$AA$501,((MOD($AA$501,($AA$477*CB$476*$AE$496)))),"")))</f>
        <v/>
      </c>
      <c r="CC477" s="209" t="str">
        <f ca="1">IF($AE496*$AA477*'Customer Base'!$D$26*0.8&gt;5800,"",IF($AE496*$AA477&gt;$AA501,"",IF(($AA$477*CC$476*$AE$496)&lt;=$AA$501,((MOD($AA$501,($AA$477*CC$476*$AE$496)))),"")))</f>
        <v/>
      </c>
      <c r="CD477" s="209" t="str">
        <f ca="1">IF($AE496*$AA477*'Customer Base'!$D$26*0.8&gt;5800,"",IF($AE496*$AA477&gt;$AA501,"",IF(($AA$477*CD$476*$AE$496)&lt;=$AA$501,((MOD($AA$501,($AA$477*CD$476*$AE$496)))),"")))</f>
        <v/>
      </c>
      <c r="CE477" s="209" t="str">
        <f ca="1">IF($AE496*$AA477*'Customer Base'!$D$26*0.8&gt;5800,"",IF($AE496*$AA477&gt;$AA501,"",IF(($AA$477*CE$476*$AE$496)&lt;=$AA$501,((MOD($AA$501,($AA$477*CE$476*$AE$496)))),"")))</f>
        <v/>
      </c>
      <c r="CF477" s="209" t="str">
        <f ca="1">IF($AE496*$AA477*'Customer Base'!$D$26*0.8&gt;5800,"",IF($AE496*$AA477&gt;$AA501,"",IF(($AA$477*CF$476*$AE$496)&lt;=$AA$501,((MOD($AA$501,($AA$477*CF$476*$AE$496)))),"")))</f>
        <v/>
      </c>
      <c r="CG477" s="209" t="str">
        <f ca="1">IF($AE496*$AA477*'Customer Base'!$D$26*0.8&gt;5800,"",IF($AE496*$AA477&gt;$AA501,"",IF(($AA$477*CG$476*$AE$496)&lt;=$AA$501,((MOD($AA$501,($AA$477*CG$476*$AE$496)))),"")))</f>
        <v/>
      </c>
      <c r="CH477" s="209" t="str">
        <f ca="1">IF($AE496*$AA477*'Customer Base'!$D$26*0.8&gt;5800,"",IF($AE496*$AA477&gt;$AA501,"",IF(($AA$477*CH$476*$AE$496)&lt;=$AA$501,((MOD($AA$501,($AA$477*CH$476*$AE$496)))),"")))</f>
        <v/>
      </c>
      <c r="CI477" s="209" t="str">
        <f ca="1">IF($AE496*$AA477*'Customer Base'!$D$26*0.8&gt;5800,"",IF($AE496*$AA477&gt;$AA501,"",IF(($AA$477*CI$476*$AE$496)&lt;=$AA$501,((MOD($AA$501,($AA$477*CI$476*$AE$496)))),"")))</f>
        <v/>
      </c>
      <c r="CJ477" s="209" t="str">
        <f ca="1">IF($AE496*$AA477*'Customer Base'!$D$26*0.8&gt;5800,"",IF($AE496*$AA477&gt;$AA501,"",IF(($AA$477*CJ$476*$AE$496)&lt;=$AA$501,((MOD($AA$501,($AA$477*CJ$476*$AE$496)))),"")))</f>
        <v/>
      </c>
      <c r="CK477" s="209" t="str">
        <f ca="1">IF($AE496*$AA477*'Customer Base'!$D$26*0.8&gt;5800,"",IF($AE496*$AA477&gt;$AA501,"",IF(($AA$477*CK$476*$AE$496)&lt;=$AA$501,((MOD($AA$501,($AA$477*CK$476*$AE$496)))),"")))</f>
        <v/>
      </c>
      <c r="CL477" s="209" t="str">
        <f ca="1">IF($AE496*$AA477*'Customer Base'!$D$26*0.8&gt;5800,"",IF($AE496*$AA477&gt;$AA501,"",IF(($AA$477*CL$476*$AE$496)&lt;=$AA$501,((MOD($AA$501,($AA$477*CL$476*$AE$496)))),"")))</f>
        <v/>
      </c>
      <c r="CM477" s="209" t="str">
        <f ca="1">IF($AE496*$AA477*'Customer Base'!$D$26*0.8&gt;5800,"",IF($AE496*$AA477&gt;$AA501,"",IF(($AA$477*CM$476*$AE$496)&lt;=$AA$501,((MOD($AA$501,($AA$477*CM$476*$AE$496)))),"")))</f>
        <v/>
      </c>
      <c r="CN477" s="209" t="str">
        <f ca="1">IF($AE496*$AA477*'Customer Base'!$D$26*0.8&gt;5800,"",IF($AE496*$AA477&gt;$AA501,"",IF(($AA$477*CN$476*$AE$496)&lt;=$AA$501,((MOD($AA$501,($AA$477*CN$476*$AE$496)))),"")))</f>
        <v/>
      </c>
      <c r="CO477" s="209" t="str">
        <f ca="1">IF($AE496*$AA477*'Customer Base'!$D$26*0.8&gt;5800,"",IF($AE496*$AA477&gt;$AA501,"",IF(($AA$477*CO$476*$AE$496)&lt;=$AA$501,((MOD($AA$501,($AA$477*CO$476*$AE$496)))),"")))</f>
        <v/>
      </c>
      <c r="CP477" s="209" t="str">
        <f ca="1">IF($AE496*$AA477*'Customer Base'!$D$26*0.8&gt;5800,"",IF($AE496*$AA477&gt;$AA501,"",IF(($AA$477*CP$476*$AE$496)&lt;=$AA$501,((MOD($AA$501,($AA$477*CP$476*$AE$496)))),"")))</f>
        <v/>
      </c>
      <c r="CQ477" s="209" t="str">
        <f ca="1">IF($AE496*$AA477*'Customer Base'!$D$26*0.8&gt;5800,"",IF($AE496*$AA477&gt;$AA501,"",IF(($AA$477*CQ$476*$AE$496)&lt;=$AA$501,((MOD($AA$501,($AA$477*CQ$476*$AE$496)))),"")))</f>
        <v/>
      </c>
      <c r="CR477" s="209" t="str">
        <f ca="1">IF($AE496*$AA477*'Customer Base'!$D$26*0.8&gt;5800,"",IF($AE496*$AA477&gt;$AA501,"",IF(($AA$477*CR$476*$AE$496)&lt;=$AA$501,((MOD($AA$501,($AA$477*CR$476*$AE$496)))),"")))</f>
        <v/>
      </c>
      <c r="CS477" s="209" t="str">
        <f ca="1">IF($AE496*$AA477*'Customer Base'!$D$26*0.8&gt;5800,"",IF($AE496*$AA477&gt;$AA501,"",IF(($AA$477*CS$476*$AE$496)&lt;=$AA$501,((MOD($AA$501,($AA$477*CS$476*$AE$496)))),"")))</f>
        <v/>
      </c>
      <c r="CT477" s="209" t="str">
        <f ca="1">IF($AE496*$AA477*'Customer Base'!$D$26*0.8&gt;5800,"",IF($AE496*$AA477&gt;$AA501,"",IF(($AA$477*CT$476*$AE$496)&lt;=$AA$501,((MOD($AA$501,($AA$477*CT$476*$AE$496)))),"")))</f>
        <v/>
      </c>
      <c r="CU477" s="209" t="str">
        <f ca="1">IF($AE496*$AA477*'Customer Base'!$D$26*0.8&gt;5800,"",IF($AE496*$AA477&gt;$AA501,"",IF(($AA$477*CU$476*$AE$496)&lt;=$AA$501,((MOD($AA$501,($AA$477*CU$476*$AE$496)))),"")))</f>
        <v/>
      </c>
      <c r="CV477" s="209" t="str">
        <f ca="1">IF($AE496*$AA477*'Customer Base'!$D$26*0.8&gt;5800,"",IF($AE496*$AA477&gt;$AA501,"",IF(($AA$477*CV$476*$AE$496)&lt;=$AA$501,((MOD($AA$501,($AA$477*CV$476*$AE$496)))),"")))</f>
        <v/>
      </c>
      <c r="CW477" s="209" t="str">
        <f ca="1">IF($AE496*$AA477*'Customer Base'!$D$26*0.8&gt;5800,"",IF($AE496*$AA477&gt;$AA501,"",IF(($AA$477*CW$476*$AE$496)&lt;=$AA$501,((MOD($AA$501,($AA$477*CW$476*$AE$496)))),"")))</f>
        <v/>
      </c>
      <c r="CX477" s="209" t="str">
        <f ca="1">IF($AE496*$AA477*'Customer Base'!$D$26*0.8&gt;5800,"",IF($AE496*$AA477&gt;$AA501,"",IF(($AA$477*CX$476*$AE$496)&lt;=$AA$501,((MOD($AA$501,($AA$477*CX$476*$AE$496)))),"")))</f>
        <v/>
      </c>
      <c r="CY477" s="209" t="str">
        <f ca="1">IF($AE496*$AA477*'Customer Base'!$D$26*0.8&gt;5800,"",IF($AE496*$AA477&gt;$AA501,"",IF(($AA$477*CY$476*$AE$496)&lt;=$AA$501,((MOD($AA$501,($AA$477*CY$476*$AE$496)))),"")))</f>
        <v/>
      </c>
      <c r="CZ477" s="209" t="str">
        <f ca="1">IF($AE496*$AA477*'Customer Base'!$D$26*0.8&gt;5800,"",IF($AE496*$AA477&gt;$AA501,"",IF(($AA$477*CZ$476*$AE$496)&lt;=$AA$501,((MOD($AA$501,($AA$477*CZ$476*$AE$496)))),"")))</f>
        <v/>
      </c>
      <c r="DA477" s="209" t="str">
        <f ca="1">IF($AE496*$AA477*'Customer Base'!$D$26*0.8&gt;5800,"",IF($AE496*$AA477&gt;$AA501,"",IF(($AA$477*DA$476*$AE$496)&lt;=$AA$501,((MOD($AA$501,($AA$477*DA$476*$AE$496)))),"")))</f>
        <v/>
      </c>
      <c r="DB477" s="209" t="str">
        <f ca="1">IF($AE496*$AA477*'Customer Base'!$D$26*0.8&gt;5800,"",IF($AE496*$AA477&gt;$AA501,"",IF(($AA$477*DB$476*$AE$496)&lt;=$AA$501,((MOD($AA$501,($AA$477*DB$476*$AE$496)))),"")))</f>
        <v/>
      </c>
      <c r="DC477" s="209" t="str">
        <f ca="1">IF($AE496*$AA477*'Customer Base'!$D$26*0.8&gt;5800,"",IF($AE496*$AA477&gt;$AA501,"",IF(($AA$477*DC$476*$AE$496)&lt;=$AA$501,((MOD($AA$501,($AA$477*DC$476*$AE$496)))),"")))</f>
        <v/>
      </c>
      <c r="DD477" s="209" t="str">
        <f ca="1">IF($AE496*$AA477*'Customer Base'!$D$26*0.8&gt;5800,"",IF($AE496*$AA477&gt;$AA501,"",IF(($AA$477*DD$476*$AE$496)&lt;=$AA$501,((MOD($AA$501,($AA$477*DD$476*$AE$496)))),"")))</f>
        <v/>
      </c>
      <c r="DE477" s="209" t="str">
        <f ca="1">IF($AE496*$AA477*'Customer Base'!$D$26*0.8&gt;5800,"",IF($AE496*$AA477&gt;$AA501,"",IF(($AA$477*DE$476*$AE$496)&lt;=$AA$501,((MOD($AA$501,($AA$477*DE$476*$AE$496)))),"")))</f>
        <v/>
      </c>
      <c r="DF477" s="209" t="str">
        <f ca="1">IF($AE496*$AA477*'Customer Base'!$D$26*0.8&gt;5800,"",IF($AE496*$AA477&gt;$AA501,"",IF(($AA$477*DF$476*$AE$496)&lt;=$AA$501,((MOD($AA$501,($AA$477*DF$476*$AE$496)))),"")))</f>
        <v/>
      </c>
      <c r="DG477" s="209" t="str">
        <f ca="1">IF($AE496*$AA477*'Customer Base'!$D$26*0.8&gt;5800,"",IF($AE496*$AA477&gt;$AA501,"",IF(($AA$477*DG$476*$AE$496)&lt;=$AA$501,((MOD($AA$501,($AA$477*DG$476*$AE$496)))),"")))</f>
        <v/>
      </c>
      <c r="DH477" s="209" t="str">
        <f ca="1">IF($AE496*$AA477*'Customer Base'!$D$26*0.8&gt;5800,"",IF($AE496*$AA477&gt;$AA501,"",IF(($AA$477*DH$476*$AE$496)&lt;=$AA$501,((MOD($AA$501,($AA$477*DH$476*$AE$496)))),"")))</f>
        <v/>
      </c>
      <c r="DI477" s="209" t="str">
        <f ca="1">IF($AE496*$AA477*'Customer Base'!$D$26*0.8&gt;5800,"",IF($AE496*$AA477&gt;$AA501,"",IF(($AA$477*DI$476*$AE$496)&lt;=$AA$501,((MOD($AA$501,($AA$477*DI$476*$AE$496)))),"")))</f>
        <v/>
      </c>
      <c r="DJ477" s="209" t="str">
        <f ca="1">IF($AE496*$AA477*'Customer Base'!$D$26*0.8&gt;5800,"",IF($AE496*$AA477&gt;$AA501,"",IF(($AA$477*DJ$476*$AE$496)&lt;=$AA$501,((MOD($AA$501,($AA$477*DJ$476*$AE$496)))),"")))</f>
        <v/>
      </c>
      <c r="DK477" s="209" t="str">
        <f ca="1">IF($AE496*$AA477*'Customer Base'!$D$26*0.8&gt;5800,"",IF($AE496*$AA477&gt;$AA501,"",IF(($AA$477*DK$476*$AE$496)&lt;=$AA$501,((MOD($AA$501,($AA$477*DK$476*$AE$496)))),"")))</f>
        <v/>
      </c>
      <c r="DL477" s="209" t="str">
        <f ca="1">IF($AE496*$AA477*'Customer Base'!$D$26*0.8&gt;5800,"",IF($AE496*$AA477&gt;$AA501,"",IF(($AA$477*DL$476*$AE$496)&lt;=$AA$501,((MOD($AA$501,($AA$477*DL$476*$AE$496)))),"")))</f>
        <v/>
      </c>
      <c r="DM477" s="209" t="str">
        <f ca="1">IF($AE496*$AA477*'Customer Base'!$D$26*0.8&gt;5800,"",IF($AE496*$AA477&gt;$AA501,"",IF(($AA$477*DM$476*$AE$496)&lt;=$AA$501,((MOD($AA$501,($AA$477*DM$476*$AE$496)))),"")))</f>
        <v/>
      </c>
      <c r="DN477" s="209" t="str">
        <f ca="1">IF($AE496*$AA477*'Customer Base'!$D$26*0.8&gt;5800,"",IF($AE496*$AA477&gt;$AA501,"",IF(($AA$477*DN$476*$AE$496)&lt;=$AA$501,((MOD($AA$501,($AA$477*DN$476*$AE$496)))),"")))</f>
        <v/>
      </c>
      <c r="DO477" s="209" t="str">
        <f ca="1">IF($AE496*$AA477*'Customer Base'!$D$26*0.8&gt;5800,"",IF($AE496*$AA477&gt;$AA501,"",IF(($AA$477*DO$476*$AE$496)&lt;=$AA$501,((MOD($AA$501,($AA$477*DO$476*$AE$496)))),"")))</f>
        <v/>
      </c>
      <c r="DP477" s="209" t="str">
        <f ca="1">IF($AE496*$AA477*'Customer Base'!$D$26*0.8&gt;5800,"",IF($AE496*$AA477&gt;$AA501,"",IF(($AA$477*DP$476*$AE$496)&lt;=$AA$501,((MOD($AA$501,($AA$477*DP$476*$AE$496)))),"")))</f>
        <v/>
      </c>
      <c r="DQ477" s="209" t="str">
        <f ca="1">IF($AE496*$AA477*'Customer Base'!$D$26*0.8&gt;5800,"",IF($AE496*$AA477&gt;$AA501,"",IF(($AA$477*DQ$476*$AE$496)&lt;=$AA$501,((MOD($AA$501,($AA$477*DQ$476*$AE$496)))),"")))</f>
        <v/>
      </c>
      <c r="DR477" s="209" t="str">
        <f ca="1">IF($AE496*$AA477*'Customer Base'!$D$26*0.8&gt;5800,"",IF($AE496*$AA477&gt;$AA501,"",IF(($AA$477*DR$476*$AE$496)&lt;=$AA$501,((MOD($AA$501,($AA$477*DR$476*$AE$496)))),"")))</f>
        <v/>
      </c>
      <c r="DS477" s="209" t="str">
        <f ca="1">IF($AE496*$AA477*'Customer Base'!$D$26*0.8&gt;5800,"",IF($AE496*$AA477&gt;$AA501,"",IF(($AA$477*DS$476*$AE$496)&lt;=$AA$501,((MOD($AA$501,($AA$477*DS$476*$AE$496)))),"")))</f>
        <v/>
      </c>
      <c r="DT477" s="209" t="str">
        <f ca="1">IF($AE496*$AA477*'Customer Base'!$D$26*0.8&gt;5800,"",IF($AE496*$AA477&gt;$AA501,"",IF(($AA$477*DT$476*$AE$496)&lt;=$AA$501,((MOD($AA$501,($AA$477*DT$476*$AE$496)))),"")))</f>
        <v/>
      </c>
      <c r="DU477" s="209" t="str">
        <f ca="1">IF($AE496*$AA477*'Customer Base'!$D$26*0.8&gt;5800,"",IF($AE496*$AA477&gt;$AA501,"",IF(($AA$477*DU$476*$AE$496)&lt;=$AA$501,((MOD($AA$501,($AA$477*DU$476*$AE$496)))),"")))</f>
        <v/>
      </c>
      <c r="DV477" s="209" t="str">
        <f ca="1">IF($AE496*$AA477*'Customer Base'!$D$26*0.8&gt;5800,"",IF($AE496*$AA477&gt;$AA501,"",IF(($AA$477*DV$476*$AE$496)&lt;=$AA$501,((MOD($AA$501,($AA$477*DV$476*$AE$496)))),"")))</f>
        <v/>
      </c>
      <c r="DW477" s="209" t="str">
        <f ca="1">IF($AE496*$AA477*'Customer Base'!$D$26*0.8&gt;5800,"",IF($AE496*$AA477&gt;$AA501,"",IF(($AA$477*DW$476*$AE$496)&lt;=$AA$501,((MOD($AA$501,($AA$477*DW$476*$AE$496)))),"")))</f>
        <v/>
      </c>
      <c r="DX477" s="209" t="str">
        <f ca="1">IF($AE496*$AA477*'Customer Base'!$D$26*0.8&gt;5800,"",IF($AE496*$AA477&gt;$AA501,"",IF(($AA$477*DX$476*$AE$496)&lt;=$AA$501,((MOD($AA$501,($AA$477*DX$476*$AE$496)))),"")))</f>
        <v/>
      </c>
      <c r="DY477" s="209" t="str">
        <f ca="1">IF($AE496*$AA477*'Customer Base'!$D$26*0.8&gt;5800,"",IF($AE496*$AA477&gt;$AA501,"",IF(($AA$477*DY$476*$AE$496)&lt;=$AA$501,((MOD($AA$501,($AA$477*DY$476*$AE$496)))),"")))</f>
        <v/>
      </c>
      <c r="DZ477" s="209" t="str">
        <f ca="1">IF($AE496*$AA477*'Customer Base'!$D$26*0.8&gt;5800,"",IF($AE496*$AA477&gt;$AA501,"",IF(($AA$477*DZ$476*$AE$496)&lt;=$AA$501,((MOD($AA$501,($AA$477*DZ$476*$AE$496)))),"")))</f>
        <v/>
      </c>
      <c r="EA477" s="209" t="str">
        <f ca="1">IF($AE496*$AA477*'Customer Base'!$D$26*0.8&gt;5800,"",IF($AE496*$AA477&gt;$AA501,"",IF(($AA$477*EA$476*$AE$496)&lt;=$AA$501,((MOD($AA$501,($AA$477*EA$476*$AE$496)))),"")))</f>
        <v/>
      </c>
      <c r="EC477" s="209" cm="1">
        <f t="array" aca="1" ref="EC477" ca="1">IFERROR(LOOKUP(2,1/(AF477:EA477&lt;&gt;""),AF$482:EA$482),"")</f>
        <v>4</v>
      </c>
      <c r="ED477" s="311" t="str" cm="1">
        <f t="array" aca="1" ref="ED477" ca="1">IF(EC$474=EC477,LOOKUP(2,1/(AF477:EA477&lt;&gt;""),AF477:EA477),"")</f>
        <v/>
      </c>
      <c r="EE477" s="311" t="str">
        <f ca="1">IF(ED477=ED$474,1,"")</f>
        <v/>
      </c>
      <c r="EF477" s="311"/>
      <c r="EG477" s="311"/>
      <c r="EH477" s="311"/>
      <c r="EI477" s="209">
        <v>2</v>
      </c>
      <c r="EJ477" s="310" t="s">
        <v>2685</v>
      </c>
      <c r="EK477" s="209">
        <f>IFERROR(MOD(EL$495,EI477),"")</f>
        <v>0</v>
      </c>
      <c r="EL477" s="209" t="str">
        <f>IF(OR(EL483=1,EL483=""),"",IF(AND(EK479&lt;&gt;0,EK478&lt;&gt;0,EK477=0),IF(EK477=0,EI477,""),IF(AND(MAX(EK477:EK479)&lt;=EI477,SUMPRODUCT(EL478:EL479,EM478:EM479)&lt;&gt;EL483),EI477,"")))</f>
        <v/>
      </c>
      <c r="EM477" s="209" t="str">
        <f>IFERROR(IF(AND(EL477&lt;&gt;"",OR(EL478&lt;&gt;"",EL479&lt;&gt;"")),1,(ROUNDDOWN(EL$495/EL477,0))),"")</f>
        <v/>
      </c>
      <c r="EN477" s="209" t="str">
        <f ca="1">IF($AE496*$AA477*'Customer Base'!$D$26*0.8&gt;5800,"",IF($AE496*$AA477&gt;$AA501,"",IF(($AA$477*EN$476*$AE$496)&lt;=$ED$474,((MOD($ED$474,($AA$477*EN$476*$AE$496)))),"")))</f>
        <v/>
      </c>
      <c r="EO477" s="209" t="str">
        <f ca="1">IF($AE496*$AA477*'Customer Base'!$D$26*0.8&gt;5800,"",IF($AE496*$AA477&gt;$AA501,"",IF(($AA$477*EO$476*$AE$496)&lt;=$ED$474,((MOD($ED$474,($AA$477*EO$476*$AE$496)))),"")))</f>
        <v/>
      </c>
      <c r="EP477" s="209" t="str">
        <f ca="1">IF($AE496*$AA477*'Customer Base'!$D$26*0.8&gt;5800,"",IF($AE496*$AA477&gt;$AA501,"",IF(($AA$477*EP$476*$AE$496)&lt;=$ED$474,((MOD($ED$474,($AA$477*EP$476*$AE$496)))),"")))</f>
        <v/>
      </c>
      <c r="EQ477" s="209" t="str">
        <f ca="1">IF($AE496*$AA477*'Customer Base'!$D$26*0.8&gt;5800,"",IF($AE496*$AA477&gt;$AA501,"",IF(($AA$477*EQ$476*$AE$496)&lt;=$ED$474,((MOD($ED$474,($AA$477*EQ$476*$AE$496)))),"")))</f>
        <v/>
      </c>
      <c r="ER477" s="209" t="str">
        <f ca="1">IF($AE496*$AA477*'Customer Base'!$D$26*0.8&gt;5800,"",IF($AE496*$AA477&gt;$AA501,"",IF(($AA$477*ER$476*$AE$496)&lt;=$ED$474,((MOD($ED$474,($AA$477*ER$476*$AE$496)))),"")))</f>
        <v/>
      </c>
      <c r="ES477" s="209" t="str">
        <f ca="1">IF($AE496*$AA477*'Customer Base'!$D$26*0.8&gt;5800,"",IF($AE496*$AA477&gt;$AA501,"",IF(($AA$477*ES$476*$AE$496)&lt;=$ED$474,((MOD($ED$474,($AA$477*ES$476*$AE$496)))),"")))</f>
        <v/>
      </c>
      <c r="ET477" s="209" t="str">
        <f ca="1">IF($AE496*$AA477*'Customer Base'!$D$26*0.8&gt;5800,"",IF($AE496*$AA477&gt;$AA501,"",IF(($AA$477*ET$476*$AE$496)&lt;=$ED$474,((MOD($ED$474,($AA$477*ET$476*$AE$496)))),"")))</f>
        <v/>
      </c>
      <c r="EU477" s="209" t="str">
        <f ca="1">IF($AE496*$AA477*'Customer Base'!$D$26*0.8&gt;5800,"",IF($AE496*$AA477&gt;$AA501,"",IF(($AA$477*EU$476*$AE$496)&lt;=$ED$474,((MOD($ED$474,($AA$477*EU$476*$AE$496)))),"")))</f>
        <v/>
      </c>
      <c r="EV477" s="209" t="str">
        <f ca="1">IF($AE496*$AA477*'Customer Base'!$D$26*0.8&gt;5800,"",IF($AE496*$AA477&gt;$AA501,"",IF(($AA$477*EV$476*$AE$496)&lt;=$ED$474,((MOD($ED$474,($AA$477*EV$476*$AE$496)))),"")))</f>
        <v/>
      </c>
      <c r="EW477" s="209" t="str">
        <f ca="1">IF($AE496*$AA477*'Customer Base'!$D$26*0.8&gt;5800,"",IF($AE496*$AA477&gt;$AA501,"",IF(($AA$477*EW$476*$AE$496)&lt;=$ED$474,((MOD($ED$474,($AA$477*EW$476*$AE$496)))),"")))</f>
        <v/>
      </c>
      <c r="EX477" s="209" t="str">
        <f ca="1">IF($AE496*$AA477*'Customer Base'!$D$26*0.8&gt;5800,"",IF($AE496*$AA477&gt;$AA501,"",IF(($AA$477*EX$476*$AE$496)&lt;=$ED$474,((MOD($ED$474,($AA$477*EX$476*$AE$496)))),"")))</f>
        <v/>
      </c>
      <c r="EY477" s="209" t="str">
        <f ca="1">IF($AE496*$AA477*'Customer Base'!$D$26*0.8&gt;5800,"",IF($AE496*$AA477&gt;$AA501,"",IF(($AA$477*EY$476*$AE$496)&lt;=$ED$474,((MOD($ED$474,($AA$477*EY$476*$AE$496)))),"")))</f>
        <v/>
      </c>
      <c r="EZ477" s="209" t="str">
        <f ca="1">IF($AE496*$AA477*'Customer Base'!$D$26*0.8&gt;5800,"",IF($AE496*$AA477&gt;$AA501,"",IF(($AA$477*EZ$476*$AE$496)&lt;=$ED$474,((MOD($ED$474,($AA$477*EZ$476*$AE$496)))),"")))</f>
        <v/>
      </c>
      <c r="FA477" s="209" t="str">
        <f ca="1">IF($AE496*$AA477*'Customer Base'!$D$26*0.8&gt;5800,"",IF($AE496*$AA477&gt;$AA501,"",IF(($AA$477*FA$476*$AE$496)&lt;=$ED$474,((MOD($ED$474,($AA$477*FA$476*$AE$496)))),"")))</f>
        <v/>
      </c>
      <c r="FB477" s="209" t="str">
        <f ca="1">IF($AE496*$AA477*'Customer Base'!$D$26*0.8&gt;5800,"",IF($AE496*$AA477&gt;$AA501,"",IF(($AA$477*FB$476*$AE$496)&lt;=$ED$474,((MOD($ED$474,($AA$477*FB$476*$AE$496)))),"")))</f>
        <v/>
      </c>
      <c r="FC477" s="209" t="str">
        <f ca="1">IF($AE496*$AA477*'Customer Base'!$D$26*0.8&gt;5800,"",IF($AE496*$AA477&gt;$AA501,"",IF(($AA$477*FC$476*$AE$496)&lt;=$ED$474,((MOD($ED$474,($AA$477*FC$476*$AE$496)))),"")))</f>
        <v/>
      </c>
      <c r="FD477" s="209" t="str">
        <f ca="1">IF($AE496*$AA477*'Customer Base'!$D$26*0.8&gt;5800,"",IF($AE496*$AA477&gt;$AA501,"",IF(($AA$477*FD$476*$AE$496)&lt;=$ED$474,((MOD($ED$474,($AA$477*FD$476*$AE$496)))),"")))</f>
        <v/>
      </c>
      <c r="FE477" s="209" t="str">
        <f ca="1">IF($AE496*$AA477*'Customer Base'!$D$26*0.8&gt;5800,"",IF($AE496*$AA477&gt;$AA501,"",IF(($AA$477*FE$476*$AE$496)&lt;=$ED$474,((MOD($ED$474,($AA$477*FE$476*$AE$496)))),"")))</f>
        <v/>
      </c>
      <c r="FF477" s="209" t="str">
        <f ca="1">IF($AE496*$AA477*'Customer Base'!$D$26*0.8&gt;5800,"",IF($AE496*$AA477&gt;$AA501,"",IF(($AA$477*FF$476*$AE$496)&lt;=$ED$474,((MOD($ED$474,($AA$477*FF$476*$AE$496)))),"")))</f>
        <v/>
      </c>
      <c r="FG477" s="209" t="str">
        <f ca="1">IF($AE496*$AA477*'Customer Base'!$D$26*0.8&gt;5800,"",IF($AE496*$AA477&gt;$AA501,"",IF(($AA$477*FG$476*$AE$496)&lt;=$ED$474,((MOD($ED$474,($AA$477*FG$476*$AE$496)))),"")))</f>
        <v/>
      </c>
      <c r="FH477" s="209" t="str">
        <f ca="1">IF($AE496*$AA477*'Customer Base'!$D$26*0.8&gt;5800,"",IF($AE496*$AA477&gt;$AA501,"",IF(($AA$477*FH$476*$AE$496)&lt;=$ED$474,((MOD($ED$474,($AA$477*FH$476*$AE$496)))),"")))</f>
        <v/>
      </c>
      <c r="FI477" s="209" t="str">
        <f ca="1">IF($AE496*$AA477*'Customer Base'!$D$26*0.8&gt;5800,"",IF($AE496*$AA477&gt;$AA501,"",IF(($AA$477*FI$476*$AE$496)&lt;=$ED$474,((MOD($ED$474,($AA$477*FI$476*$AE$496)))),"")))</f>
        <v/>
      </c>
      <c r="FJ477" s="209" t="str">
        <f ca="1">IF($AE496*$AA477*'Customer Base'!$D$26*0.8&gt;5800,"",IF($AE496*$AA477&gt;$AA501,"",IF(($AA$477*FJ$476*$AE$496)&lt;=$ED$474,((MOD($ED$474,($AA$477*FJ$476*$AE$496)))),"")))</f>
        <v/>
      </c>
      <c r="FK477" s="209" t="str">
        <f ca="1">IF($AE496*$AA477*'Customer Base'!$D$26*0.8&gt;5800,"",IF($AE496*$AA477&gt;$AA501,"",IF(($AA$477*FK$476*$AE$496)&lt;=$ED$474,((MOD($ED$474,($AA$477*FK$476*$AE$496)))),"")))</f>
        <v/>
      </c>
      <c r="FL477" s="209" t="str">
        <f ca="1">IF($AE496*$AA477*'Customer Base'!$D$26*0.8&gt;5800,"",IF($AE496*$AA477&gt;$AA501,"",IF(($AA$477*FL$476*$AE$496)&lt;=$ED$474,((MOD($ED$474,($AA$477*FL$476*$AE$496)))),"")))</f>
        <v/>
      </c>
      <c r="FM477" s="209" t="str">
        <f ca="1">IF($AE496*$AA477*'Customer Base'!$D$26*0.8&gt;5800,"",IF($AE496*$AA477&gt;$AA501,"",IF(($AA$477*FM$476*$AE$496)&lt;=$ED$474,((MOD($ED$474,($AA$477*FM$476*$AE$496)))),"")))</f>
        <v/>
      </c>
      <c r="FN477" s="209" t="str">
        <f ca="1">IF($AE496*$AA477*'Customer Base'!$D$26*0.8&gt;5800,"",IF($AE496*$AA477&gt;$AA501,"",IF(($AA$477*FN$476*$AE$496)&lt;=$ED$474,((MOD($ED$474,($AA$477*FN$476*$AE$496)))),"")))</f>
        <v/>
      </c>
      <c r="FO477" s="209" t="str">
        <f ca="1">IF($AE496*$AA477*'Customer Base'!$D$26*0.8&gt;5800,"",IF($AE496*$AA477&gt;$AA501,"",IF(($AA$477*FO$476*$AE$496)&lt;=$ED$474,((MOD($ED$474,($AA$477*FO$476*$AE$496)))),"")))</f>
        <v/>
      </c>
      <c r="FP477" s="209" t="str">
        <f ca="1">IF($AE496*$AA477*'Customer Base'!$D$26*0.8&gt;5800,"",IF($AE496*$AA477&gt;$AA501,"",IF(($AA$477*FP$476*$AE$496)&lt;=$ED$474,((MOD($ED$474,($AA$477*FP$476*$AE$496)))),"")))</f>
        <v/>
      </c>
      <c r="FQ477" s="209" t="str">
        <f ca="1">IF($AE496*$AA477*'Customer Base'!$D$26*0.8&gt;5800,"",IF($AE496*$AA477&gt;$AA501,"",IF(($AA$477*FQ$476*$AE$496)&lt;=$ED$474,((MOD($ED$474,($AA$477*FQ$476*$AE$496)))),"")))</f>
        <v/>
      </c>
      <c r="FR477" s="209" t="str">
        <f ca="1">IF($AE496*$AA477*'Customer Base'!$D$26*0.8&gt;5800,"",IF($AE496*$AA477&gt;$AA501,"",IF(($AA$477*FR$476*$AE$496)&lt;=$ED$474,((MOD($ED$474,($AA$477*FR$476*$AE$496)))),"")))</f>
        <v/>
      </c>
      <c r="FS477" s="209" t="str">
        <f ca="1">IF($AE496*$AA477*'Customer Base'!$D$26*0.8&gt;5800,"",IF($AE496*$AA477&gt;$AA501,"",IF(($AA$477*FS$476*$AE$496)&lt;=$ED$474,((MOD($ED$474,($AA$477*FS$476*$AE$496)))),"")))</f>
        <v/>
      </c>
      <c r="FT477" s="209" t="str">
        <f ca="1">IF($AE496*$AA477*'Customer Base'!$D$26*0.8&gt;5800,"",IF($AE496*$AA477&gt;$AA501,"",IF(($AA$477*FT$476*$AE$496)&lt;=$ED$474,((MOD($ED$474,($AA$477*FT$476*$AE$496)))),"")))</f>
        <v/>
      </c>
      <c r="FU477" s="209" t="str">
        <f ca="1">IF($AE496*$AA477*'Customer Base'!$D$26*0.8&gt;5800,"",IF($AE496*$AA477&gt;$AA501,"",IF(($AA$477*FU$476*$AE$496)&lt;=$ED$474,((MOD($ED$474,($AA$477*FU$476*$AE$496)))),"")))</f>
        <v/>
      </c>
      <c r="FV477" s="209" t="str">
        <f ca="1">IF($AE496*$AA477*'Customer Base'!$D$26*0.8&gt;5800,"",IF($AE496*$AA477&gt;$AA501,"",IF(($AA$477*FV$476*$AE$496)&lt;=$ED$474,((MOD($ED$474,($AA$477*FV$476*$AE$496)))),"")))</f>
        <v/>
      </c>
      <c r="FW477" s="209" t="str">
        <f ca="1">IF($AE496*$AA477*'Customer Base'!$D$26*0.8&gt;5800,"",IF($AE496*$AA477&gt;$AA501,"",IF(($AA$477*FW$476*$AE$496)&lt;=$ED$474,((MOD($ED$474,($AA$477*FW$476*$AE$496)))),"")))</f>
        <v/>
      </c>
      <c r="FX477" s="209" t="str">
        <f ca="1">IF($AE496*$AA477*'Customer Base'!$D$26*0.8&gt;5800,"",IF($AE496*$AA477&gt;$AA501,"",IF(($AA$477*FX$476*$AE$496)&lt;=$ED$474,((MOD($ED$474,($AA$477*FX$476*$AE$496)))),"")))</f>
        <v/>
      </c>
      <c r="FY477" s="209" t="str">
        <f ca="1">IF($AE496*$AA477*'Customer Base'!$D$26*0.8&gt;5800,"",IF($AE496*$AA477&gt;$AA501,"",IF(($AA$477*FY$476*$AE$496)&lt;=$ED$474,((MOD($ED$474,($AA$477*FY$476*$AE$496)))),"")))</f>
        <v/>
      </c>
      <c r="FZ477" s="209" t="str">
        <f ca="1">IF($AE496*$AA477*'Customer Base'!$D$26*0.8&gt;5800,"",IF($AE496*$AA477&gt;$AA501,"",IF(($AA$477*FZ$476*$AE$496)&lt;=$ED$474,((MOD($ED$474,($AA$477*FZ$476*$AE$496)))),"")))</f>
        <v/>
      </c>
      <c r="GA477" s="209" t="str">
        <f ca="1">IF($AE496*$AA477*'Customer Base'!$D$26*0.8&gt;5800,"",IF($AE496*$AA477&gt;$AA501,"",IF(($AA$477*GA$476*$AE$496)&lt;=$ED$474,((MOD($ED$474,($AA$477*GA$476*$AE$496)))),"")))</f>
        <v/>
      </c>
      <c r="GB477" s="209" t="str">
        <f ca="1">IF($AE496*$AA477*'Customer Base'!$D$26*0.8&gt;5800,"",IF($AE496*$AA477&gt;$AA501,"",IF(($AA$477*GB$476*$AE$496)&lt;=$ED$474,((MOD($ED$474,($AA$477*GB$476*$AE$496)))),"")))</f>
        <v/>
      </c>
      <c r="GC477" s="209" t="str">
        <f ca="1">IF($AE496*$AA477*'Customer Base'!$D$26*0.8&gt;5800,"",IF($AE496*$AA477&gt;$AA501,"",IF(($AA$477*GC$476*$AE$496)&lt;=$ED$474,((MOD($ED$474,($AA$477*GC$476*$AE$496)))),"")))</f>
        <v/>
      </c>
      <c r="GD477" s="209" t="str">
        <f ca="1">IF($AE496*$AA477*'Customer Base'!$D$26*0.8&gt;5800,"",IF($AE496*$AA477&gt;$AA501,"",IF(($AA$477*GD$476*$AE$496)&lt;=$ED$474,((MOD($ED$474,($AA$477*GD$476*$AE$496)))),"")))</f>
        <v/>
      </c>
      <c r="GE477" s="209" t="str">
        <f ca="1">IF($AE496*$AA477*'Customer Base'!$D$26*0.8&gt;5800,"",IF($AE496*$AA477&gt;$AA501,"",IF(($AA$477*GE$476*$AE$496)&lt;=$ED$474,((MOD($ED$474,($AA$477*GE$476*$AE$496)))),"")))</f>
        <v/>
      </c>
      <c r="GF477" s="209" t="str">
        <f ca="1">IF($AE496*$AA477*'Customer Base'!$D$26*0.8&gt;5800,"",IF($AE496*$AA477&gt;$AA501,"",IF(($AA$477*GF$476*$AE$496)&lt;=$ED$474,((MOD($ED$474,($AA$477*GF$476*$AE$496)))),"")))</f>
        <v/>
      </c>
      <c r="GG477" s="209" t="str">
        <f ca="1">IF($AE496*$AA477*'Customer Base'!$D$26*0.8&gt;5800,"",IF($AE496*$AA477&gt;$AA501,"",IF(($AA$477*GG$476*$AE$496)&lt;=$ED$474,((MOD($ED$474,($AA$477*GG$476*$AE$496)))),"")))</f>
        <v/>
      </c>
      <c r="GH477" s="209" t="str">
        <f ca="1">IF($AE496*$AA477*'Customer Base'!$D$26*0.8&gt;5800,"",IF($AE496*$AA477&gt;$AA501,"",IF(($AA$477*GH$476*$AE$496)&lt;=$ED$474,((MOD($ED$474,($AA$477*GH$476*$AE$496)))),"")))</f>
        <v/>
      </c>
      <c r="GI477" s="209" t="str">
        <f ca="1">IF($AE496*$AA477*'Customer Base'!$D$26*0.8&gt;5800,"",IF($AE496*$AA477&gt;$AA501,"",IF(($AA$477*GI$476*$AE$496)&lt;=$ED$474,((MOD($ED$474,($AA$477*GI$476*$AE$496)))),"")))</f>
        <v/>
      </c>
      <c r="GJ477" s="209" t="str">
        <f ca="1">IF($AE496*$AA477*'Customer Base'!$D$26*0.8&gt;5800,"",IF($AE496*$AA477&gt;$AA501,"",IF(($AA$477*GJ$476*$AE$496)&lt;=$ED$474,((MOD($ED$474,($AA$477*GJ$476*$AE$496)))),"")))</f>
        <v/>
      </c>
      <c r="GK477" s="209" t="str">
        <f ca="1">IF($AE496*$AA477*'Customer Base'!$D$26*0.8&gt;5800,"",IF($AE496*$AA477&gt;$AA501,"",IF(($AA$477*GK$476*$AE$496)&lt;=$ED$474,((MOD($ED$474,($AA$477*GK$476*$AE$496)))),"")))</f>
        <v/>
      </c>
      <c r="GL477" s="209" t="str">
        <f ca="1">IF($AE496*$AA477*'Customer Base'!$D$26*0.8&gt;5800,"",IF($AE496*$AA477&gt;$AA501,"",IF(($AA$477*GL$476*$AE$496)&lt;=$ED$474,((MOD($ED$474,($AA$477*GL$476*$AE$496)))),"")))</f>
        <v/>
      </c>
      <c r="GM477" s="209" t="str">
        <f ca="1">IF($AE496*$AA477*'Customer Base'!$D$26*0.8&gt;5800,"",IF($AE496*$AA477&gt;$AA501,"",IF(($AA$477*GM$476*$AE$496)&lt;=$ED$474,((MOD($ED$474,($AA$477*GM$476*$AE$496)))),"")))</f>
        <v/>
      </c>
      <c r="GN477" s="209" t="str">
        <f ca="1">IF($AE496*$AA477*'Customer Base'!$D$26*0.8&gt;5800,"",IF($AE496*$AA477&gt;$AA501,"",IF(($AA$477*GN$476*$AE$496)&lt;=$ED$474,((MOD($ED$474,($AA$477*GN$476*$AE$496)))),"")))</f>
        <v/>
      </c>
      <c r="GO477" s="209" t="str">
        <f ca="1">IF($AE496*$AA477*'Customer Base'!$D$26*0.8&gt;5800,"",IF($AE496*$AA477&gt;$AA501,"",IF(($AA$477*GO$476*$AE$496)&lt;=$ED$474,((MOD($ED$474,($AA$477*GO$476*$AE$496)))),"")))</f>
        <v/>
      </c>
      <c r="GP477" s="209" t="str">
        <f ca="1">IF($AE496*$AA477*'Customer Base'!$D$26*0.8&gt;5800,"",IF($AE496*$AA477&gt;$AA501,"",IF(($AA$477*GP$476*$AE$496)&lt;=$ED$474,((MOD($ED$474,($AA$477*GP$476*$AE$496)))),"")))</f>
        <v/>
      </c>
      <c r="GQ477" s="209" t="str">
        <f ca="1">IF($AE496*$AA477*'Customer Base'!$D$26*0.8&gt;5800,"",IF($AE496*$AA477&gt;$AA501,"",IF(($AA$477*GQ$476*$AE$496)&lt;=$ED$474,((MOD($ED$474,($AA$477*GQ$476*$AE$496)))),"")))</f>
        <v/>
      </c>
      <c r="GR477" s="209" t="str">
        <f ca="1">IF($AE496*$AA477*'Customer Base'!$D$26*0.8&gt;5800,"",IF($AE496*$AA477&gt;$AA501,"",IF(($AA$477*GR$476*$AE$496)&lt;=$ED$474,((MOD($ED$474,($AA$477*GR$476*$AE$496)))),"")))</f>
        <v/>
      </c>
      <c r="GS477" s="209" t="str">
        <f ca="1">IF($AE496*$AA477*'Customer Base'!$D$26*0.8&gt;5800,"",IF($AE496*$AA477&gt;$AA501,"",IF(($AA$477*GS$476*$AE$496)&lt;=$ED$474,((MOD($ED$474,($AA$477*GS$476*$AE$496)))),"")))</f>
        <v/>
      </c>
      <c r="GT477" s="209" t="str">
        <f ca="1">IF($AE496*$AA477*'Customer Base'!$D$26*0.8&gt;5800,"",IF($AE496*$AA477&gt;$AA501,"",IF(($AA$477*GT$476*$AE$496)&lt;=$ED$474,((MOD($ED$474,($AA$477*GT$476*$AE$496)))),"")))</f>
        <v/>
      </c>
      <c r="GU477" s="209" t="str">
        <f ca="1">IF($AE496*$AA477*'Customer Base'!$D$26*0.8&gt;5800,"",IF($AE496*$AA477&gt;$AA501,"",IF(($AA$477*GU$476*$AE$496)&lt;=$ED$474,((MOD($ED$474,($AA$477*GU$476*$AE$496)))),"")))</f>
        <v/>
      </c>
      <c r="GV477" s="209" t="str">
        <f ca="1">IF($AE496*$AA477*'Customer Base'!$D$26*0.8&gt;5800,"",IF($AE496*$AA477&gt;$AA501,"",IF(($AA$477*GV$476*$AE$496)&lt;=$ED$474,((MOD($ED$474,($AA$477*GV$476*$AE$496)))),"")))</f>
        <v/>
      </c>
      <c r="GW477" s="209" t="str">
        <f ca="1">IF($AE496*$AA477*'Customer Base'!$D$26*0.8&gt;5800,"",IF($AE496*$AA477&gt;$AA501,"",IF(($AA$477*GW$476*$AE$496)&lt;=$ED$474,((MOD($ED$474,($AA$477*GW$476*$AE$496)))),"")))</f>
        <v/>
      </c>
      <c r="GX477" s="209" t="str">
        <f ca="1">IF($AE496*$AA477*'Customer Base'!$D$26*0.8&gt;5800,"",IF($AE496*$AA477&gt;$AA501,"",IF(($AA$477*GX$476*$AE$496)&lt;=$ED$474,((MOD($ED$474,($AA$477*GX$476*$AE$496)))),"")))</f>
        <v/>
      </c>
      <c r="GY477" s="209" t="str">
        <f ca="1">IF($AE496*$AA477*'Customer Base'!$D$26*0.8&gt;5800,"",IF($AE496*$AA477&gt;$AA501,"",IF(($AA$477*GY$476*$AE$496)&lt;=$ED$474,((MOD($ED$474,($AA$477*GY$476*$AE$496)))),"")))</f>
        <v/>
      </c>
      <c r="GZ477" s="209" t="str">
        <f ca="1">IF($AE496*$AA477*'Customer Base'!$D$26*0.8&gt;5800,"",IF($AE496*$AA477&gt;$AA501,"",IF(($AA$477*GZ$476*$AE$496)&lt;=$ED$474,((MOD($ED$474,($AA$477*GZ$476*$AE$496)))),"")))</f>
        <v/>
      </c>
      <c r="HA477" s="209" t="str">
        <f ca="1">IF($AE496*$AA477*'Customer Base'!$D$26*0.8&gt;5800,"",IF($AE496*$AA477&gt;$AA501,"",IF(($AA$477*HA$476*$AE$496)&lt;=$ED$474,((MOD($ED$474,($AA$477*HA$476*$AE$496)))),"")))</f>
        <v/>
      </c>
      <c r="HB477" s="209" t="str">
        <f ca="1">IF($AE496*$AA477*'Customer Base'!$D$26*0.8&gt;5800,"",IF($AE496*$AA477&gt;$AA501,"",IF(($AA$477*HB$476*$AE$496)&lt;=$ED$474,((MOD($ED$474,($AA$477*HB$476*$AE$496)))),"")))</f>
        <v/>
      </c>
      <c r="HC477" s="209" t="str">
        <f ca="1">IF($AE496*$AA477*'Customer Base'!$D$26*0.8&gt;5800,"",IF($AE496*$AA477&gt;$AA501,"",IF(($AA$477*HC$476*$AE$496)&lt;=$ED$474,((MOD($ED$474,($AA$477*HC$476*$AE$496)))),"")))</f>
        <v/>
      </c>
      <c r="HD477" s="209" t="str">
        <f ca="1">IF($AE496*$AA477*'Customer Base'!$D$26*0.8&gt;5800,"",IF($AE496*$AA477&gt;$AA501,"",IF(($AA$477*HD$476*$AE$496)&lt;=$ED$474,((MOD($ED$474,($AA$477*HD$476*$AE$496)))),"")))</f>
        <v/>
      </c>
      <c r="HE477" s="209" t="str">
        <f ca="1">IF($AE496*$AA477*'Customer Base'!$D$26*0.8&gt;5800,"",IF($AE496*$AA477&gt;$AA501,"",IF(($AA$477*HE$476*$AE$496)&lt;=$ED$474,((MOD($ED$474,($AA$477*HE$476*$AE$496)))),"")))</f>
        <v/>
      </c>
      <c r="HF477" s="209" t="str">
        <f ca="1">IF($AE496*$AA477*'Customer Base'!$D$26*0.8&gt;5800,"",IF($AE496*$AA477&gt;$AA501,"",IF(($AA$477*HF$476*$AE$496)&lt;=$ED$474,((MOD($ED$474,($AA$477*HF$476*$AE$496)))),"")))</f>
        <v/>
      </c>
      <c r="HG477" s="209" t="str">
        <f ca="1">IF($AE496*$AA477*'Customer Base'!$D$26*0.8&gt;5800,"",IF($AE496*$AA477&gt;$AA501,"",IF(($AA$477*HG$476*$AE$496)&lt;=$ED$474,((MOD($ED$474,($AA$477*HG$476*$AE$496)))),"")))</f>
        <v/>
      </c>
      <c r="HH477" s="209" t="str">
        <f ca="1">IF($AE496*$AA477*'Customer Base'!$D$26*0.8&gt;5800,"",IF($AE496*$AA477&gt;$AA501,"",IF(($AA$477*HH$476*$AE$496)&lt;=$ED$474,((MOD($ED$474,($AA$477*HH$476*$AE$496)))),"")))</f>
        <v/>
      </c>
      <c r="HI477" s="209" t="str">
        <f ca="1">IF($AE496*$AA477*'Customer Base'!$D$26*0.8&gt;5800,"",IF($AE496*$AA477&gt;$AA501,"",IF(($AA$477*HI$476*$AE$496)&lt;=$ED$474,((MOD($ED$474,($AA$477*HI$476*$AE$496)))),"")))</f>
        <v/>
      </c>
      <c r="HJ477" s="209" t="str">
        <f ca="1">IF($AE496*$AA477*'Customer Base'!$D$26*0.8&gt;5800,"",IF($AE496*$AA477&gt;$AA501,"",IF(($AA$477*HJ$476*$AE$496)&lt;=$ED$474,((MOD($ED$474,($AA$477*HJ$476*$AE$496)))),"")))</f>
        <v/>
      </c>
      <c r="HK477" s="209" t="str">
        <f ca="1">IF($AE496*$AA477*'Customer Base'!$D$26*0.8&gt;5800,"",IF($AE496*$AA477&gt;$AA501,"",IF(($AA$477*HK$476*$AE$496)&lt;=$ED$474,((MOD($ED$474,($AA$477*HK$476*$AE$496)))),"")))</f>
        <v/>
      </c>
      <c r="HL477" s="209" t="str">
        <f ca="1">IF($AE496*$AA477*'Customer Base'!$D$26*0.8&gt;5800,"",IF($AE496*$AA477&gt;$AA501,"",IF(($AA$477*HL$476*$AE$496)&lt;=$ED$474,((MOD($ED$474,($AA$477*HL$476*$AE$496)))),"")))</f>
        <v/>
      </c>
      <c r="HM477" s="209" t="str">
        <f ca="1">IF($AE496*$AA477*'Customer Base'!$D$26*0.8&gt;5800,"",IF($AE496*$AA477&gt;$AA501,"",IF(($AA$477*HM$476*$AE$496)&lt;=$ED$474,((MOD($ED$474,($AA$477*HM$476*$AE$496)))),"")))</f>
        <v/>
      </c>
      <c r="HN477" s="209" t="str">
        <f ca="1">IF($AE496*$AA477*'Customer Base'!$D$26*0.8&gt;5800,"",IF($AE496*$AA477&gt;$AA501,"",IF(($AA$477*HN$476*$AE$496)&lt;=$ED$474,((MOD($ED$474,($AA$477*HN$476*$AE$496)))),"")))</f>
        <v/>
      </c>
      <c r="HO477" s="209" t="str">
        <f ca="1">IF($AE496*$AA477*'Customer Base'!$D$26*0.8&gt;5800,"",IF($AE496*$AA477&gt;$AA501,"",IF(($AA$477*HO$476*$AE$496)&lt;=$ED$474,((MOD($ED$474,($AA$477*HO$476*$AE$496)))),"")))</f>
        <v/>
      </c>
      <c r="HP477" s="209" t="str">
        <f ca="1">IF($AE496*$AA477*'Customer Base'!$D$26*0.8&gt;5800,"",IF($AE496*$AA477&gt;$AA501,"",IF(($AA$477*HP$476*$AE$496)&lt;=$ED$474,((MOD($ED$474,($AA$477*HP$476*$AE$496)))),"")))</f>
        <v/>
      </c>
      <c r="HQ477" s="209" t="str">
        <f ca="1">IF($AE496*$AA477*'Customer Base'!$D$26*0.8&gt;5800,"",IF($AE496*$AA477&gt;$AA501,"",IF(($AA$477*HQ$476*$AE$496)&lt;=$ED$474,((MOD($ED$474,($AA$477*HQ$476*$AE$496)))),"")))</f>
        <v/>
      </c>
      <c r="HR477" s="209" t="str">
        <f ca="1">IF($AE496*$AA477*'Customer Base'!$D$26*0.8&gt;5800,"",IF($AE496*$AA477&gt;$AA501,"",IF(($AA$477*HR$476*$AE$496)&lt;=$ED$474,((MOD($ED$474,($AA$477*HR$476*$AE$496)))),"")))</f>
        <v/>
      </c>
      <c r="HS477" s="209" t="str">
        <f ca="1">IF($AE496*$AA477*'Customer Base'!$D$26*0.8&gt;5800,"",IF($AE496*$AA477&gt;$AA501,"",IF(($AA$477*HS$476*$AE$496)&lt;=$ED$474,((MOD($ED$474,($AA$477*HS$476*$AE$496)))),"")))</f>
        <v/>
      </c>
      <c r="HT477" s="209" t="str">
        <f ca="1">IF($AE496*$AA477*'Customer Base'!$D$26*0.8&gt;5800,"",IF($AE496*$AA477&gt;$AA501,"",IF(($AA$477*HT$476*$AE$496)&lt;=$ED$474,((MOD($ED$474,($AA$477*HT$476*$AE$496)))),"")))</f>
        <v/>
      </c>
      <c r="HU477" s="209" t="str">
        <f ca="1">IF($AE496*$AA477*'Customer Base'!$D$26*0.8&gt;5800,"",IF($AE496*$AA477&gt;$AA501,"",IF(($AA$477*HU$476*$AE$496)&lt;=$ED$474,((MOD($ED$474,($AA$477*HU$476*$AE$496)))),"")))</f>
        <v/>
      </c>
      <c r="HV477" s="209" t="str">
        <f ca="1">IF($AE496*$AA477*'Customer Base'!$D$26*0.8&gt;5800,"",IF($AE496*$AA477&gt;$AA501,"",IF(($AA$477*HV$476*$AE$496)&lt;=$ED$474,((MOD($ED$474,($AA$477*HV$476*$AE$496)))),"")))</f>
        <v/>
      </c>
      <c r="HW477" s="209" t="str">
        <f ca="1">IF($AE496*$AA477*'Customer Base'!$D$26*0.8&gt;5800,"",IF($AE496*$AA477&gt;$AA501,"",IF(($AA$477*HW$476*$AE$496)&lt;=$ED$474,((MOD($ED$474,($AA$477*HW$476*$AE$496)))),"")))</f>
        <v/>
      </c>
      <c r="HX477" s="209" t="str">
        <f ca="1">IF($AE496*$AA477*'Customer Base'!$D$26*0.8&gt;5800,"",IF($AE496*$AA477&gt;$AA501,"",IF(($AA$477*HX$476*$AE$496)&lt;=$ED$474,((MOD($ED$474,($AA$477*HX$476*$AE$496)))),"")))</f>
        <v/>
      </c>
      <c r="HY477" s="209" t="str">
        <f ca="1">IF($AE496*$AA477*'Customer Base'!$D$26*0.8&gt;5800,"",IF($AE496*$AA477&gt;$AA501,"",IF(($AA$477*HY$476*$AE$496)&lt;=$ED$474,((MOD($ED$474,($AA$477*HY$476*$AE$496)))),"")))</f>
        <v/>
      </c>
      <c r="HZ477" s="209" t="str">
        <f ca="1">IF($AE496*$AA477*'Customer Base'!$D$26*0.8&gt;5800,"",IF($AE496*$AA477&gt;$AA501,"",IF(($AA$477*HZ$476*$AE$496)&lt;=$ED$474,((MOD($ED$474,($AA$477*HZ$476*$AE$496)))),"")))</f>
        <v/>
      </c>
      <c r="IA477" s="209" t="str">
        <f ca="1">IF($AE496*$AA477*'Customer Base'!$D$26*0.8&gt;5800,"",IF($AE496*$AA477&gt;$AA501,"",IF(($AA$477*IA$476*$AE$496)&lt;=$ED$474,((MOD($ED$474,($AA$477*IA$476*$AE$496)))),"")))</f>
        <v/>
      </c>
      <c r="IB477" s="209" t="str">
        <f ca="1">IF($AE496*$AA477*'Customer Base'!$D$26*0.8&gt;5800,"",IF($AE496*$AA477&gt;$AA501,"",IF(($AA$477*IB$476*$AE$496)&lt;=$ED$474,((MOD($ED$474,($AA$477*IB$476*$AE$496)))),"")))</f>
        <v/>
      </c>
      <c r="IC477" s="209" t="str">
        <f ca="1">IF($AE496*$AA477*'Customer Base'!$D$26*0.8&gt;5800,"",IF($AE496*$AA477&gt;$AA501,"",IF(($AA$477*IC$476*$AE$496)&lt;=$ED$474,((MOD($ED$474,($AA$477*IC$476*$AE$496)))),"")))</f>
        <v/>
      </c>
      <c r="ID477" s="209" t="str">
        <f ca="1">IF($AE496*$AA477*'Customer Base'!$D$26*0.8&gt;5800,"",IF($AE496*$AA477&gt;$AA501,"",IF(($AA$477*ID$476*$AE$496)&lt;=$ED$474,((MOD($ED$474,($AA$477*ID$476*$AE$496)))),"")))</f>
        <v/>
      </c>
      <c r="IE477" s="209" t="str">
        <f ca="1">IF($AE496*$AA477*'Customer Base'!$D$26*0.8&gt;5800,"",IF($AE496*$AA477&gt;$AA501,"",IF(($AA$477*IE$476*$AE$496)&lt;=$ED$474,((MOD($ED$474,($AA$477*IE$476*$AE$496)))),"")))</f>
        <v/>
      </c>
      <c r="IF477" s="209" t="str">
        <f ca="1">IF($AE496*$AA477*'Customer Base'!$D$26*0.8&gt;5800,"",IF($AE496*$AA477&gt;$AA501,"",IF(($AA$477*IF$476*$AE$496)&lt;=$ED$474,((MOD($ED$474,($AA$477*IF$476*$AE$496)))),"")))</f>
        <v/>
      </c>
      <c r="IG477" s="209" t="str">
        <f ca="1">IF($AE496*$AA477*'Customer Base'!$D$26*0.8&gt;5800,"",IF($AE496*$AA477&gt;$AA501,"",IF(($AA$477*IG$476*$AE$496)&lt;=$ED$474,((MOD($ED$474,($AA$477*IG$476*$AE$496)))),"")))</f>
        <v/>
      </c>
      <c r="IH477" s="209" t="str">
        <f ca="1">IF($AE496*$AA477*'Customer Base'!$D$26*0.8&gt;5800,"",IF($AE496*$AA477&gt;$AA501,"",IF(($AA$477*IH$476*$AE$496)&lt;=$ED$474,((MOD($ED$474,($AA$477*IH$476*$AE$496)))),"")))</f>
        <v/>
      </c>
      <c r="II477" s="209" t="str">
        <f ca="1">IF($AE496*$AA477*'Customer Base'!$D$26*0.8&gt;5800,"",IF($AE496*$AA477&gt;$AA501,"",IF(($AA$477*II$476*$AE$496)&lt;=$ED$474,((MOD($ED$474,($AA$477*II$476*$AE$496)))),"")))</f>
        <v/>
      </c>
      <c r="IK477" s="209" t="str" cm="1">
        <f t="array" aca="1" ref="IK477" ca="1">IFERROR(LOOKUP(2,1/(EN477:II477&lt;&gt;""),EN$482:II$482),"")</f>
        <v/>
      </c>
      <c r="IL477" s="311" t="str" cm="1">
        <f t="array" aca="1" ref="IL477" ca="1">IF(IK$474=IK477,LOOKUP(2,1/(EN477:II477&lt;&gt;""),EN477:II477),"")</f>
        <v/>
      </c>
      <c r="IM477" s="311" t="str">
        <f ca="1">IF(IL477=IL$474,1,"")</f>
        <v/>
      </c>
    </row>
    <row r="478" spans="2:250" ht="17">
      <c r="B478" s="206" t="s">
        <v>1331</v>
      </c>
      <c r="C478" s="207" t="s">
        <v>80</v>
      </c>
      <c r="D478" s="207" t="s">
        <v>216</v>
      </c>
      <c r="E478" s="210" t="s">
        <v>1332</v>
      </c>
      <c r="F478" s="102" t="str">
        <f t="shared" si="15"/>
        <v>E</v>
      </c>
      <c r="AA478" s="209">
        <v>3</v>
      </c>
      <c r="AB478" s="311" t="s">
        <v>2686</v>
      </c>
      <c r="AC478" s="209">
        <f ca="1">IFERROR(MOD(AD$493,AA478),"")</f>
        <v>2.25</v>
      </c>
      <c r="AD478" s="209" t="str">
        <f ca="1">IF(OR(AD483=1,AD483=""),"",IF(AND(AC479&lt;&gt;0,AC478=0),IF(AC478=0,AA478,""),IF(AND(MAX(AC477:AC479)=AA478,SUMPRODUCT(AD479,AE479)&lt;&gt;AD483),AA478,"")))</f>
        <v/>
      </c>
      <c r="AE478" s="209" t="str">
        <f ca="1">IFERROR(IF(COUNT(AD478:AD479)&gt;1,1,(ROUNDDOWN(AD$493/AD478,0))),"")</f>
        <v/>
      </c>
      <c r="AF478" s="209">
        <f ca="1">IF($AE496*$AA478*'Customer Base'!$D$26*0.8&gt;5800,"",IF($AE496*$AA478&gt;$AA501,"",IF(($AA$478*AF$476*$AE$496)&lt;=$AA$501,((MOD($AA$501,($AA$478*AF$476*$AE$496)))),"")))</f>
        <v>0</v>
      </c>
      <c r="AG478" s="209">
        <f ca="1">IF($AE496*$AA478*'Customer Base'!$D$26*0.8&gt;5800,"",IF($AE496*$AA478&gt;$AA501,"",IF(($AA$478*AG$476*$AE$496)&lt;=$AA$501,((MOD($AA$501,($AA$478*AG$476*$AE$496)))),"")))</f>
        <v>3</v>
      </c>
      <c r="AH478" s="209">
        <f ca="1">IF($AE496*$AA478*'Customer Base'!$D$26*0.8&gt;5800,"",IF($AE496*$AA478&gt;$AA501,"",IF(($AA$478*AH$476*$AE$496)&lt;=$AA$501,((MOD($AA$501,($AA$478*AH$476*$AE$496)))),"")))</f>
        <v>0</v>
      </c>
      <c r="AI478" s="209" t="str">
        <f ca="1">IF($AE496*$AA478*'Customer Base'!$D$26*0.8&gt;5800,"",IF($AE496*$AA478&gt;$AA501,"",IF(($AA$478*AI$476*$AE$496)&lt;=$AA$501,((MOD($AA$501,($AA$478*AI$476*$AE$496)))),"")))</f>
        <v/>
      </c>
      <c r="AJ478" s="209" t="str">
        <f ca="1">IF($AE496*$AA478*'Customer Base'!$D$26*0.8&gt;5800,"",IF($AE496*$AA478&gt;$AA501,"",IF(($AA$478*AJ$476*$AE$496)&lt;=$AA$501,((MOD($AA$501,($AA$478*AJ$476*$AE$496)))),"")))</f>
        <v/>
      </c>
      <c r="AK478" s="209" t="str">
        <f ca="1">IF($AE496*$AA478*'Customer Base'!$D$26*0.8&gt;5800,"",IF($AE496*$AA478&gt;$AA501,"",IF(($AA$478*AK$476*$AE$496)&lt;=$AA$501,((MOD($AA$501,($AA$478*AK$476*$AE$496)))),"")))</f>
        <v/>
      </c>
      <c r="AL478" s="209" t="str">
        <f ca="1">IF($AE496*$AA478*'Customer Base'!$D$26*0.8&gt;5800,"",IF($AE496*$AA478&gt;$AA501,"",IF(($AA$478*AL$476*$AE$496)&lt;=$AA$501,((MOD($AA$501,($AA$478*AL$476*$AE$496)))),"")))</f>
        <v/>
      </c>
      <c r="AM478" s="209" t="str">
        <f ca="1">IF($AE496*$AA478*'Customer Base'!$D$26*0.8&gt;5800,"",IF($AE496*$AA478&gt;$AA501,"",IF(($AA$478*AM$476*$AE$496)&lt;=$AA$501,((MOD($AA$501,($AA$478*AM$476*$AE$496)))),"")))</f>
        <v/>
      </c>
      <c r="AN478" s="209" t="str">
        <f ca="1">IF($AE496*$AA478*'Customer Base'!$D$26*0.8&gt;5800,"",IF($AE496*$AA478&gt;$AA501,"",IF(($AA$478*AN$476*$AE$496)&lt;=$AA$501,((MOD($AA$501,($AA$478*AN$476*$AE$496)))),"")))</f>
        <v/>
      </c>
      <c r="AO478" s="209" t="str">
        <f ca="1">IF($AE496*$AA478*'Customer Base'!$D$26*0.8&gt;5800,"",IF($AE496*$AA478&gt;$AA501,"",IF(($AA$478*AO$476*$AE$496)&lt;=$AA$501,((MOD($AA$501,($AA$478*AO$476*$AE$496)))),"")))</f>
        <v/>
      </c>
      <c r="AP478" s="209" t="str">
        <f ca="1">IF($AE496*$AA478*'Customer Base'!$D$26*0.8&gt;5800,"",IF($AE496*$AA478&gt;$AA501,"",IF(($AA$478*AP$476*$AE$496)&lt;=$AA$501,((MOD($AA$501,($AA$478*AP$476*$AE$496)))),"")))</f>
        <v/>
      </c>
      <c r="AQ478" s="209" t="str">
        <f ca="1">IF($AE496*$AA478*'Customer Base'!$D$26*0.8&gt;5800,"",IF($AE496*$AA478&gt;$AA501,"",IF(($AA$478*AQ$476*$AE$496)&lt;=$AA$501,((MOD($AA$501,($AA$478*AQ$476*$AE$496)))),"")))</f>
        <v/>
      </c>
      <c r="AR478" s="209" t="str">
        <f ca="1">IF($AE496*$AA478*'Customer Base'!$D$26*0.8&gt;5800,"",IF($AE496*$AA478&gt;$AA501,"",IF(($AA$478*AR$476*$AE$496)&lt;=$AA$501,((MOD($AA$501,($AA$478*AR$476*$AE$496)))),"")))</f>
        <v/>
      </c>
      <c r="AS478" s="209" t="str">
        <f ca="1">IF($AE496*$AA478*'Customer Base'!$D$26*0.8&gt;5800,"",IF($AE496*$AA478&gt;$AA501,"",IF(($AA$478*AS$476*$AE$496)&lt;=$AA$501,((MOD($AA$501,($AA$478*AS$476*$AE$496)))),"")))</f>
        <v/>
      </c>
      <c r="AT478" s="209" t="str">
        <f ca="1">IF($AE496*$AA478*'Customer Base'!$D$26*0.8&gt;5800,"",IF($AE496*$AA478&gt;$AA501,"",IF(($AA$478*AT$476*$AE$496)&lt;=$AA$501,((MOD($AA$501,($AA$478*AT$476*$AE$496)))),"")))</f>
        <v/>
      </c>
      <c r="AU478" s="209" t="str">
        <f ca="1">IF($AE496*$AA478*'Customer Base'!$D$26*0.8&gt;5800,"",IF($AE496*$AA478&gt;$AA501,"",IF(($AA$478*AU$476*$AE$496)&lt;=$AA$501,((MOD($AA$501,($AA$478*AU$476*$AE$496)))),"")))</f>
        <v/>
      </c>
      <c r="AV478" s="209" t="str">
        <f ca="1">IF($AE496*$AA478*'Customer Base'!$D$26*0.8&gt;5800,"",IF($AE496*$AA478&gt;$AA501,"",IF(($AA$478*AV$476*$AE$496)&lt;=$AA$501,((MOD($AA$501,($AA$478*AV$476*$AE$496)))),"")))</f>
        <v/>
      </c>
      <c r="AW478" s="209" t="str">
        <f ca="1">IF($AE496*$AA478*'Customer Base'!$D$26*0.8&gt;5800,"",IF($AE496*$AA478&gt;$AA501,"",IF(($AA$478*AW$476*$AE$496)&lt;=$AA$501,((MOD($AA$501,($AA$478*AW$476*$AE$496)))),"")))</f>
        <v/>
      </c>
      <c r="AX478" s="209" t="str">
        <f ca="1">IF($AE496*$AA478*'Customer Base'!$D$26*0.8&gt;5800,"",IF($AE496*$AA478&gt;$AA501,"",IF(($AA$478*AX$476*$AE$496)&lt;=$AA$501,((MOD($AA$501,($AA$478*AX$476*$AE$496)))),"")))</f>
        <v/>
      </c>
      <c r="AY478" s="209" t="str">
        <f ca="1">IF($AE496*$AA478*'Customer Base'!$D$26*0.8&gt;5800,"",IF($AE496*$AA478&gt;$AA501,"",IF(($AA$478*AY$476*$AE$496)&lt;=$AA$501,((MOD($AA$501,($AA$478*AY$476*$AE$496)))),"")))</f>
        <v/>
      </c>
      <c r="AZ478" s="209" t="str">
        <f ca="1">IF($AE496*$AA478*'Customer Base'!$D$26*0.8&gt;5800,"",IF($AE496*$AA478&gt;$AA501,"",IF(($AA$478*AZ$476*$AE$496)&lt;=$AA$501,((MOD($AA$501,($AA$478*AZ$476*$AE$496)))),"")))</f>
        <v/>
      </c>
      <c r="BA478" s="209" t="str">
        <f ca="1">IF($AE496*$AA478*'Customer Base'!$D$26*0.8&gt;5800,"",IF($AE496*$AA478&gt;$AA501,"",IF(($AA$478*BA$476*$AE$496)&lt;=$AA$501,((MOD($AA$501,($AA$478*BA$476*$AE$496)))),"")))</f>
        <v/>
      </c>
      <c r="BB478" s="209" t="str">
        <f ca="1">IF($AE496*$AA478*'Customer Base'!$D$26*0.8&gt;5800,"",IF($AE496*$AA478&gt;$AA501,"",IF(($AA$478*BB$476*$AE$496)&lt;=$AA$501,((MOD($AA$501,($AA$478*BB$476*$AE$496)))),"")))</f>
        <v/>
      </c>
      <c r="BC478" s="209" t="str">
        <f ca="1">IF($AE496*$AA478*'Customer Base'!$D$26*0.8&gt;5800,"",IF($AE496*$AA478&gt;$AA501,"",IF(($AA$478*BC$476*$AE$496)&lt;=$AA$501,((MOD($AA$501,($AA$478*BC$476*$AE$496)))),"")))</f>
        <v/>
      </c>
      <c r="BD478" s="209" t="str">
        <f ca="1">IF($AE496*$AA478*'Customer Base'!$D$26*0.8&gt;5800,"",IF($AE496*$AA478&gt;$AA501,"",IF(($AA$478*BD$476*$AE$496)&lt;=$AA$501,((MOD($AA$501,($AA$478*BD$476*$AE$496)))),"")))</f>
        <v/>
      </c>
      <c r="BE478" s="209" t="str">
        <f ca="1">IF($AE496*$AA478*'Customer Base'!$D$26*0.8&gt;5800,"",IF($AE496*$AA478&gt;$AA501,"",IF(($AA$478*BE$476*$AE$496)&lt;=$AA$501,((MOD($AA$501,($AA$478*BE$476*$AE$496)))),"")))</f>
        <v/>
      </c>
      <c r="BF478" s="209" t="str">
        <f ca="1">IF($AE496*$AA478*'Customer Base'!$D$26*0.8&gt;5800,"",IF($AE496*$AA478&gt;$AA501,"",IF(($AA$478*BF$476*$AE$496)&lt;=$AA$501,((MOD($AA$501,($AA$478*BF$476*$AE$496)))),"")))</f>
        <v/>
      </c>
      <c r="BG478" s="209" t="str">
        <f ca="1">IF($AE496*$AA478*'Customer Base'!$D$26*0.8&gt;5800,"",IF($AE496*$AA478&gt;$AA501,"",IF(($AA$478*BG$476*$AE$496)&lt;=$AA$501,((MOD($AA$501,($AA$478*BG$476*$AE$496)))),"")))</f>
        <v/>
      </c>
      <c r="BH478" s="209" t="str">
        <f ca="1">IF($AE496*$AA478*'Customer Base'!$D$26*0.8&gt;5800,"",IF($AE496*$AA478&gt;$AA501,"",IF(($AA$478*BH$476*$AE$496)&lt;=$AA$501,((MOD($AA$501,($AA$478*BH$476*$AE$496)))),"")))</f>
        <v/>
      </c>
      <c r="BI478" s="209" t="str">
        <f ca="1">IF($AE496*$AA478*'Customer Base'!$D$26*0.8&gt;5800,"",IF($AE496*$AA478&gt;$AA501,"",IF(($AA$478*BI$476*$AE$496)&lt;=$AA$501,((MOD($AA$501,($AA$478*BI$476*$AE$496)))),"")))</f>
        <v/>
      </c>
      <c r="BJ478" s="209" t="str">
        <f ca="1">IF($AE496*$AA478*'Customer Base'!$D$26*0.8&gt;5800,"",IF($AE496*$AA478&gt;$AA501,"",IF(($AA$478*BJ$476*$AE$496)&lt;=$AA$501,((MOD($AA$501,($AA$478*BJ$476*$AE$496)))),"")))</f>
        <v/>
      </c>
      <c r="BK478" s="209" t="str">
        <f ca="1">IF($AE496*$AA478*'Customer Base'!$D$26*0.8&gt;5800,"",IF($AE496*$AA478&gt;$AA501,"",IF(($AA$478*BK$476*$AE$496)&lt;=$AA$501,((MOD($AA$501,($AA$478*BK$476*$AE$496)))),"")))</f>
        <v/>
      </c>
      <c r="BL478" s="209" t="str">
        <f ca="1">IF($AE496*$AA478*'Customer Base'!$D$26*0.8&gt;5800,"",IF($AE496*$AA478&gt;$AA501,"",IF(($AA$478*BL$476*$AE$496)&lt;=$AA$501,((MOD($AA$501,($AA$478*BL$476*$AE$496)))),"")))</f>
        <v/>
      </c>
      <c r="BM478" s="209" t="str">
        <f ca="1">IF($AE496*$AA478*'Customer Base'!$D$26*0.8&gt;5800,"",IF($AE496*$AA478&gt;$AA501,"",IF(($AA$478*BM$476*$AE$496)&lt;=$AA$501,((MOD($AA$501,($AA$478*BM$476*$AE$496)))),"")))</f>
        <v/>
      </c>
      <c r="BN478" s="209" t="str">
        <f ca="1">IF($AE496*$AA478*'Customer Base'!$D$26*0.8&gt;5800,"",IF($AE496*$AA478&gt;$AA501,"",IF(($AA$478*BN$476*$AE$496)&lt;=$AA$501,((MOD($AA$501,($AA$478*BN$476*$AE$496)))),"")))</f>
        <v/>
      </c>
      <c r="BO478" s="209" t="str">
        <f ca="1">IF($AE496*$AA478*'Customer Base'!$D$26*0.8&gt;5800,"",IF($AE496*$AA478&gt;$AA501,"",IF(($AA$478*BO$476*$AE$496)&lt;=$AA$501,((MOD($AA$501,($AA$478*BO$476*$AE$496)))),"")))</f>
        <v/>
      </c>
      <c r="BP478" s="209" t="str">
        <f ca="1">IF($AE496*$AA478*'Customer Base'!$D$26*0.8&gt;5800,"",IF($AE496*$AA478&gt;$AA501,"",IF(($AA$478*BP$476*$AE$496)&lt;=$AA$501,((MOD($AA$501,($AA$478*BP$476*$AE$496)))),"")))</f>
        <v/>
      </c>
      <c r="BQ478" s="209" t="str">
        <f ca="1">IF($AE496*$AA478*'Customer Base'!$D$26*0.8&gt;5800,"",IF($AE496*$AA478&gt;$AA501,"",IF(($AA$478*BQ$476*$AE$496)&lt;=$AA$501,((MOD($AA$501,($AA$478*BQ$476*$AE$496)))),"")))</f>
        <v/>
      </c>
      <c r="BR478" s="209" t="str">
        <f ca="1">IF($AE496*$AA478*'Customer Base'!$D$26*0.8&gt;5800,"",IF($AE496*$AA478&gt;$AA501,"",IF(($AA$478*BR$476*$AE$496)&lt;=$AA$501,((MOD($AA$501,($AA$478*BR$476*$AE$496)))),"")))</f>
        <v/>
      </c>
      <c r="BS478" s="209" t="str">
        <f ca="1">IF($AE496*$AA478*'Customer Base'!$D$26*0.8&gt;5800,"",IF($AE496*$AA478&gt;$AA501,"",IF(($AA$478*BS$476*$AE$496)&lt;=$AA$501,((MOD($AA$501,($AA$478*BS$476*$AE$496)))),"")))</f>
        <v/>
      </c>
      <c r="BT478" s="209" t="str">
        <f ca="1">IF($AE496*$AA478*'Customer Base'!$D$26*0.8&gt;5800,"",IF($AE496*$AA478&gt;$AA501,"",IF(($AA$478*BT$476*$AE$496)&lt;=$AA$501,((MOD($AA$501,($AA$478*BT$476*$AE$496)))),"")))</f>
        <v/>
      </c>
      <c r="BU478" s="209" t="str">
        <f ca="1">IF($AE496*$AA478*'Customer Base'!$D$26*0.8&gt;5800,"",IF($AE496*$AA478&gt;$AA501,"",IF(($AA$478*BU$476*$AE$496)&lt;=$AA$501,((MOD($AA$501,($AA$478*BU$476*$AE$496)))),"")))</f>
        <v/>
      </c>
      <c r="BV478" s="209" t="str">
        <f ca="1">IF($AE496*$AA478*'Customer Base'!$D$26*0.8&gt;5800,"",IF($AE496*$AA478&gt;$AA501,"",IF(($AA$478*BV$476*$AE$496)&lt;=$AA$501,((MOD($AA$501,($AA$478*BV$476*$AE$496)))),"")))</f>
        <v/>
      </c>
      <c r="BW478" s="209" t="str">
        <f ca="1">IF($AE496*$AA478*'Customer Base'!$D$26*0.8&gt;5800,"",IF($AE496*$AA478&gt;$AA501,"",IF(($AA$478*BW$476*$AE$496)&lt;=$AA$501,((MOD($AA$501,($AA$478*BW$476*$AE$496)))),"")))</f>
        <v/>
      </c>
      <c r="BX478" s="209" t="str">
        <f ca="1">IF($AE496*$AA478*'Customer Base'!$D$26*0.8&gt;5800,"",IF($AE496*$AA478&gt;$AA501,"",IF(($AA$478*BX$476*$AE$496)&lt;=$AA$501,((MOD($AA$501,($AA$478*BX$476*$AE$496)))),"")))</f>
        <v/>
      </c>
      <c r="BY478" s="209" t="str">
        <f ca="1">IF($AE496*$AA478*'Customer Base'!$D$26*0.8&gt;5800,"",IF($AE496*$AA478&gt;$AA501,"",IF(($AA$478*BY$476*$AE$496)&lt;=$AA$501,((MOD($AA$501,($AA$478*BY$476*$AE$496)))),"")))</f>
        <v/>
      </c>
      <c r="BZ478" s="209" t="str">
        <f ca="1">IF($AE496*$AA478*'Customer Base'!$D$26*0.8&gt;5800,"",IF($AE496*$AA478&gt;$AA501,"",IF(($AA$478*BZ$476*$AE$496)&lt;=$AA$501,((MOD($AA$501,($AA$478*BZ$476*$AE$496)))),"")))</f>
        <v/>
      </c>
      <c r="CA478" s="209" t="str">
        <f ca="1">IF($AE496*$AA478*'Customer Base'!$D$26*0.8&gt;5800,"",IF($AE496*$AA478&gt;$AA501,"",IF(($AA$478*CA$476*$AE$496)&lt;=$AA$501,((MOD($AA$501,($AA$478*CA$476*$AE$496)))),"")))</f>
        <v/>
      </c>
      <c r="CB478" s="209" t="str">
        <f ca="1">IF($AE496*$AA478*'Customer Base'!$D$26*0.8&gt;5800,"",IF($AE496*$AA478&gt;$AA501,"",IF(($AA$478*CB$476*$AE$496)&lt;=$AA$501,((MOD($AA$501,($AA$478*CB$476*$AE$496)))),"")))</f>
        <v/>
      </c>
      <c r="CC478" s="209" t="str">
        <f ca="1">IF($AE496*$AA478*'Customer Base'!$D$26*0.8&gt;5800,"",IF($AE496*$AA478&gt;$AA501,"",IF(($AA$478*CC$476*$AE$496)&lt;=$AA$501,((MOD($AA$501,($AA$478*CC$476*$AE$496)))),"")))</f>
        <v/>
      </c>
      <c r="CD478" s="209" t="str">
        <f ca="1">IF($AE496*$AA478*'Customer Base'!$D$26*0.8&gt;5800,"",IF($AE496*$AA478&gt;$AA501,"",IF(($AA$478*CD$476*$AE$496)&lt;=$AA$501,((MOD($AA$501,($AA$478*CD$476*$AE$496)))),"")))</f>
        <v/>
      </c>
      <c r="CE478" s="209" t="str">
        <f ca="1">IF($AE496*$AA478*'Customer Base'!$D$26*0.8&gt;5800,"",IF($AE496*$AA478&gt;$AA501,"",IF(($AA$478*CE$476*$AE$496)&lt;=$AA$501,((MOD($AA$501,($AA$478*CE$476*$AE$496)))),"")))</f>
        <v/>
      </c>
      <c r="CF478" s="209" t="str">
        <f ca="1">IF($AE496*$AA478*'Customer Base'!$D$26*0.8&gt;5800,"",IF($AE496*$AA478&gt;$AA501,"",IF(($AA$478*CF$476*$AE$496)&lt;=$AA$501,((MOD($AA$501,($AA$478*CF$476*$AE$496)))),"")))</f>
        <v/>
      </c>
      <c r="CG478" s="209" t="str">
        <f ca="1">IF($AE496*$AA478*'Customer Base'!$D$26*0.8&gt;5800,"",IF($AE496*$AA478&gt;$AA501,"",IF(($AA$478*CG$476*$AE$496)&lt;=$AA$501,((MOD($AA$501,($AA$478*CG$476*$AE$496)))),"")))</f>
        <v/>
      </c>
      <c r="CH478" s="209" t="str">
        <f ca="1">IF($AE496*$AA478*'Customer Base'!$D$26*0.8&gt;5800,"",IF($AE496*$AA478&gt;$AA501,"",IF(($AA$478*CH$476*$AE$496)&lt;=$AA$501,((MOD($AA$501,($AA$478*CH$476*$AE$496)))),"")))</f>
        <v/>
      </c>
      <c r="CI478" s="209" t="str">
        <f ca="1">IF($AE496*$AA478*'Customer Base'!$D$26*0.8&gt;5800,"",IF($AE496*$AA478&gt;$AA501,"",IF(($AA$478*CI$476*$AE$496)&lt;=$AA$501,((MOD($AA$501,($AA$478*CI$476*$AE$496)))),"")))</f>
        <v/>
      </c>
      <c r="CJ478" s="209" t="str">
        <f ca="1">IF($AE496*$AA478*'Customer Base'!$D$26*0.8&gt;5800,"",IF($AE496*$AA478&gt;$AA501,"",IF(($AA$478*CJ$476*$AE$496)&lt;=$AA$501,((MOD($AA$501,($AA$478*CJ$476*$AE$496)))),"")))</f>
        <v/>
      </c>
      <c r="CK478" s="209" t="str">
        <f ca="1">IF($AE496*$AA478*'Customer Base'!$D$26*0.8&gt;5800,"",IF($AE496*$AA478&gt;$AA501,"",IF(($AA$478*CK$476*$AE$496)&lt;=$AA$501,((MOD($AA$501,($AA$478*CK$476*$AE$496)))),"")))</f>
        <v/>
      </c>
      <c r="CL478" s="209" t="str">
        <f ca="1">IF($AE496*$AA478*'Customer Base'!$D$26*0.8&gt;5800,"",IF($AE496*$AA478&gt;$AA501,"",IF(($AA$478*CL$476*$AE$496)&lt;=$AA$501,((MOD($AA$501,($AA$478*CL$476*$AE$496)))),"")))</f>
        <v/>
      </c>
      <c r="CM478" s="209" t="str">
        <f ca="1">IF($AE496*$AA478*'Customer Base'!$D$26*0.8&gt;5800,"",IF($AE496*$AA478&gt;$AA501,"",IF(($AA$478*CM$476*$AE$496)&lt;=$AA$501,((MOD($AA$501,($AA$478*CM$476*$AE$496)))),"")))</f>
        <v/>
      </c>
      <c r="CN478" s="209" t="str">
        <f ca="1">IF($AE496*$AA478*'Customer Base'!$D$26*0.8&gt;5800,"",IF($AE496*$AA478&gt;$AA501,"",IF(($AA$478*CN$476*$AE$496)&lt;=$AA$501,((MOD($AA$501,($AA$478*CN$476*$AE$496)))),"")))</f>
        <v/>
      </c>
      <c r="CO478" s="209" t="str">
        <f ca="1">IF($AE496*$AA478*'Customer Base'!$D$26*0.8&gt;5800,"",IF($AE496*$AA478&gt;$AA501,"",IF(($AA$478*CO$476*$AE$496)&lt;=$AA$501,((MOD($AA$501,($AA$478*CO$476*$AE$496)))),"")))</f>
        <v/>
      </c>
      <c r="CP478" s="209" t="str">
        <f ca="1">IF($AE496*$AA478*'Customer Base'!$D$26*0.8&gt;5800,"",IF($AE496*$AA478&gt;$AA501,"",IF(($AA$478*CP$476*$AE$496)&lt;=$AA$501,((MOD($AA$501,($AA$478*CP$476*$AE$496)))),"")))</f>
        <v/>
      </c>
      <c r="CQ478" s="209" t="str">
        <f ca="1">IF($AE496*$AA478*'Customer Base'!$D$26*0.8&gt;5800,"",IF($AE496*$AA478&gt;$AA501,"",IF(($AA$478*CQ$476*$AE$496)&lt;=$AA$501,((MOD($AA$501,($AA$478*CQ$476*$AE$496)))),"")))</f>
        <v/>
      </c>
      <c r="CR478" s="209" t="str">
        <f ca="1">IF($AE496*$AA478*'Customer Base'!$D$26*0.8&gt;5800,"",IF($AE496*$AA478&gt;$AA501,"",IF(($AA$478*CR$476*$AE$496)&lt;=$AA$501,((MOD($AA$501,($AA$478*CR$476*$AE$496)))),"")))</f>
        <v/>
      </c>
      <c r="CS478" s="209" t="str">
        <f ca="1">IF($AE496*$AA478*'Customer Base'!$D$26*0.8&gt;5800,"",IF($AE496*$AA478&gt;$AA501,"",IF(($AA$478*CS$476*$AE$496)&lt;=$AA$501,((MOD($AA$501,($AA$478*CS$476*$AE$496)))),"")))</f>
        <v/>
      </c>
      <c r="CT478" s="209" t="str">
        <f ca="1">IF($AE496*$AA478*'Customer Base'!$D$26*0.8&gt;5800,"",IF($AE496*$AA478&gt;$AA501,"",IF(($AA$478*CT$476*$AE$496)&lt;=$AA$501,((MOD($AA$501,($AA$478*CT$476*$AE$496)))),"")))</f>
        <v/>
      </c>
      <c r="CU478" s="209" t="str">
        <f ca="1">IF($AE496*$AA478*'Customer Base'!$D$26*0.8&gt;5800,"",IF($AE496*$AA478&gt;$AA501,"",IF(($AA$478*CU$476*$AE$496)&lt;=$AA$501,((MOD($AA$501,($AA$478*CU$476*$AE$496)))),"")))</f>
        <v/>
      </c>
      <c r="CV478" s="209" t="str">
        <f ca="1">IF($AE496*$AA478*'Customer Base'!$D$26*0.8&gt;5800,"",IF($AE496*$AA478&gt;$AA501,"",IF(($AA$478*CV$476*$AE$496)&lt;=$AA$501,((MOD($AA$501,($AA$478*CV$476*$AE$496)))),"")))</f>
        <v/>
      </c>
      <c r="CW478" s="209" t="str">
        <f ca="1">IF($AE496*$AA478*'Customer Base'!$D$26*0.8&gt;5800,"",IF($AE496*$AA478&gt;$AA501,"",IF(($AA$478*CW$476*$AE$496)&lt;=$AA$501,((MOD($AA$501,($AA$478*CW$476*$AE$496)))),"")))</f>
        <v/>
      </c>
      <c r="CX478" s="209" t="str">
        <f ca="1">IF($AE496*$AA478*'Customer Base'!$D$26*0.8&gt;5800,"",IF($AE496*$AA478&gt;$AA501,"",IF(($AA$478*CX$476*$AE$496)&lt;=$AA$501,((MOD($AA$501,($AA$478*CX$476*$AE$496)))),"")))</f>
        <v/>
      </c>
      <c r="CY478" s="209" t="str">
        <f ca="1">IF($AE496*$AA478*'Customer Base'!$D$26*0.8&gt;5800,"",IF($AE496*$AA478&gt;$AA501,"",IF(($AA$478*CY$476*$AE$496)&lt;=$AA$501,((MOD($AA$501,($AA$478*CY$476*$AE$496)))),"")))</f>
        <v/>
      </c>
      <c r="CZ478" s="209" t="str">
        <f ca="1">IF($AE496*$AA478*'Customer Base'!$D$26*0.8&gt;5800,"",IF($AE496*$AA478&gt;$AA501,"",IF(($AA$478*CZ$476*$AE$496)&lt;=$AA$501,((MOD($AA$501,($AA$478*CZ$476*$AE$496)))),"")))</f>
        <v/>
      </c>
      <c r="DA478" s="209" t="str">
        <f ca="1">IF($AE496*$AA478*'Customer Base'!$D$26*0.8&gt;5800,"",IF($AE496*$AA478&gt;$AA501,"",IF(($AA$478*DA$476*$AE$496)&lt;=$AA$501,((MOD($AA$501,($AA$478*DA$476*$AE$496)))),"")))</f>
        <v/>
      </c>
      <c r="DB478" s="209" t="str">
        <f ca="1">IF($AE496*$AA478*'Customer Base'!$D$26*0.8&gt;5800,"",IF($AE496*$AA478&gt;$AA501,"",IF(($AA$478*DB$476*$AE$496)&lt;=$AA$501,((MOD($AA$501,($AA$478*DB$476*$AE$496)))),"")))</f>
        <v/>
      </c>
      <c r="DC478" s="209" t="str">
        <f ca="1">IF($AE496*$AA478*'Customer Base'!$D$26*0.8&gt;5800,"",IF($AE496*$AA478&gt;$AA501,"",IF(($AA$478*DC$476*$AE$496)&lt;=$AA$501,((MOD($AA$501,($AA$478*DC$476*$AE$496)))),"")))</f>
        <v/>
      </c>
      <c r="DD478" s="209" t="str">
        <f ca="1">IF($AE496*$AA478*'Customer Base'!$D$26*0.8&gt;5800,"",IF($AE496*$AA478&gt;$AA501,"",IF(($AA$478*DD$476*$AE$496)&lt;=$AA$501,((MOD($AA$501,($AA$478*DD$476*$AE$496)))),"")))</f>
        <v/>
      </c>
      <c r="DE478" s="209" t="str">
        <f ca="1">IF($AE496*$AA478*'Customer Base'!$D$26*0.8&gt;5800,"",IF($AE496*$AA478&gt;$AA501,"",IF(($AA$478*DE$476*$AE$496)&lt;=$AA$501,((MOD($AA$501,($AA$478*DE$476*$AE$496)))),"")))</f>
        <v/>
      </c>
      <c r="DF478" s="209" t="str">
        <f ca="1">IF($AE496*$AA478*'Customer Base'!$D$26*0.8&gt;5800,"",IF($AE496*$AA478&gt;$AA501,"",IF(($AA$478*DF$476*$AE$496)&lt;=$AA$501,((MOD($AA$501,($AA$478*DF$476*$AE$496)))),"")))</f>
        <v/>
      </c>
      <c r="DG478" s="209" t="str">
        <f ca="1">IF($AE496*$AA478*'Customer Base'!$D$26*0.8&gt;5800,"",IF($AE496*$AA478&gt;$AA501,"",IF(($AA$478*DG$476*$AE$496)&lt;=$AA$501,((MOD($AA$501,($AA$478*DG$476*$AE$496)))),"")))</f>
        <v/>
      </c>
      <c r="DH478" s="209" t="str">
        <f ca="1">IF($AE496*$AA478*'Customer Base'!$D$26*0.8&gt;5800,"",IF($AE496*$AA478&gt;$AA501,"",IF(($AA$478*DH$476*$AE$496)&lt;=$AA$501,((MOD($AA$501,($AA$478*DH$476*$AE$496)))),"")))</f>
        <v/>
      </c>
      <c r="DI478" s="209" t="str">
        <f ca="1">IF($AE496*$AA478*'Customer Base'!$D$26*0.8&gt;5800,"",IF($AE496*$AA478&gt;$AA501,"",IF(($AA$478*DI$476*$AE$496)&lt;=$AA$501,((MOD($AA$501,($AA$478*DI$476*$AE$496)))),"")))</f>
        <v/>
      </c>
      <c r="DJ478" s="209" t="str">
        <f ca="1">IF($AE496*$AA478*'Customer Base'!$D$26*0.8&gt;5800,"",IF($AE496*$AA478&gt;$AA501,"",IF(($AA$478*DJ$476*$AE$496)&lt;=$AA$501,((MOD($AA$501,($AA$478*DJ$476*$AE$496)))),"")))</f>
        <v/>
      </c>
      <c r="DK478" s="209" t="str">
        <f ca="1">IF($AE496*$AA478*'Customer Base'!$D$26*0.8&gt;5800,"",IF($AE496*$AA478&gt;$AA501,"",IF(($AA$478*DK$476*$AE$496)&lt;=$AA$501,((MOD($AA$501,($AA$478*DK$476*$AE$496)))),"")))</f>
        <v/>
      </c>
      <c r="DL478" s="209" t="str">
        <f ca="1">IF($AE496*$AA478*'Customer Base'!$D$26*0.8&gt;5800,"",IF($AE496*$AA478&gt;$AA501,"",IF(($AA$478*DL$476*$AE$496)&lt;=$AA$501,((MOD($AA$501,($AA$478*DL$476*$AE$496)))),"")))</f>
        <v/>
      </c>
      <c r="DM478" s="209" t="str">
        <f ca="1">IF($AE496*$AA478*'Customer Base'!$D$26*0.8&gt;5800,"",IF($AE496*$AA478&gt;$AA501,"",IF(($AA$478*DM$476*$AE$496)&lt;=$AA$501,((MOD($AA$501,($AA$478*DM$476*$AE$496)))),"")))</f>
        <v/>
      </c>
      <c r="DN478" s="209" t="str">
        <f ca="1">IF($AE496*$AA478*'Customer Base'!$D$26*0.8&gt;5800,"",IF($AE496*$AA478&gt;$AA501,"",IF(($AA$478*DN$476*$AE$496)&lt;=$AA$501,((MOD($AA$501,($AA$478*DN$476*$AE$496)))),"")))</f>
        <v/>
      </c>
      <c r="DO478" s="209" t="str">
        <f ca="1">IF($AE496*$AA478*'Customer Base'!$D$26*0.8&gt;5800,"",IF($AE496*$AA478&gt;$AA501,"",IF(($AA$478*DO$476*$AE$496)&lt;=$AA$501,((MOD($AA$501,($AA$478*DO$476*$AE$496)))),"")))</f>
        <v/>
      </c>
      <c r="DP478" s="209" t="str">
        <f ca="1">IF($AE496*$AA478*'Customer Base'!$D$26*0.8&gt;5800,"",IF($AE496*$AA478&gt;$AA501,"",IF(($AA$478*DP$476*$AE$496)&lt;=$AA$501,((MOD($AA$501,($AA$478*DP$476*$AE$496)))),"")))</f>
        <v/>
      </c>
      <c r="DQ478" s="209" t="str">
        <f ca="1">IF($AE496*$AA478*'Customer Base'!$D$26*0.8&gt;5800,"",IF($AE496*$AA478&gt;$AA501,"",IF(($AA$478*DQ$476*$AE$496)&lt;=$AA$501,((MOD($AA$501,($AA$478*DQ$476*$AE$496)))),"")))</f>
        <v/>
      </c>
      <c r="DR478" s="209" t="str">
        <f ca="1">IF($AE496*$AA478*'Customer Base'!$D$26*0.8&gt;5800,"",IF($AE496*$AA478&gt;$AA501,"",IF(($AA$478*DR$476*$AE$496)&lt;=$AA$501,((MOD($AA$501,($AA$478*DR$476*$AE$496)))),"")))</f>
        <v/>
      </c>
      <c r="DS478" s="209" t="str">
        <f ca="1">IF($AE496*$AA478*'Customer Base'!$D$26*0.8&gt;5800,"",IF($AE496*$AA478&gt;$AA501,"",IF(($AA$478*DS$476*$AE$496)&lt;=$AA$501,((MOD($AA$501,($AA$478*DS$476*$AE$496)))),"")))</f>
        <v/>
      </c>
      <c r="DT478" s="209" t="str">
        <f ca="1">IF($AE496*$AA478*'Customer Base'!$D$26*0.8&gt;5800,"",IF($AE496*$AA478&gt;$AA501,"",IF(($AA$478*DT$476*$AE$496)&lt;=$AA$501,((MOD($AA$501,($AA$478*DT$476*$AE$496)))),"")))</f>
        <v/>
      </c>
      <c r="DU478" s="209" t="str">
        <f ca="1">IF($AE496*$AA478*'Customer Base'!$D$26*0.8&gt;5800,"",IF($AE496*$AA478&gt;$AA501,"",IF(($AA$478*DU$476*$AE$496)&lt;=$AA$501,((MOD($AA$501,($AA$478*DU$476*$AE$496)))),"")))</f>
        <v/>
      </c>
      <c r="DV478" s="209" t="str">
        <f ca="1">IF($AE496*$AA478*'Customer Base'!$D$26*0.8&gt;5800,"",IF($AE496*$AA478&gt;$AA501,"",IF(($AA$478*DV$476*$AE$496)&lt;=$AA$501,((MOD($AA$501,($AA$478*DV$476*$AE$496)))),"")))</f>
        <v/>
      </c>
      <c r="DW478" s="209" t="str">
        <f ca="1">IF($AE496*$AA478*'Customer Base'!$D$26*0.8&gt;5800,"",IF($AE496*$AA478&gt;$AA501,"",IF(($AA$478*DW$476*$AE$496)&lt;=$AA$501,((MOD($AA$501,($AA$478*DW$476*$AE$496)))),"")))</f>
        <v/>
      </c>
      <c r="DX478" s="209" t="str">
        <f ca="1">IF($AE496*$AA478*'Customer Base'!$D$26*0.8&gt;5800,"",IF($AE496*$AA478&gt;$AA501,"",IF(($AA$478*DX$476*$AE$496)&lt;=$AA$501,((MOD($AA$501,($AA$478*DX$476*$AE$496)))),"")))</f>
        <v/>
      </c>
      <c r="DY478" s="209" t="str">
        <f ca="1">IF($AE496*$AA478*'Customer Base'!$D$26*0.8&gt;5800,"",IF($AE496*$AA478&gt;$AA501,"",IF(($AA$478*DY$476*$AE$496)&lt;=$AA$501,((MOD($AA$501,($AA$478*DY$476*$AE$496)))),"")))</f>
        <v/>
      </c>
      <c r="DZ478" s="209" t="str">
        <f ca="1">IF($AE496*$AA478*'Customer Base'!$D$26*0.8&gt;5800,"",IF($AE496*$AA478&gt;$AA501,"",IF(($AA$478*DZ$476*$AE$496)&lt;=$AA$501,((MOD($AA$501,($AA$478*DZ$476*$AE$496)))),"")))</f>
        <v/>
      </c>
      <c r="EA478" s="209" t="str">
        <f ca="1">IF($AE496*$AA478*'Customer Base'!$D$26*0.8&gt;5800,"",IF($AE496*$AA478&gt;$AA501,"",IF(($AA$478*EA$476*$AE$496)&lt;=$AA$501,((MOD($AA$501,($AA$478*EA$476*$AE$496)))),"")))</f>
        <v/>
      </c>
      <c r="EC478" s="209" cm="1">
        <f t="array" aca="1" ref="EC478" ca="1">IFERROR(LOOKUP(2,1/(AF478:EA478&lt;&gt;""),AF$482:EA$482),"")</f>
        <v>3</v>
      </c>
      <c r="ED478" s="311" t="str" cm="1">
        <f t="array" aca="1" ref="ED478" ca="1">IF(EC$474=EC478,LOOKUP(2,1/(AF478:EA478&lt;&gt;""),AF478:EA478),"")</f>
        <v/>
      </c>
      <c r="EE478" s="311" t="str">
        <f ca="1">IF(ED478=ED$474,1,"")</f>
        <v/>
      </c>
      <c r="EF478" s="311"/>
      <c r="EG478" s="311"/>
      <c r="EH478" s="311"/>
      <c r="EI478" s="209">
        <v>3</v>
      </c>
      <c r="EJ478" s="311" t="s">
        <v>2686</v>
      </c>
      <c r="EK478" s="209">
        <f>IFERROR(MOD(EL$495,EI478),"")</f>
        <v>0</v>
      </c>
      <c r="EL478" s="209" t="str">
        <f>IF(OR(EL483=1,EL483=""),"",IF(AND(EK479&lt;&gt;0,EK478=0),IF(EK478=0,EI478,""),IF(AND(MAX(EK477:EK479)=EI478,SUMPRODUCT(EL479,EM479)&lt;&gt;EL483),EI478,"")))</f>
        <v/>
      </c>
      <c r="EM478" s="209" t="str">
        <f>IFERROR(IF(COUNT(EL478:EL479)&gt;1,1,(ROUNDDOWN(EL$495/EL478,0))),"")</f>
        <v/>
      </c>
      <c r="EN478" s="209" t="str">
        <f ca="1">IF($AE496*$AA478*'Customer Base'!$D$26*0.8&gt;5800,"",IF($AE496*$AA478&gt;$AA501,"",IF(($AA$478*EN$476*$AE$496)&lt;=$ED$474,((MOD($ED$474,($AA$478*EN$476*$AE$496)))),"")))</f>
        <v/>
      </c>
      <c r="EO478" s="209" t="str">
        <f ca="1">IF($AE496*$AA478*'Customer Base'!$D$26*0.8&gt;5800,"",IF($AE496*$AA478&gt;$AA501,"",IF(($AA$478*EO$476*$AE$496)&lt;=$ED$474,((MOD($ED$474,($AA$478*EO$476*$AE$496)))),"")))</f>
        <v/>
      </c>
      <c r="EP478" s="209" t="str">
        <f ca="1">IF($AE496*$AA478*'Customer Base'!$D$26*0.8&gt;5800,"",IF($AE496*$AA478&gt;$AA501,"",IF(($AA$478*EP$476*$AE$496)&lt;=$ED$474,((MOD($ED$474,($AA$478*EP$476*$AE$496)))),"")))</f>
        <v/>
      </c>
      <c r="EQ478" s="209" t="str">
        <f ca="1">IF($AE496*$AA478*'Customer Base'!$D$26*0.8&gt;5800,"",IF($AE496*$AA478&gt;$AA501,"",IF(($AA$478*EQ$476*$AE$496)&lt;=$ED$474,((MOD($ED$474,($AA$478*EQ$476*$AE$496)))),"")))</f>
        <v/>
      </c>
      <c r="ER478" s="209" t="str">
        <f ca="1">IF($AE496*$AA478*'Customer Base'!$D$26*0.8&gt;5800,"",IF($AE496*$AA478&gt;$AA501,"",IF(($AA$478*ER$476*$AE$496)&lt;=$ED$474,((MOD($ED$474,($AA$478*ER$476*$AE$496)))),"")))</f>
        <v/>
      </c>
      <c r="ES478" s="209" t="str">
        <f ca="1">IF($AE496*$AA478*'Customer Base'!$D$26*0.8&gt;5800,"",IF($AE496*$AA478&gt;$AA501,"",IF(($AA$478*ES$476*$AE$496)&lt;=$ED$474,((MOD($ED$474,($AA$478*ES$476*$AE$496)))),"")))</f>
        <v/>
      </c>
      <c r="ET478" s="209" t="str">
        <f ca="1">IF($AE496*$AA478*'Customer Base'!$D$26*0.8&gt;5800,"",IF($AE496*$AA478&gt;$AA501,"",IF(($AA$478*ET$476*$AE$496)&lt;=$ED$474,((MOD($ED$474,($AA$478*ET$476*$AE$496)))),"")))</f>
        <v/>
      </c>
      <c r="EU478" s="209" t="str">
        <f ca="1">IF($AE496*$AA478*'Customer Base'!$D$26*0.8&gt;5800,"",IF($AE496*$AA478&gt;$AA501,"",IF(($AA$478*EU$476*$AE$496)&lt;=$ED$474,((MOD($ED$474,($AA$478*EU$476*$AE$496)))),"")))</f>
        <v/>
      </c>
      <c r="EV478" s="209" t="str">
        <f ca="1">IF($AE496*$AA478*'Customer Base'!$D$26*0.8&gt;5800,"",IF($AE496*$AA478&gt;$AA501,"",IF(($AA$478*EV$476*$AE$496)&lt;=$ED$474,((MOD($ED$474,($AA$478*EV$476*$AE$496)))),"")))</f>
        <v/>
      </c>
      <c r="EW478" s="209" t="str">
        <f ca="1">IF($AE496*$AA478*'Customer Base'!$D$26*0.8&gt;5800,"",IF($AE496*$AA478&gt;$AA501,"",IF(($AA$478*EW$476*$AE$496)&lt;=$ED$474,((MOD($ED$474,($AA$478*EW$476*$AE$496)))),"")))</f>
        <v/>
      </c>
      <c r="EX478" s="209" t="str">
        <f ca="1">IF($AE496*$AA478*'Customer Base'!$D$26*0.8&gt;5800,"",IF($AE496*$AA478&gt;$AA501,"",IF(($AA$478*EX$476*$AE$496)&lt;=$ED$474,((MOD($ED$474,($AA$478*EX$476*$AE$496)))),"")))</f>
        <v/>
      </c>
      <c r="EY478" s="209" t="str">
        <f ca="1">IF($AE496*$AA478*'Customer Base'!$D$26*0.8&gt;5800,"",IF($AE496*$AA478&gt;$AA501,"",IF(($AA$478*EY$476*$AE$496)&lt;=$ED$474,((MOD($ED$474,($AA$478*EY$476*$AE$496)))),"")))</f>
        <v/>
      </c>
      <c r="EZ478" s="209" t="str">
        <f ca="1">IF($AE496*$AA478*'Customer Base'!$D$26*0.8&gt;5800,"",IF($AE496*$AA478&gt;$AA501,"",IF(($AA$478*EZ$476*$AE$496)&lt;=$ED$474,((MOD($ED$474,($AA$478*EZ$476*$AE$496)))),"")))</f>
        <v/>
      </c>
      <c r="FA478" s="209" t="str">
        <f ca="1">IF($AE496*$AA478*'Customer Base'!$D$26*0.8&gt;5800,"",IF($AE496*$AA478&gt;$AA501,"",IF(($AA$478*FA$476*$AE$496)&lt;=$ED$474,((MOD($ED$474,($AA$478*FA$476*$AE$496)))),"")))</f>
        <v/>
      </c>
      <c r="FB478" s="209" t="str">
        <f ca="1">IF($AE496*$AA478*'Customer Base'!$D$26*0.8&gt;5800,"",IF($AE496*$AA478&gt;$AA501,"",IF(($AA$478*FB$476*$AE$496)&lt;=$ED$474,((MOD($ED$474,($AA$478*FB$476*$AE$496)))),"")))</f>
        <v/>
      </c>
      <c r="FC478" s="209" t="str">
        <f ca="1">IF($AE496*$AA478*'Customer Base'!$D$26*0.8&gt;5800,"",IF($AE496*$AA478&gt;$AA501,"",IF(($AA$478*FC$476*$AE$496)&lt;=$ED$474,((MOD($ED$474,($AA$478*FC$476*$AE$496)))),"")))</f>
        <v/>
      </c>
      <c r="FD478" s="209" t="str">
        <f ca="1">IF($AE496*$AA478*'Customer Base'!$D$26*0.8&gt;5800,"",IF($AE496*$AA478&gt;$AA501,"",IF(($AA$478*FD$476*$AE$496)&lt;=$ED$474,((MOD($ED$474,($AA$478*FD$476*$AE$496)))),"")))</f>
        <v/>
      </c>
      <c r="FE478" s="209" t="str">
        <f ca="1">IF($AE496*$AA478*'Customer Base'!$D$26*0.8&gt;5800,"",IF($AE496*$AA478&gt;$AA501,"",IF(($AA$478*FE$476*$AE$496)&lt;=$ED$474,((MOD($ED$474,($AA$478*FE$476*$AE$496)))),"")))</f>
        <v/>
      </c>
      <c r="FF478" s="209" t="str">
        <f ca="1">IF($AE496*$AA478*'Customer Base'!$D$26*0.8&gt;5800,"",IF($AE496*$AA478&gt;$AA501,"",IF(($AA$478*FF$476*$AE$496)&lt;=$ED$474,((MOD($ED$474,($AA$478*FF$476*$AE$496)))),"")))</f>
        <v/>
      </c>
      <c r="FG478" s="209" t="str">
        <f ca="1">IF($AE496*$AA478*'Customer Base'!$D$26*0.8&gt;5800,"",IF($AE496*$AA478&gt;$AA501,"",IF(($AA$478*FG$476*$AE$496)&lt;=$ED$474,((MOD($ED$474,($AA$478*FG$476*$AE$496)))),"")))</f>
        <v/>
      </c>
      <c r="FH478" s="209" t="str">
        <f ca="1">IF($AE496*$AA478*'Customer Base'!$D$26*0.8&gt;5800,"",IF($AE496*$AA478&gt;$AA501,"",IF(($AA$478*FH$476*$AE$496)&lt;=$ED$474,((MOD($ED$474,($AA$478*FH$476*$AE$496)))),"")))</f>
        <v/>
      </c>
      <c r="FI478" s="209" t="str">
        <f ca="1">IF($AE496*$AA478*'Customer Base'!$D$26*0.8&gt;5800,"",IF($AE496*$AA478&gt;$AA501,"",IF(($AA$478*FI$476*$AE$496)&lt;=$ED$474,((MOD($ED$474,($AA$478*FI$476*$AE$496)))),"")))</f>
        <v/>
      </c>
      <c r="FJ478" s="209" t="str">
        <f ca="1">IF($AE496*$AA478*'Customer Base'!$D$26*0.8&gt;5800,"",IF($AE496*$AA478&gt;$AA501,"",IF(($AA$478*FJ$476*$AE$496)&lt;=$ED$474,((MOD($ED$474,($AA$478*FJ$476*$AE$496)))),"")))</f>
        <v/>
      </c>
      <c r="FK478" s="209" t="str">
        <f ca="1">IF($AE496*$AA478*'Customer Base'!$D$26*0.8&gt;5800,"",IF($AE496*$AA478&gt;$AA501,"",IF(($AA$478*FK$476*$AE$496)&lt;=$ED$474,((MOD($ED$474,($AA$478*FK$476*$AE$496)))),"")))</f>
        <v/>
      </c>
      <c r="FL478" s="209" t="str">
        <f ca="1">IF($AE496*$AA478*'Customer Base'!$D$26*0.8&gt;5800,"",IF($AE496*$AA478&gt;$AA501,"",IF(($AA$478*FL$476*$AE$496)&lt;=$ED$474,((MOD($ED$474,($AA$478*FL$476*$AE$496)))),"")))</f>
        <v/>
      </c>
      <c r="FM478" s="209" t="str">
        <f ca="1">IF($AE496*$AA478*'Customer Base'!$D$26*0.8&gt;5800,"",IF($AE496*$AA478&gt;$AA501,"",IF(($AA$478*FM$476*$AE$496)&lt;=$ED$474,((MOD($ED$474,($AA$478*FM$476*$AE$496)))),"")))</f>
        <v/>
      </c>
      <c r="FN478" s="209" t="str">
        <f ca="1">IF($AE496*$AA478*'Customer Base'!$D$26*0.8&gt;5800,"",IF($AE496*$AA478&gt;$AA501,"",IF(($AA$478*FN$476*$AE$496)&lt;=$ED$474,((MOD($ED$474,($AA$478*FN$476*$AE$496)))),"")))</f>
        <v/>
      </c>
      <c r="FO478" s="209" t="str">
        <f ca="1">IF($AE496*$AA478*'Customer Base'!$D$26*0.8&gt;5800,"",IF($AE496*$AA478&gt;$AA501,"",IF(($AA$478*FO$476*$AE$496)&lt;=$ED$474,((MOD($ED$474,($AA$478*FO$476*$AE$496)))),"")))</f>
        <v/>
      </c>
      <c r="FP478" s="209" t="str">
        <f ca="1">IF($AE496*$AA478*'Customer Base'!$D$26*0.8&gt;5800,"",IF($AE496*$AA478&gt;$AA501,"",IF(($AA$478*FP$476*$AE$496)&lt;=$ED$474,((MOD($ED$474,($AA$478*FP$476*$AE$496)))),"")))</f>
        <v/>
      </c>
      <c r="FQ478" s="209" t="str">
        <f ca="1">IF($AE496*$AA478*'Customer Base'!$D$26*0.8&gt;5800,"",IF($AE496*$AA478&gt;$AA501,"",IF(($AA$478*FQ$476*$AE$496)&lt;=$ED$474,((MOD($ED$474,($AA$478*FQ$476*$AE$496)))),"")))</f>
        <v/>
      </c>
      <c r="FR478" s="209" t="str">
        <f ca="1">IF($AE496*$AA478*'Customer Base'!$D$26*0.8&gt;5800,"",IF($AE496*$AA478&gt;$AA501,"",IF(($AA$478*FR$476*$AE$496)&lt;=$ED$474,((MOD($ED$474,($AA$478*FR$476*$AE$496)))),"")))</f>
        <v/>
      </c>
      <c r="FS478" s="209" t="str">
        <f ca="1">IF($AE496*$AA478*'Customer Base'!$D$26*0.8&gt;5800,"",IF($AE496*$AA478&gt;$AA501,"",IF(($AA$478*FS$476*$AE$496)&lt;=$ED$474,((MOD($ED$474,($AA$478*FS$476*$AE$496)))),"")))</f>
        <v/>
      </c>
      <c r="FT478" s="209" t="str">
        <f ca="1">IF($AE496*$AA478*'Customer Base'!$D$26*0.8&gt;5800,"",IF($AE496*$AA478&gt;$AA501,"",IF(($AA$478*FT$476*$AE$496)&lt;=$ED$474,((MOD($ED$474,($AA$478*FT$476*$AE$496)))),"")))</f>
        <v/>
      </c>
      <c r="FU478" s="209" t="str">
        <f ca="1">IF($AE496*$AA478*'Customer Base'!$D$26*0.8&gt;5800,"",IF($AE496*$AA478&gt;$AA501,"",IF(($AA$478*FU$476*$AE$496)&lt;=$ED$474,((MOD($ED$474,($AA$478*FU$476*$AE$496)))),"")))</f>
        <v/>
      </c>
      <c r="FV478" s="209" t="str">
        <f ca="1">IF($AE496*$AA478*'Customer Base'!$D$26*0.8&gt;5800,"",IF($AE496*$AA478&gt;$AA501,"",IF(($AA$478*FV$476*$AE$496)&lt;=$ED$474,((MOD($ED$474,($AA$478*FV$476*$AE$496)))),"")))</f>
        <v/>
      </c>
      <c r="FW478" s="209" t="str">
        <f ca="1">IF($AE496*$AA478*'Customer Base'!$D$26*0.8&gt;5800,"",IF($AE496*$AA478&gt;$AA501,"",IF(($AA$478*FW$476*$AE$496)&lt;=$ED$474,((MOD($ED$474,($AA$478*FW$476*$AE$496)))),"")))</f>
        <v/>
      </c>
      <c r="FX478" s="209" t="str">
        <f ca="1">IF($AE496*$AA478*'Customer Base'!$D$26*0.8&gt;5800,"",IF($AE496*$AA478&gt;$AA501,"",IF(($AA$478*FX$476*$AE$496)&lt;=$ED$474,((MOD($ED$474,($AA$478*FX$476*$AE$496)))),"")))</f>
        <v/>
      </c>
      <c r="FY478" s="209" t="str">
        <f ca="1">IF($AE496*$AA478*'Customer Base'!$D$26*0.8&gt;5800,"",IF($AE496*$AA478&gt;$AA501,"",IF(($AA$478*FY$476*$AE$496)&lt;=$ED$474,((MOD($ED$474,($AA$478*FY$476*$AE$496)))),"")))</f>
        <v/>
      </c>
      <c r="FZ478" s="209" t="str">
        <f ca="1">IF($AE496*$AA478*'Customer Base'!$D$26*0.8&gt;5800,"",IF($AE496*$AA478&gt;$AA501,"",IF(($AA$478*FZ$476*$AE$496)&lt;=$ED$474,((MOD($ED$474,($AA$478*FZ$476*$AE$496)))),"")))</f>
        <v/>
      </c>
      <c r="GA478" s="209" t="str">
        <f ca="1">IF($AE496*$AA478*'Customer Base'!$D$26*0.8&gt;5800,"",IF($AE496*$AA478&gt;$AA501,"",IF(($AA$478*GA$476*$AE$496)&lt;=$ED$474,((MOD($ED$474,($AA$478*GA$476*$AE$496)))),"")))</f>
        <v/>
      </c>
      <c r="GB478" s="209" t="str">
        <f ca="1">IF($AE496*$AA478*'Customer Base'!$D$26*0.8&gt;5800,"",IF($AE496*$AA478&gt;$AA501,"",IF(($AA$478*GB$476*$AE$496)&lt;=$ED$474,((MOD($ED$474,($AA$478*GB$476*$AE$496)))),"")))</f>
        <v/>
      </c>
      <c r="GC478" s="209" t="str">
        <f ca="1">IF($AE496*$AA478*'Customer Base'!$D$26*0.8&gt;5800,"",IF($AE496*$AA478&gt;$AA501,"",IF(($AA$478*GC$476*$AE$496)&lt;=$ED$474,((MOD($ED$474,($AA$478*GC$476*$AE$496)))),"")))</f>
        <v/>
      </c>
      <c r="GD478" s="209" t="str">
        <f ca="1">IF($AE496*$AA478*'Customer Base'!$D$26*0.8&gt;5800,"",IF($AE496*$AA478&gt;$AA501,"",IF(($AA$478*GD$476*$AE$496)&lt;=$ED$474,((MOD($ED$474,($AA$478*GD$476*$AE$496)))),"")))</f>
        <v/>
      </c>
      <c r="GE478" s="209" t="str">
        <f ca="1">IF($AE496*$AA478*'Customer Base'!$D$26*0.8&gt;5800,"",IF($AE496*$AA478&gt;$AA501,"",IF(($AA$478*GE$476*$AE$496)&lt;=$ED$474,((MOD($ED$474,($AA$478*GE$476*$AE$496)))),"")))</f>
        <v/>
      </c>
      <c r="GF478" s="209" t="str">
        <f ca="1">IF($AE496*$AA478*'Customer Base'!$D$26*0.8&gt;5800,"",IF($AE496*$AA478&gt;$AA501,"",IF(($AA$478*GF$476*$AE$496)&lt;=$ED$474,((MOD($ED$474,($AA$478*GF$476*$AE$496)))),"")))</f>
        <v/>
      </c>
      <c r="GG478" s="209" t="str">
        <f ca="1">IF($AE496*$AA478*'Customer Base'!$D$26*0.8&gt;5800,"",IF($AE496*$AA478&gt;$AA501,"",IF(($AA$478*GG$476*$AE$496)&lt;=$ED$474,((MOD($ED$474,($AA$478*GG$476*$AE$496)))),"")))</f>
        <v/>
      </c>
      <c r="GH478" s="209" t="str">
        <f ca="1">IF($AE496*$AA478*'Customer Base'!$D$26*0.8&gt;5800,"",IF($AE496*$AA478&gt;$AA501,"",IF(($AA$478*GH$476*$AE$496)&lt;=$ED$474,((MOD($ED$474,($AA$478*GH$476*$AE$496)))),"")))</f>
        <v/>
      </c>
      <c r="GI478" s="209" t="str">
        <f ca="1">IF($AE496*$AA478*'Customer Base'!$D$26*0.8&gt;5800,"",IF($AE496*$AA478&gt;$AA501,"",IF(($AA$478*GI$476*$AE$496)&lt;=$ED$474,((MOD($ED$474,($AA$478*GI$476*$AE$496)))),"")))</f>
        <v/>
      </c>
      <c r="GJ478" s="209" t="str">
        <f ca="1">IF($AE496*$AA478*'Customer Base'!$D$26*0.8&gt;5800,"",IF($AE496*$AA478&gt;$AA501,"",IF(($AA$478*GJ$476*$AE$496)&lt;=$ED$474,((MOD($ED$474,($AA$478*GJ$476*$AE$496)))),"")))</f>
        <v/>
      </c>
      <c r="GK478" s="209" t="str">
        <f ca="1">IF($AE496*$AA478*'Customer Base'!$D$26*0.8&gt;5800,"",IF($AE496*$AA478&gt;$AA501,"",IF(($AA$478*GK$476*$AE$496)&lt;=$ED$474,((MOD($ED$474,($AA$478*GK$476*$AE$496)))),"")))</f>
        <v/>
      </c>
      <c r="GL478" s="209" t="str">
        <f ca="1">IF($AE496*$AA478*'Customer Base'!$D$26*0.8&gt;5800,"",IF($AE496*$AA478&gt;$AA501,"",IF(($AA$478*GL$476*$AE$496)&lt;=$ED$474,((MOD($ED$474,($AA$478*GL$476*$AE$496)))),"")))</f>
        <v/>
      </c>
      <c r="GM478" s="209" t="str">
        <f ca="1">IF($AE496*$AA478*'Customer Base'!$D$26*0.8&gt;5800,"",IF($AE496*$AA478&gt;$AA501,"",IF(($AA$478*GM$476*$AE$496)&lt;=$ED$474,((MOD($ED$474,($AA$478*GM$476*$AE$496)))),"")))</f>
        <v/>
      </c>
      <c r="GN478" s="209" t="str">
        <f ca="1">IF($AE496*$AA478*'Customer Base'!$D$26*0.8&gt;5800,"",IF($AE496*$AA478&gt;$AA501,"",IF(($AA$478*GN$476*$AE$496)&lt;=$ED$474,((MOD($ED$474,($AA$478*GN$476*$AE$496)))),"")))</f>
        <v/>
      </c>
      <c r="GO478" s="209" t="str">
        <f ca="1">IF($AE496*$AA478*'Customer Base'!$D$26*0.8&gt;5800,"",IF($AE496*$AA478&gt;$AA501,"",IF(($AA$478*GO$476*$AE$496)&lt;=$ED$474,((MOD($ED$474,($AA$478*GO$476*$AE$496)))),"")))</f>
        <v/>
      </c>
      <c r="GP478" s="209" t="str">
        <f ca="1">IF($AE496*$AA478*'Customer Base'!$D$26*0.8&gt;5800,"",IF($AE496*$AA478&gt;$AA501,"",IF(($AA$478*GP$476*$AE$496)&lt;=$ED$474,((MOD($ED$474,($AA$478*GP$476*$AE$496)))),"")))</f>
        <v/>
      </c>
      <c r="GQ478" s="209" t="str">
        <f ca="1">IF($AE496*$AA478*'Customer Base'!$D$26*0.8&gt;5800,"",IF($AE496*$AA478&gt;$AA501,"",IF(($AA$478*GQ$476*$AE$496)&lt;=$ED$474,((MOD($ED$474,($AA$478*GQ$476*$AE$496)))),"")))</f>
        <v/>
      </c>
      <c r="GR478" s="209" t="str">
        <f ca="1">IF($AE496*$AA478*'Customer Base'!$D$26*0.8&gt;5800,"",IF($AE496*$AA478&gt;$AA501,"",IF(($AA$478*GR$476*$AE$496)&lt;=$ED$474,((MOD($ED$474,($AA$478*GR$476*$AE$496)))),"")))</f>
        <v/>
      </c>
      <c r="GS478" s="209" t="str">
        <f ca="1">IF($AE496*$AA478*'Customer Base'!$D$26*0.8&gt;5800,"",IF($AE496*$AA478&gt;$AA501,"",IF(($AA$478*GS$476*$AE$496)&lt;=$ED$474,((MOD($ED$474,($AA$478*GS$476*$AE$496)))),"")))</f>
        <v/>
      </c>
      <c r="GT478" s="209" t="str">
        <f ca="1">IF($AE496*$AA478*'Customer Base'!$D$26*0.8&gt;5800,"",IF($AE496*$AA478&gt;$AA501,"",IF(($AA$478*GT$476*$AE$496)&lt;=$ED$474,((MOD($ED$474,($AA$478*GT$476*$AE$496)))),"")))</f>
        <v/>
      </c>
      <c r="GU478" s="209" t="str">
        <f ca="1">IF($AE496*$AA478*'Customer Base'!$D$26*0.8&gt;5800,"",IF($AE496*$AA478&gt;$AA501,"",IF(($AA$478*GU$476*$AE$496)&lt;=$ED$474,((MOD($ED$474,($AA$478*GU$476*$AE$496)))),"")))</f>
        <v/>
      </c>
      <c r="GV478" s="209" t="str">
        <f ca="1">IF($AE496*$AA478*'Customer Base'!$D$26*0.8&gt;5800,"",IF($AE496*$AA478&gt;$AA501,"",IF(($AA$478*GV$476*$AE$496)&lt;=$ED$474,((MOD($ED$474,($AA$478*GV$476*$AE$496)))),"")))</f>
        <v/>
      </c>
      <c r="GW478" s="209" t="str">
        <f ca="1">IF($AE496*$AA478*'Customer Base'!$D$26*0.8&gt;5800,"",IF($AE496*$AA478&gt;$AA501,"",IF(($AA$478*GW$476*$AE$496)&lt;=$ED$474,((MOD($ED$474,($AA$478*GW$476*$AE$496)))),"")))</f>
        <v/>
      </c>
      <c r="GX478" s="209" t="str">
        <f ca="1">IF($AE496*$AA478*'Customer Base'!$D$26*0.8&gt;5800,"",IF($AE496*$AA478&gt;$AA501,"",IF(($AA$478*GX$476*$AE$496)&lt;=$ED$474,((MOD($ED$474,($AA$478*GX$476*$AE$496)))),"")))</f>
        <v/>
      </c>
      <c r="GY478" s="209" t="str">
        <f ca="1">IF($AE496*$AA478*'Customer Base'!$D$26*0.8&gt;5800,"",IF($AE496*$AA478&gt;$AA501,"",IF(($AA$478*GY$476*$AE$496)&lt;=$ED$474,((MOD($ED$474,($AA$478*GY$476*$AE$496)))),"")))</f>
        <v/>
      </c>
      <c r="GZ478" s="209" t="str">
        <f ca="1">IF($AE496*$AA478*'Customer Base'!$D$26*0.8&gt;5800,"",IF($AE496*$AA478&gt;$AA501,"",IF(($AA$478*GZ$476*$AE$496)&lt;=$ED$474,((MOD($ED$474,($AA$478*GZ$476*$AE$496)))),"")))</f>
        <v/>
      </c>
      <c r="HA478" s="209" t="str">
        <f ca="1">IF($AE496*$AA478*'Customer Base'!$D$26*0.8&gt;5800,"",IF($AE496*$AA478&gt;$AA501,"",IF(($AA$478*HA$476*$AE$496)&lt;=$ED$474,((MOD($ED$474,($AA$478*HA$476*$AE$496)))),"")))</f>
        <v/>
      </c>
      <c r="HB478" s="209" t="str">
        <f ca="1">IF($AE496*$AA478*'Customer Base'!$D$26*0.8&gt;5800,"",IF($AE496*$AA478&gt;$AA501,"",IF(($AA$478*HB$476*$AE$496)&lt;=$ED$474,((MOD($ED$474,($AA$478*HB$476*$AE$496)))),"")))</f>
        <v/>
      </c>
      <c r="HC478" s="209" t="str">
        <f ca="1">IF($AE496*$AA478*'Customer Base'!$D$26*0.8&gt;5800,"",IF($AE496*$AA478&gt;$AA501,"",IF(($AA$478*HC$476*$AE$496)&lt;=$ED$474,((MOD($ED$474,($AA$478*HC$476*$AE$496)))),"")))</f>
        <v/>
      </c>
      <c r="HD478" s="209" t="str">
        <f ca="1">IF($AE496*$AA478*'Customer Base'!$D$26*0.8&gt;5800,"",IF($AE496*$AA478&gt;$AA501,"",IF(($AA$478*HD$476*$AE$496)&lt;=$ED$474,((MOD($ED$474,($AA$478*HD$476*$AE$496)))),"")))</f>
        <v/>
      </c>
      <c r="HE478" s="209" t="str">
        <f ca="1">IF($AE496*$AA478*'Customer Base'!$D$26*0.8&gt;5800,"",IF($AE496*$AA478&gt;$AA501,"",IF(($AA$478*HE$476*$AE$496)&lt;=$ED$474,((MOD($ED$474,($AA$478*HE$476*$AE$496)))),"")))</f>
        <v/>
      </c>
      <c r="HF478" s="209" t="str">
        <f ca="1">IF($AE496*$AA478*'Customer Base'!$D$26*0.8&gt;5800,"",IF($AE496*$AA478&gt;$AA501,"",IF(($AA$478*HF$476*$AE$496)&lt;=$ED$474,((MOD($ED$474,($AA$478*HF$476*$AE$496)))),"")))</f>
        <v/>
      </c>
      <c r="HG478" s="209" t="str">
        <f ca="1">IF($AE496*$AA478*'Customer Base'!$D$26*0.8&gt;5800,"",IF($AE496*$AA478&gt;$AA501,"",IF(($AA$478*HG$476*$AE$496)&lt;=$ED$474,((MOD($ED$474,($AA$478*HG$476*$AE$496)))),"")))</f>
        <v/>
      </c>
      <c r="HH478" s="209" t="str">
        <f ca="1">IF($AE496*$AA478*'Customer Base'!$D$26*0.8&gt;5800,"",IF($AE496*$AA478&gt;$AA501,"",IF(($AA$478*HH$476*$AE$496)&lt;=$ED$474,((MOD($ED$474,($AA$478*HH$476*$AE$496)))),"")))</f>
        <v/>
      </c>
      <c r="HI478" s="209" t="str">
        <f ca="1">IF($AE496*$AA478*'Customer Base'!$D$26*0.8&gt;5800,"",IF($AE496*$AA478&gt;$AA501,"",IF(($AA$478*HI$476*$AE$496)&lt;=$ED$474,((MOD($ED$474,($AA$478*HI$476*$AE$496)))),"")))</f>
        <v/>
      </c>
      <c r="HJ478" s="209" t="str">
        <f ca="1">IF($AE496*$AA478*'Customer Base'!$D$26*0.8&gt;5800,"",IF($AE496*$AA478&gt;$AA501,"",IF(($AA$478*HJ$476*$AE$496)&lt;=$ED$474,((MOD($ED$474,($AA$478*HJ$476*$AE$496)))),"")))</f>
        <v/>
      </c>
      <c r="HK478" s="209" t="str">
        <f ca="1">IF($AE496*$AA478*'Customer Base'!$D$26*0.8&gt;5800,"",IF($AE496*$AA478&gt;$AA501,"",IF(($AA$478*HK$476*$AE$496)&lt;=$ED$474,((MOD($ED$474,($AA$478*HK$476*$AE$496)))),"")))</f>
        <v/>
      </c>
      <c r="HL478" s="209" t="str">
        <f ca="1">IF($AE496*$AA478*'Customer Base'!$D$26*0.8&gt;5800,"",IF($AE496*$AA478&gt;$AA501,"",IF(($AA$478*HL$476*$AE$496)&lt;=$ED$474,((MOD($ED$474,($AA$478*HL$476*$AE$496)))),"")))</f>
        <v/>
      </c>
      <c r="HM478" s="209" t="str">
        <f ca="1">IF($AE496*$AA478*'Customer Base'!$D$26*0.8&gt;5800,"",IF($AE496*$AA478&gt;$AA501,"",IF(($AA$478*HM$476*$AE$496)&lt;=$ED$474,((MOD($ED$474,($AA$478*HM$476*$AE$496)))),"")))</f>
        <v/>
      </c>
      <c r="HN478" s="209" t="str">
        <f ca="1">IF($AE496*$AA478*'Customer Base'!$D$26*0.8&gt;5800,"",IF($AE496*$AA478&gt;$AA501,"",IF(($AA$478*HN$476*$AE$496)&lt;=$ED$474,((MOD($ED$474,($AA$478*HN$476*$AE$496)))),"")))</f>
        <v/>
      </c>
      <c r="HO478" s="209" t="str">
        <f ca="1">IF($AE496*$AA478*'Customer Base'!$D$26*0.8&gt;5800,"",IF($AE496*$AA478&gt;$AA501,"",IF(($AA$478*HO$476*$AE$496)&lt;=$ED$474,((MOD($ED$474,($AA$478*HO$476*$AE$496)))),"")))</f>
        <v/>
      </c>
      <c r="HP478" s="209" t="str">
        <f ca="1">IF($AE496*$AA478*'Customer Base'!$D$26*0.8&gt;5800,"",IF($AE496*$AA478&gt;$AA501,"",IF(($AA$478*HP$476*$AE$496)&lt;=$ED$474,((MOD($ED$474,($AA$478*HP$476*$AE$496)))),"")))</f>
        <v/>
      </c>
      <c r="HQ478" s="209" t="str">
        <f ca="1">IF($AE496*$AA478*'Customer Base'!$D$26*0.8&gt;5800,"",IF($AE496*$AA478&gt;$AA501,"",IF(($AA$478*HQ$476*$AE$496)&lt;=$ED$474,((MOD($ED$474,($AA$478*HQ$476*$AE$496)))),"")))</f>
        <v/>
      </c>
      <c r="HR478" s="209" t="str">
        <f ca="1">IF($AE496*$AA478*'Customer Base'!$D$26*0.8&gt;5800,"",IF($AE496*$AA478&gt;$AA501,"",IF(($AA$478*HR$476*$AE$496)&lt;=$ED$474,((MOD($ED$474,($AA$478*HR$476*$AE$496)))),"")))</f>
        <v/>
      </c>
      <c r="HS478" s="209" t="str">
        <f ca="1">IF($AE496*$AA478*'Customer Base'!$D$26*0.8&gt;5800,"",IF($AE496*$AA478&gt;$AA501,"",IF(($AA$478*HS$476*$AE$496)&lt;=$ED$474,((MOD($ED$474,($AA$478*HS$476*$AE$496)))),"")))</f>
        <v/>
      </c>
      <c r="HT478" s="209" t="str">
        <f ca="1">IF($AE496*$AA478*'Customer Base'!$D$26*0.8&gt;5800,"",IF($AE496*$AA478&gt;$AA501,"",IF(($AA$478*HT$476*$AE$496)&lt;=$ED$474,((MOD($ED$474,($AA$478*HT$476*$AE$496)))),"")))</f>
        <v/>
      </c>
      <c r="HU478" s="209" t="str">
        <f ca="1">IF($AE496*$AA478*'Customer Base'!$D$26*0.8&gt;5800,"",IF($AE496*$AA478&gt;$AA501,"",IF(($AA$478*HU$476*$AE$496)&lt;=$ED$474,((MOD($ED$474,($AA$478*HU$476*$AE$496)))),"")))</f>
        <v/>
      </c>
      <c r="HV478" s="209" t="str">
        <f ca="1">IF($AE496*$AA478*'Customer Base'!$D$26*0.8&gt;5800,"",IF($AE496*$AA478&gt;$AA501,"",IF(($AA$478*HV$476*$AE$496)&lt;=$ED$474,((MOD($ED$474,($AA$478*HV$476*$AE$496)))),"")))</f>
        <v/>
      </c>
      <c r="HW478" s="209" t="str">
        <f ca="1">IF($AE496*$AA478*'Customer Base'!$D$26*0.8&gt;5800,"",IF($AE496*$AA478&gt;$AA501,"",IF(($AA$478*HW$476*$AE$496)&lt;=$ED$474,((MOD($ED$474,($AA$478*HW$476*$AE$496)))),"")))</f>
        <v/>
      </c>
      <c r="HX478" s="209" t="str">
        <f ca="1">IF($AE496*$AA478*'Customer Base'!$D$26*0.8&gt;5800,"",IF($AE496*$AA478&gt;$AA501,"",IF(($AA$478*HX$476*$AE$496)&lt;=$ED$474,((MOD($ED$474,($AA$478*HX$476*$AE$496)))),"")))</f>
        <v/>
      </c>
      <c r="HY478" s="209" t="str">
        <f ca="1">IF($AE496*$AA478*'Customer Base'!$D$26*0.8&gt;5800,"",IF($AE496*$AA478&gt;$AA501,"",IF(($AA$478*HY$476*$AE$496)&lt;=$ED$474,((MOD($ED$474,($AA$478*HY$476*$AE$496)))),"")))</f>
        <v/>
      </c>
      <c r="HZ478" s="209" t="str">
        <f ca="1">IF($AE496*$AA478*'Customer Base'!$D$26*0.8&gt;5800,"",IF($AE496*$AA478&gt;$AA501,"",IF(($AA$478*HZ$476*$AE$496)&lt;=$ED$474,((MOD($ED$474,($AA$478*HZ$476*$AE$496)))),"")))</f>
        <v/>
      </c>
      <c r="IA478" s="209" t="str">
        <f ca="1">IF($AE496*$AA478*'Customer Base'!$D$26*0.8&gt;5800,"",IF($AE496*$AA478&gt;$AA501,"",IF(($AA$478*IA$476*$AE$496)&lt;=$ED$474,((MOD($ED$474,($AA$478*IA$476*$AE$496)))),"")))</f>
        <v/>
      </c>
      <c r="IB478" s="209" t="str">
        <f ca="1">IF($AE496*$AA478*'Customer Base'!$D$26*0.8&gt;5800,"",IF($AE496*$AA478&gt;$AA501,"",IF(($AA$478*IB$476*$AE$496)&lt;=$ED$474,((MOD($ED$474,($AA$478*IB$476*$AE$496)))),"")))</f>
        <v/>
      </c>
      <c r="IC478" s="209" t="str">
        <f ca="1">IF($AE496*$AA478*'Customer Base'!$D$26*0.8&gt;5800,"",IF($AE496*$AA478&gt;$AA501,"",IF(($AA$478*IC$476*$AE$496)&lt;=$ED$474,((MOD($ED$474,($AA$478*IC$476*$AE$496)))),"")))</f>
        <v/>
      </c>
      <c r="ID478" s="209" t="str">
        <f ca="1">IF($AE496*$AA478*'Customer Base'!$D$26*0.8&gt;5800,"",IF($AE496*$AA478&gt;$AA501,"",IF(($AA$478*ID$476*$AE$496)&lt;=$ED$474,((MOD($ED$474,($AA$478*ID$476*$AE$496)))),"")))</f>
        <v/>
      </c>
      <c r="IE478" s="209" t="str">
        <f ca="1">IF($AE496*$AA478*'Customer Base'!$D$26*0.8&gt;5800,"",IF($AE496*$AA478&gt;$AA501,"",IF(($AA$478*IE$476*$AE$496)&lt;=$ED$474,((MOD($ED$474,($AA$478*IE$476*$AE$496)))),"")))</f>
        <v/>
      </c>
      <c r="IF478" s="209" t="str">
        <f ca="1">IF($AE496*$AA478*'Customer Base'!$D$26*0.8&gt;5800,"",IF($AE496*$AA478&gt;$AA501,"",IF(($AA$478*IF$476*$AE$496)&lt;=$ED$474,((MOD($ED$474,($AA$478*IF$476*$AE$496)))),"")))</f>
        <v/>
      </c>
      <c r="IG478" s="209" t="str">
        <f ca="1">IF($AE496*$AA478*'Customer Base'!$D$26*0.8&gt;5800,"",IF($AE496*$AA478&gt;$AA501,"",IF(($AA$478*IG$476*$AE$496)&lt;=$ED$474,((MOD($ED$474,($AA$478*IG$476*$AE$496)))),"")))</f>
        <v/>
      </c>
      <c r="IH478" s="209" t="str">
        <f ca="1">IF($AE496*$AA478*'Customer Base'!$D$26*0.8&gt;5800,"",IF($AE496*$AA478&gt;$AA501,"",IF(($AA$478*IH$476*$AE$496)&lt;=$ED$474,((MOD($ED$474,($AA$478*IH$476*$AE$496)))),"")))</f>
        <v/>
      </c>
      <c r="II478" s="209" t="str">
        <f ca="1">IF($AE496*$AA478*'Customer Base'!$D$26*0.8&gt;5800,"",IF($AE496*$AA478&gt;$AA501,"",IF(($AA$478*II$476*$AE$496)&lt;=$ED$474,((MOD($ED$474,($AA$478*II$476*$AE$496)))),"")))</f>
        <v/>
      </c>
      <c r="IK478" s="209" t="str" cm="1">
        <f t="array" aca="1" ref="IK478" ca="1">IFERROR(LOOKUP(2,1/(EN478:II478&lt;&gt;""),EN$482:II$482),"")</f>
        <v/>
      </c>
      <c r="IL478" s="311" t="str" cm="1">
        <f t="array" aca="1" ref="IL478" ca="1">IF(IK$474=IK478,LOOKUP(2,1/(EN478:II478&lt;&gt;""),EN478:II478),"")</f>
        <v/>
      </c>
      <c r="IM478" s="311" t="str">
        <f ca="1">IF(IL478=IL$474,1,"")</f>
        <v/>
      </c>
    </row>
    <row r="479" spans="2:250" ht="17">
      <c r="B479" s="206" t="s">
        <v>1333</v>
      </c>
      <c r="C479" s="207" t="s">
        <v>1334</v>
      </c>
      <c r="D479" s="207" t="s">
        <v>216</v>
      </c>
      <c r="E479" s="210" t="s">
        <v>1335</v>
      </c>
      <c r="F479" s="102" t="str">
        <f t="shared" si="15"/>
        <v>R</v>
      </c>
      <c r="AA479" s="209">
        <v>4</v>
      </c>
      <c r="AB479" s="311" t="s">
        <v>2687</v>
      </c>
      <c r="AC479" s="209">
        <f ca="1">IFERROR(MOD(AD$493,AA479),"")</f>
        <v>2.25</v>
      </c>
      <c r="AD479" s="209" t="str">
        <f ca="1">IF(OR(AD483=1,AD483=""),"",IF(AC479=0,AA479,IF(AND(AC479&lt;&gt;0,AC478&lt;&gt;0,AC477&lt;&gt;0),AA479,IF(AND(AC479&lt;&gt;0,AC478&lt;&gt;0,AC477=0),AA479,""))))</f>
        <v/>
      </c>
      <c r="AE479" s="209" t="str">
        <f ca="1">IFERROR(ROUNDDOWN(AD$493/AD479,0),"")</f>
        <v/>
      </c>
      <c r="AF479" s="209">
        <f ca="1">IF($AE496*$AA479*'Customer Base'!$D$26*0.8&gt;5800,"",IF($AE496*$AA479&gt;$AA501,"",IF(($AA$479*AF$476*$AE$496)&lt;=$AA$501,((MOD($AA$501,($AA$479*AF$476*$AE$496)))),"")))</f>
        <v>1</v>
      </c>
      <c r="AG479" s="209">
        <f ca="1">IF($AE496*$AA479*'Customer Base'!$D$26*0.8&gt;5800,"",IF($AE496*$AA479&gt;$AA501,"",IF(($AA$479*AG$476*$AE$496)&lt;=$AA$501,((MOD($AA$501,($AA$479*AG$476*$AE$496)))),"")))</f>
        <v>1</v>
      </c>
      <c r="AH479" s="209" t="str">
        <f ca="1">IF($AE496*$AA479*'Customer Base'!$D$26*0.8&gt;5800,"",IF($AE496*$AA479&gt;$AA501,"",IF(($AA$479*AH$476*$AE$496)&lt;=$AA$501,((MOD($AA$501,($AA$479*AH$476*$AE$496)))),"")))</f>
        <v/>
      </c>
      <c r="AI479" s="209" t="str">
        <f ca="1">IF($AE496*$AA479*'Customer Base'!$D$26*0.8&gt;5800,"",IF($AE496*$AA479&gt;$AA501,"",IF(($AA$479*AI$476*$AE$496)&lt;=$AA$501,((MOD($AA$501,($AA$479*AI$476*$AE$496)))),"")))</f>
        <v/>
      </c>
      <c r="AJ479" s="209" t="str">
        <f ca="1">IF($AE496*$AA479*'Customer Base'!$D$26*0.8&gt;5800,"",IF($AE496*$AA479&gt;$AA501,"",IF(($AA$479*AJ$476*$AE$496)&lt;=$AA$501,((MOD($AA$501,($AA$479*AJ$476*$AE$496)))),"")))</f>
        <v/>
      </c>
      <c r="AK479" s="209" t="str">
        <f ca="1">IF($AE496*$AA479*'Customer Base'!$D$26*0.8&gt;5800,"",IF($AE496*$AA479&gt;$AA501,"",IF(($AA$479*AK$476*$AE$496)&lt;=$AA$501,((MOD($AA$501,($AA$479*AK$476*$AE$496)))),"")))</f>
        <v/>
      </c>
      <c r="AL479" s="209" t="str">
        <f ca="1">IF($AE496*$AA479*'Customer Base'!$D$26*0.8&gt;5800,"",IF($AE496*$AA479&gt;$AA501,"",IF(($AA$479*AL$476*$AE$496)&lt;=$AA$501,((MOD($AA$501,($AA$479*AL$476*$AE$496)))),"")))</f>
        <v/>
      </c>
      <c r="AM479" s="209" t="str">
        <f ca="1">IF($AE496*$AA479*'Customer Base'!$D$26*0.8&gt;5800,"",IF($AE496*$AA479&gt;$AA501,"",IF(($AA$479*AM$476*$AE$496)&lt;=$AA$501,((MOD($AA$501,($AA$479*AM$476*$AE$496)))),"")))</f>
        <v/>
      </c>
      <c r="AN479" s="209" t="str">
        <f ca="1">IF($AE496*$AA479*'Customer Base'!$D$26*0.8&gt;5800,"",IF($AE496*$AA479&gt;$AA501,"",IF(($AA$479*AN$476*$AE$496)&lt;=$AA$501,((MOD($AA$501,($AA$479*AN$476*$AE$496)))),"")))</f>
        <v/>
      </c>
      <c r="AO479" s="209" t="str">
        <f ca="1">IF($AE496*$AA479*'Customer Base'!$D$26*0.8&gt;5800,"",IF($AE496*$AA479&gt;$AA501,"",IF(($AA$479*AO$476*$AE$496)&lt;=$AA$501,((MOD($AA$501,($AA$479*AO$476*$AE$496)))),"")))</f>
        <v/>
      </c>
      <c r="AP479" s="209" t="str">
        <f ca="1">IF($AE496*$AA479*'Customer Base'!$D$26*0.8&gt;5800,"",IF($AE496*$AA479&gt;$AA501,"",IF(($AA$479*AP$476*$AE$496)&lt;=$AA$501,((MOD($AA$501,($AA$479*AP$476*$AE$496)))),"")))</f>
        <v/>
      </c>
      <c r="AQ479" s="209" t="str">
        <f ca="1">IF($AE496*$AA479*'Customer Base'!$D$26*0.8&gt;5800,"",IF($AE496*$AA479&gt;$AA501,"",IF(($AA$479*AQ$476*$AE$496)&lt;=$AA$501,((MOD($AA$501,($AA$479*AQ$476*$AE$496)))),"")))</f>
        <v/>
      </c>
      <c r="AR479" s="209" t="str">
        <f ca="1">IF($AE496*$AA479*'Customer Base'!$D$26*0.8&gt;5800,"",IF($AE496*$AA479&gt;$AA501,"",IF(($AA$479*AR$476*$AE$496)&lt;=$AA$501,((MOD($AA$501,($AA$479*AR$476*$AE$496)))),"")))</f>
        <v/>
      </c>
      <c r="AS479" s="209" t="str">
        <f ca="1">IF($AE496*$AA479*'Customer Base'!$D$26*0.8&gt;5800,"",IF($AE496*$AA479&gt;$AA501,"",IF(($AA$479*AS$476*$AE$496)&lt;=$AA$501,((MOD($AA$501,($AA$479*AS$476*$AE$496)))),"")))</f>
        <v/>
      </c>
      <c r="AT479" s="209" t="str">
        <f ca="1">IF($AE496*$AA479*'Customer Base'!$D$26*0.8&gt;5800,"",IF($AE496*$AA479&gt;$AA501,"",IF(($AA$479*AT$476*$AE$496)&lt;=$AA$501,((MOD($AA$501,($AA$479*AT$476*$AE$496)))),"")))</f>
        <v/>
      </c>
      <c r="AU479" s="209" t="str">
        <f ca="1">IF($AE496*$AA479*'Customer Base'!$D$26*0.8&gt;5800,"",IF($AE496*$AA479&gt;$AA501,"",IF(($AA$479*AU$476*$AE$496)&lt;=$AA$501,((MOD($AA$501,($AA$479*AU$476*$AE$496)))),"")))</f>
        <v/>
      </c>
      <c r="AV479" s="209" t="str">
        <f ca="1">IF($AE496*$AA479*'Customer Base'!$D$26*0.8&gt;5800,"",IF($AE496*$AA479&gt;$AA501,"",IF(($AA$479*AV$476*$AE$496)&lt;=$AA$501,((MOD($AA$501,($AA$479*AV$476*$AE$496)))),"")))</f>
        <v/>
      </c>
      <c r="AW479" s="209" t="str">
        <f ca="1">IF($AE496*$AA479*'Customer Base'!$D$26*0.8&gt;5800,"",IF($AE496*$AA479&gt;$AA501,"",IF(($AA$479*AW$476*$AE$496)&lt;=$AA$501,((MOD($AA$501,($AA$479*AW$476*$AE$496)))),"")))</f>
        <v/>
      </c>
      <c r="AX479" s="209" t="str">
        <f ca="1">IF($AE496*$AA479*'Customer Base'!$D$26*0.8&gt;5800,"",IF($AE496*$AA479&gt;$AA501,"",IF(($AA$479*AX$476*$AE$496)&lt;=$AA$501,((MOD($AA$501,($AA$479*AX$476*$AE$496)))),"")))</f>
        <v/>
      </c>
      <c r="AY479" s="209" t="str">
        <f ca="1">IF($AE496*$AA479*'Customer Base'!$D$26*0.8&gt;5800,"",IF($AE496*$AA479&gt;$AA501,"",IF(($AA$479*AY$476*$AE$496)&lt;=$AA$501,((MOD($AA$501,($AA$479*AY$476*$AE$496)))),"")))</f>
        <v/>
      </c>
      <c r="AZ479" s="209" t="str">
        <f ca="1">IF($AE496*$AA479*'Customer Base'!$D$26*0.8&gt;5800,"",IF($AE496*$AA479&gt;$AA501,"",IF(($AA$479*AZ$476*$AE$496)&lt;=$AA$501,((MOD($AA$501,($AA$479*AZ$476*$AE$496)))),"")))</f>
        <v/>
      </c>
      <c r="BA479" s="209" t="str">
        <f ca="1">IF($AE496*$AA479*'Customer Base'!$D$26*0.8&gt;5800,"",IF($AE496*$AA479&gt;$AA501,"",IF(($AA$479*BA$476*$AE$496)&lt;=$AA$501,((MOD($AA$501,($AA$479*BA$476*$AE$496)))),"")))</f>
        <v/>
      </c>
      <c r="BB479" s="209" t="str">
        <f ca="1">IF($AE496*$AA479*'Customer Base'!$D$26*0.8&gt;5800,"",IF($AE496*$AA479&gt;$AA501,"",IF(($AA$479*BB$476*$AE$496)&lt;=$AA$501,((MOD($AA$501,($AA$479*BB$476*$AE$496)))),"")))</f>
        <v/>
      </c>
      <c r="BC479" s="209" t="str">
        <f ca="1">IF($AE496*$AA479*'Customer Base'!$D$26*0.8&gt;5800,"",IF($AE496*$AA479&gt;$AA501,"",IF(($AA$479*BC$476*$AE$496)&lt;=$AA$501,((MOD($AA$501,($AA$479*BC$476*$AE$496)))),"")))</f>
        <v/>
      </c>
      <c r="BD479" s="209" t="str">
        <f ca="1">IF($AE496*$AA479*'Customer Base'!$D$26*0.8&gt;5800,"",IF($AE496*$AA479&gt;$AA501,"",IF(($AA$479*BD$476*$AE$496)&lt;=$AA$501,((MOD($AA$501,($AA$479*BD$476*$AE$496)))),"")))</f>
        <v/>
      </c>
      <c r="BE479" s="209" t="str">
        <f ca="1">IF($AE496*$AA479*'Customer Base'!$D$26*0.8&gt;5800,"",IF($AE496*$AA479&gt;$AA501,"",IF(($AA$479*BE$476*$AE$496)&lt;=$AA$501,((MOD($AA$501,($AA$479*BE$476*$AE$496)))),"")))</f>
        <v/>
      </c>
      <c r="BF479" s="209" t="str">
        <f ca="1">IF($AE496*$AA479*'Customer Base'!$D$26*0.8&gt;5800,"",IF($AE496*$AA479&gt;$AA501,"",IF(($AA$479*BF$476*$AE$496)&lt;=$AA$501,((MOD($AA$501,($AA$479*BF$476*$AE$496)))),"")))</f>
        <v/>
      </c>
      <c r="BG479" s="209" t="str">
        <f ca="1">IF($AE496*$AA479*'Customer Base'!$D$26*0.8&gt;5800,"",IF($AE496*$AA479&gt;$AA501,"",IF(($AA$479*BG$476*$AE$496)&lt;=$AA$501,((MOD($AA$501,($AA$479*BG$476*$AE$496)))),"")))</f>
        <v/>
      </c>
      <c r="BH479" s="209" t="str">
        <f ca="1">IF($AE496*$AA479*'Customer Base'!$D$26*0.8&gt;5800,"",IF($AE496*$AA479&gt;$AA501,"",IF(($AA$479*BH$476*$AE$496)&lt;=$AA$501,((MOD($AA$501,($AA$479*BH$476*$AE$496)))),"")))</f>
        <v/>
      </c>
      <c r="BI479" s="209" t="str">
        <f ca="1">IF($AE496*$AA479*'Customer Base'!$D$26*0.8&gt;5800,"",IF($AE496*$AA479&gt;$AA501,"",IF(($AA$479*BI$476*$AE$496)&lt;=$AA$501,((MOD($AA$501,($AA$479*BI$476*$AE$496)))),"")))</f>
        <v/>
      </c>
      <c r="BJ479" s="209" t="str">
        <f ca="1">IF($AE496*$AA479*'Customer Base'!$D$26*0.8&gt;5800,"",IF($AE496*$AA479&gt;$AA501,"",IF(($AA$479*BJ$476*$AE$496)&lt;=$AA$501,((MOD($AA$501,($AA$479*BJ$476*$AE$496)))),"")))</f>
        <v/>
      </c>
      <c r="BK479" s="209" t="str">
        <f ca="1">IF($AE496*$AA479*'Customer Base'!$D$26*0.8&gt;5800,"",IF($AE496*$AA479&gt;$AA501,"",IF(($AA$479*BK$476*$AE$496)&lt;=$AA$501,((MOD($AA$501,($AA$479*BK$476*$AE$496)))),"")))</f>
        <v/>
      </c>
      <c r="BL479" s="209" t="str">
        <f ca="1">IF($AE496*$AA479*'Customer Base'!$D$26*0.8&gt;5800,"",IF($AE496*$AA479&gt;$AA501,"",IF(($AA$479*BL$476*$AE$496)&lt;=$AA$501,((MOD($AA$501,($AA$479*BL$476*$AE$496)))),"")))</f>
        <v/>
      </c>
      <c r="BM479" s="209" t="str">
        <f ca="1">IF($AE496*$AA479*'Customer Base'!$D$26*0.8&gt;5800,"",IF($AE496*$AA479&gt;$AA501,"",IF(($AA$479*BM$476*$AE$496)&lt;=$AA$501,((MOD($AA$501,($AA$479*BM$476*$AE$496)))),"")))</f>
        <v/>
      </c>
      <c r="BN479" s="209" t="str">
        <f ca="1">IF($AE496*$AA479*'Customer Base'!$D$26*0.8&gt;5800,"",IF($AE496*$AA479&gt;$AA501,"",IF(($AA$479*BN$476*$AE$496)&lt;=$AA$501,((MOD($AA$501,($AA$479*BN$476*$AE$496)))),"")))</f>
        <v/>
      </c>
      <c r="BO479" s="209" t="str">
        <f ca="1">IF($AE496*$AA479*'Customer Base'!$D$26*0.8&gt;5800,"",IF($AE496*$AA479&gt;$AA501,"",IF(($AA$479*BO$476*$AE$496)&lt;=$AA$501,((MOD($AA$501,($AA$479*BO$476*$AE$496)))),"")))</f>
        <v/>
      </c>
      <c r="BP479" s="209" t="str">
        <f ca="1">IF($AE496*$AA479*'Customer Base'!$D$26*0.8&gt;5800,"",IF($AE496*$AA479&gt;$AA501,"",IF(($AA$479*BP$476*$AE$496)&lt;=$AA$501,((MOD($AA$501,($AA$479*BP$476*$AE$496)))),"")))</f>
        <v/>
      </c>
      <c r="BQ479" s="209" t="str">
        <f ca="1">IF($AE496*$AA479*'Customer Base'!$D$26*0.8&gt;5800,"",IF($AE496*$AA479&gt;$AA501,"",IF(($AA$479*BQ$476*$AE$496)&lt;=$AA$501,((MOD($AA$501,($AA$479*BQ$476*$AE$496)))),"")))</f>
        <v/>
      </c>
      <c r="BR479" s="209" t="str">
        <f ca="1">IF($AE496*$AA479*'Customer Base'!$D$26*0.8&gt;5800,"",IF($AE496*$AA479&gt;$AA501,"",IF(($AA$479*BR$476*$AE$496)&lt;=$AA$501,((MOD($AA$501,($AA$479*BR$476*$AE$496)))),"")))</f>
        <v/>
      </c>
      <c r="BS479" s="209" t="str">
        <f ca="1">IF($AE496*$AA479*'Customer Base'!$D$26*0.8&gt;5800,"",IF($AE496*$AA479&gt;$AA501,"",IF(($AA$479*BS$476*$AE$496)&lt;=$AA$501,((MOD($AA$501,($AA$479*BS$476*$AE$496)))),"")))</f>
        <v/>
      </c>
      <c r="BT479" s="209" t="str">
        <f ca="1">IF($AE496*$AA479*'Customer Base'!$D$26*0.8&gt;5800,"",IF($AE496*$AA479&gt;$AA501,"",IF(($AA$479*BT$476*$AE$496)&lt;=$AA$501,((MOD($AA$501,($AA$479*BT$476*$AE$496)))),"")))</f>
        <v/>
      </c>
      <c r="BU479" s="209" t="str">
        <f ca="1">IF($AE496*$AA479*'Customer Base'!$D$26*0.8&gt;5800,"",IF($AE496*$AA479&gt;$AA501,"",IF(($AA$479*BU$476*$AE$496)&lt;=$AA$501,((MOD($AA$501,($AA$479*BU$476*$AE$496)))),"")))</f>
        <v/>
      </c>
      <c r="BV479" s="209" t="str">
        <f ca="1">IF($AE496*$AA479*'Customer Base'!$D$26*0.8&gt;5800,"",IF($AE496*$AA479&gt;$AA501,"",IF(($AA$479*BV$476*$AE$496)&lt;=$AA$501,((MOD($AA$501,($AA$479*BV$476*$AE$496)))),"")))</f>
        <v/>
      </c>
      <c r="BW479" s="209" t="str">
        <f ca="1">IF($AE496*$AA479*'Customer Base'!$D$26*0.8&gt;5800,"",IF($AE496*$AA479&gt;$AA501,"",IF(($AA$479*BW$476*$AE$496)&lt;=$AA$501,((MOD($AA$501,($AA$479*BW$476*$AE$496)))),"")))</f>
        <v/>
      </c>
      <c r="BX479" s="209" t="str">
        <f ca="1">IF($AE496*$AA479*'Customer Base'!$D$26*0.8&gt;5800,"",IF($AE496*$AA479&gt;$AA501,"",IF(($AA$479*BX$476*$AE$496)&lt;=$AA$501,((MOD($AA$501,($AA$479*BX$476*$AE$496)))),"")))</f>
        <v/>
      </c>
      <c r="BY479" s="209" t="str">
        <f ca="1">IF($AE496*$AA479*'Customer Base'!$D$26*0.8&gt;5800,"",IF($AE496*$AA479&gt;$AA501,"",IF(($AA$479*BY$476*$AE$496)&lt;=$AA$501,((MOD($AA$501,($AA$479*BY$476*$AE$496)))),"")))</f>
        <v/>
      </c>
      <c r="BZ479" s="209" t="str">
        <f ca="1">IF($AE496*$AA479*'Customer Base'!$D$26*0.8&gt;5800,"",IF($AE496*$AA479&gt;$AA501,"",IF(($AA$479*BZ$476*$AE$496)&lt;=$AA$501,((MOD($AA$501,($AA$479*BZ$476*$AE$496)))),"")))</f>
        <v/>
      </c>
      <c r="CA479" s="209" t="str">
        <f ca="1">IF($AE496*$AA479*'Customer Base'!$D$26*0.8&gt;5800,"",IF($AE496*$AA479&gt;$AA501,"",IF(($AA$479*CA$476*$AE$496)&lt;=$AA$501,((MOD($AA$501,($AA$479*CA$476*$AE$496)))),"")))</f>
        <v/>
      </c>
      <c r="CB479" s="209" t="str">
        <f ca="1">IF($AE496*$AA479*'Customer Base'!$D$26*0.8&gt;5800,"",IF($AE496*$AA479&gt;$AA501,"",IF(($AA$479*CB$476*$AE$496)&lt;=$AA$501,((MOD($AA$501,($AA$479*CB$476*$AE$496)))),"")))</f>
        <v/>
      </c>
      <c r="CC479" s="209" t="str">
        <f ca="1">IF($AE496*$AA479*'Customer Base'!$D$26*0.8&gt;5800,"",IF($AE496*$AA479&gt;$AA501,"",IF(($AA$479*CC$476*$AE$496)&lt;=$AA$501,((MOD($AA$501,($AA$479*CC$476*$AE$496)))),"")))</f>
        <v/>
      </c>
      <c r="CD479" s="209" t="str">
        <f ca="1">IF($AE496*$AA479*'Customer Base'!$D$26*0.8&gt;5800,"",IF($AE496*$AA479&gt;$AA501,"",IF(($AA$479*CD$476*$AE$496)&lt;=$AA$501,((MOD($AA$501,($AA$479*CD$476*$AE$496)))),"")))</f>
        <v/>
      </c>
      <c r="CE479" s="209" t="str">
        <f ca="1">IF($AE496*$AA479*'Customer Base'!$D$26*0.8&gt;5800,"",IF($AE496*$AA479&gt;$AA501,"",IF(($AA$479*CE$476*$AE$496)&lt;=$AA$501,((MOD($AA$501,($AA$479*CE$476*$AE$496)))),"")))</f>
        <v/>
      </c>
      <c r="CF479" s="209" t="str">
        <f ca="1">IF($AE496*$AA479*'Customer Base'!$D$26*0.8&gt;5800,"",IF($AE496*$AA479&gt;$AA501,"",IF(($AA$479*CF$476*$AE$496)&lt;=$AA$501,((MOD($AA$501,($AA$479*CF$476*$AE$496)))),"")))</f>
        <v/>
      </c>
      <c r="CG479" s="209" t="str">
        <f ca="1">IF($AE496*$AA479*'Customer Base'!$D$26*0.8&gt;5800,"",IF($AE496*$AA479&gt;$AA501,"",IF(($AA$479*CG$476*$AE$496)&lt;=$AA$501,((MOD($AA$501,($AA$479*CG$476*$AE$496)))),"")))</f>
        <v/>
      </c>
      <c r="CH479" s="209" t="str">
        <f ca="1">IF($AE496*$AA479*'Customer Base'!$D$26*0.8&gt;5800,"",IF($AE496*$AA479&gt;$AA501,"",IF(($AA$479*CH$476*$AE$496)&lt;=$AA$501,((MOD($AA$501,($AA$479*CH$476*$AE$496)))),"")))</f>
        <v/>
      </c>
      <c r="CI479" s="209" t="str">
        <f ca="1">IF($AE496*$AA479*'Customer Base'!$D$26*0.8&gt;5800,"",IF($AE496*$AA479&gt;$AA501,"",IF(($AA$479*CI$476*$AE$496)&lt;=$AA$501,((MOD($AA$501,($AA$479*CI$476*$AE$496)))),"")))</f>
        <v/>
      </c>
      <c r="CJ479" s="209" t="str">
        <f ca="1">IF($AE496*$AA479*'Customer Base'!$D$26*0.8&gt;5800,"",IF($AE496*$AA479&gt;$AA501,"",IF(($AA$479*CJ$476*$AE$496)&lt;=$AA$501,((MOD($AA$501,($AA$479*CJ$476*$AE$496)))),"")))</f>
        <v/>
      </c>
      <c r="CK479" s="209" t="str">
        <f ca="1">IF($AE496*$AA479*'Customer Base'!$D$26*0.8&gt;5800,"",IF($AE496*$AA479&gt;$AA501,"",IF(($AA$479*CK$476*$AE$496)&lt;=$AA$501,((MOD($AA$501,($AA$479*CK$476*$AE$496)))),"")))</f>
        <v/>
      </c>
      <c r="CL479" s="209" t="str">
        <f ca="1">IF($AE496*$AA479*'Customer Base'!$D$26*0.8&gt;5800,"",IF($AE496*$AA479&gt;$AA501,"",IF(($AA$479*CL$476*$AE$496)&lt;=$AA$501,((MOD($AA$501,($AA$479*CL$476*$AE$496)))),"")))</f>
        <v/>
      </c>
      <c r="CM479" s="209" t="str">
        <f ca="1">IF($AE496*$AA479*'Customer Base'!$D$26*0.8&gt;5800,"",IF($AE496*$AA479&gt;$AA501,"",IF(($AA$479*CM$476*$AE$496)&lt;=$AA$501,((MOD($AA$501,($AA$479*CM$476*$AE$496)))),"")))</f>
        <v/>
      </c>
      <c r="CN479" s="209" t="str">
        <f ca="1">IF($AE496*$AA479*'Customer Base'!$D$26*0.8&gt;5800,"",IF($AE496*$AA479&gt;$AA501,"",IF(($AA$479*CN$476*$AE$496)&lt;=$AA$501,((MOD($AA$501,($AA$479*CN$476*$AE$496)))),"")))</f>
        <v/>
      </c>
      <c r="CO479" s="209" t="str">
        <f ca="1">IF($AE496*$AA479*'Customer Base'!$D$26*0.8&gt;5800,"",IF($AE496*$AA479&gt;$AA501,"",IF(($AA$479*CO$476*$AE$496)&lt;=$AA$501,((MOD($AA$501,($AA$479*CO$476*$AE$496)))),"")))</f>
        <v/>
      </c>
      <c r="CP479" s="209" t="str">
        <f ca="1">IF($AE496*$AA479*'Customer Base'!$D$26*0.8&gt;5800,"",IF($AE496*$AA479&gt;$AA501,"",IF(($AA$479*CP$476*$AE$496)&lt;=$AA$501,((MOD($AA$501,($AA$479*CP$476*$AE$496)))),"")))</f>
        <v/>
      </c>
      <c r="CQ479" s="209" t="str">
        <f ca="1">IF($AE496*$AA479*'Customer Base'!$D$26*0.8&gt;5800,"",IF($AE496*$AA479&gt;$AA501,"",IF(($AA$479*CQ$476*$AE$496)&lt;=$AA$501,((MOD($AA$501,($AA$479*CQ$476*$AE$496)))),"")))</f>
        <v/>
      </c>
      <c r="CR479" s="209" t="str">
        <f ca="1">IF($AE496*$AA479*'Customer Base'!$D$26*0.8&gt;5800,"",IF($AE496*$AA479&gt;$AA501,"",IF(($AA$479*CR$476*$AE$496)&lt;=$AA$501,((MOD($AA$501,($AA$479*CR$476*$AE$496)))),"")))</f>
        <v/>
      </c>
      <c r="CS479" s="209" t="str">
        <f ca="1">IF($AE496*$AA479*'Customer Base'!$D$26*0.8&gt;5800,"",IF($AE496*$AA479&gt;$AA501,"",IF(($AA$479*CS$476*$AE$496)&lt;=$AA$501,((MOD($AA$501,($AA$479*CS$476*$AE$496)))),"")))</f>
        <v/>
      </c>
      <c r="CT479" s="209" t="str">
        <f ca="1">IF($AE496*$AA479*'Customer Base'!$D$26*0.8&gt;5800,"",IF($AE496*$AA479&gt;$AA501,"",IF(($AA$479*CT$476*$AE$496)&lt;=$AA$501,((MOD($AA$501,($AA$479*CT$476*$AE$496)))),"")))</f>
        <v/>
      </c>
      <c r="CU479" s="209" t="str">
        <f ca="1">IF($AE496*$AA479*'Customer Base'!$D$26*0.8&gt;5800,"",IF($AE496*$AA479&gt;$AA501,"",IF(($AA$479*CU$476*$AE$496)&lt;=$AA$501,((MOD($AA$501,($AA$479*CU$476*$AE$496)))),"")))</f>
        <v/>
      </c>
      <c r="CV479" s="209" t="str">
        <f ca="1">IF($AE496*$AA479*'Customer Base'!$D$26*0.8&gt;5800,"",IF($AE496*$AA479&gt;$AA501,"",IF(($AA$479*CV$476*$AE$496)&lt;=$AA$501,((MOD($AA$501,($AA$479*CV$476*$AE$496)))),"")))</f>
        <v/>
      </c>
      <c r="CW479" s="209" t="str">
        <f ca="1">IF($AE496*$AA479*'Customer Base'!$D$26*0.8&gt;5800,"",IF($AE496*$AA479&gt;$AA501,"",IF(($AA$479*CW$476*$AE$496)&lt;=$AA$501,((MOD($AA$501,($AA$479*CW$476*$AE$496)))),"")))</f>
        <v/>
      </c>
      <c r="CX479" s="209" t="str">
        <f ca="1">IF($AE496*$AA479*'Customer Base'!$D$26*0.8&gt;5800,"",IF($AE496*$AA479&gt;$AA501,"",IF(($AA$479*CX$476*$AE$496)&lt;=$AA$501,((MOD($AA$501,($AA$479*CX$476*$AE$496)))),"")))</f>
        <v/>
      </c>
      <c r="CY479" s="209" t="str">
        <f ca="1">IF($AE496*$AA479*'Customer Base'!$D$26*0.8&gt;5800,"",IF($AE496*$AA479&gt;$AA501,"",IF(($AA$479*CY$476*$AE$496)&lt;=$AA$501,((MOD($AA$501,($AA$479*CY$476*$AE$496)))),"")))</f>
        <v/>
      </c>
      <c r="CZ479" s="209" t="str">
        <f ca="1">IF($AE496*$AA479*'Customer Base'!$D$26*0.8&gt;5800,"",IF($AE496*$AA479&gt;$AA501,"",IF(($AA$479*CZ$476*$AE$496)&lt;=$AA$501,((MOD($AA$501,($AA$479*CZ$476*$AE$496)))),"")))</f>
        <v/>
      </c>
      <c r="DA479" s="209" t="str">
        <f ca="1">IF($AE496*$AA479*'Customer Base'!$D$26*0.8&gt;5800,"",IF($AE496*$AA479&gt;$AA501,"",IF(($AA$479*DA$476*$AE$496)&lt;=$AA$501,((MOD($AA$501,($AA$479*DA$476*$AE$496)))),"")))</f>
        <v/>
      </c>
      <c r="DB479" s="209" t="str">
        <f ca="1">IF($AE496*$AA479*'Customer Base'!$D$26*0.8&gt;5800,"",IF($AE496*$AA479&gt;$AA501,"",IF(($AA$479*DB$476*$AE$496)&lt;=$AA$501,((MOD($AA$501,($AA$479*DB$476*$AE$496)))),"")))</f>
        <v/>
      </c>
      <c r="DC479" s="209" t="str">
        <f ca="1">IF($AE496*$AA479*'Customer Base'!$D$26*0.8&gt;5800,"",IF($AE496*$AA479&gt;$AA501,"",IF(($AA$479*DC$476*$AE$496)&lt;=$AA$501,((MOD($AA$501,($AA$479*DC$476*$AE$496)))),"")))</f>
        <v/>
      </c>
      <c r="DD479" s="209" t="str">
        <f ca="1">IF($AE496*$AA479*'Customer Base'!$D$26*0.8&gt;5800,"",IF($AE496*$AA479&gt;$AA501,"",IF(($AA$479*DD$476*$AE$496)&lt;=$AA$501,((MOD($AA$501,($AA$479*DD$476*$AE$496)))),"")))</f>
        <v/>
      </c>
      <c r="DE479" s="209" t="str">
        <f ca="1">IF($AE496*$AA479*'Customer Base'!$D$26*0.8&gt;5800,"",IF($AE496*$AA479&gt;$AA501,"",IF(($AA$479*DE$476*$AE$496)&lt;=$AA$501,((MOD($AA$501,($AA$479*DE$476*$AE$496)))),"")))</f>
        <v/>
      </c>
      <c r="DF479" s="209" t="str">
        <f ca="1">IF($AE496*$AA479*'Customer Base'!$D$26*0.8&gt;5800,"",IF($AE496*$AA479&gt;$AA501,"",IF(($AA$479*DF$476*$AE$496)&lt;=$AA$501,((MOD($AA$501,($AA$479*DF$476*$AE$496)))),"")))</f>
        <v/>
      </c>
      <c r="DG479" s="209" t="str">
        <f ca="1">IF($AE496*$AA479*'Customer Base'!$D$26*0.8&gt;5800,"",IF($AE496*$AA479&gt;$AA501,"",IF(($AA$479*DG$476*$AE$496)&lt;=$AA$501,((MOD($AA$501,($AA$479*DG$476*$AE$496)))),"")))</f>
        <v/>
      </c>
      <c r="DH479" s="209" t="str">
        <f ca="1">IF($AE496*$AA479*'Customer Base'!$D$26*0.8&gt;5800,"",IF($AE496*$AA479&gt;$AA501,"",IF(($AA$479*DH$476*$AE$496)&lt;=$AA$501,((MOD($AA$501,($AA$479*DH$476*$AE$496)))),"")))</f>
        <v/>
      </c>
      <c r="DI479" s="209" t="str">
        <f ca="1">IF($AE496*$AA479*'Customer Base'!$D$26*0.8&gt;5800,"",IF($AE496*$AA479&gt;$AA501,"",IF(($AA$479*DI$476*$AE$496)&lt;=$AA$501,((MOD($AA$501,($AA$479*DI$476*$AE$496)))),"")))</f>
        <v/>
      </c>
      <c r="DJ479" s="209" t="str">
        <f ca="1">IF($AE496*$AA479*'Customer Base'!$D$26*0.8&gt;5800,"",IF($AE496*$AA479&gt;$AA501,"",IF(($AA$479*DJ$476*$AE$496)&lt;=$AA$501,((MOD($AA$501,($AA$479*DJ$476*$AE$496)))),"")))</f>
        <v/>
      </c>
      <c r="DK479" s="209" t="str">
        <f ca="1">IF($AE496*$AA479*'Customer Base'!$D$26*0.8&gt;5800,"",IF($AE496*$AA479&gt;$AA501,"",IF(($AA$479*DK$476*$AE$496)&lt;=$AA$501,((MOD($AA$501,($AA$479*DK$476*$AE$496)))),"")))</f>
        <v/>
      </c>
      <c r="DL479" s="209" t="str">
        <f ca="1">IF($AE496*$AA479*'Customer Base'!$D$26*0.8&gt;5800,"",IF($AE496*$AA479&gt;$AA501,"",IF(($AA$479*DL$476*$AE$496)&lt;=$AA$501,((MOD($AA$501,($AA$479*DL$476*$AE$496)))),"")))</f>
        <v/>
      </c>
      <c r="DM479" s="209" t="str">
        <f ca="1">IF($AE496*$AA479*'Customer Base'!$D$26*0.8&gt;5800,"",IF($AE496*$AA479&gt;$AA501,"",IF(($AA$479*DM$476*$AE$496)&lt;=$AA$501,((MOD($AA$501,($AA$479*DM$476*$AE$496)))),"")))</f>
        <v/>
      </c>
      <c r="DN479" s="209" t="str">
        <f ca="1">IF($AE496*$AA479*'Customer Base'!$D$26*0.8&gt;5800,"",IF($AE496*$AA479&gt;$AA501,"",IF(($AA$479*DN$476*$AE$496)&lt;=$AA$501,((MOD($AA$501,($AA$479*DN$476*$AE$496)))),"")))</f>
        <v/>
      </c>
      <c r="DO479" s="209" t="str">
        <f ca="1">IF($AE496*$AA479*'Customer Base'!$D$26*0.8&gt;5800,"",IF($AE496*$AA479&gt;$AA501,"",IF(($AA$479*DO$476*$AE$496)&lt;=$AA$501,((MOD($AA$501,($AA$479*DO$476*$AE$496)))),"")))</f>
        <v/>
      </c>
      <c r="DP479" s="209" t="str">
        <f ca="1">IF($AE496*$AA479*'Customer Base'!$D$26*0.8&gt;5800,"",IF($AE496*$AA479&gt;$AA501,"",IF(($AA$479*DP$476*$AE$496)&lt;=$AA$501,((MOD($AA$501,($AA$479*DP$476*$AE$496)))),"")))</f>
        <v/>
      </c>
      <c r="DQ479" s="209" t="str">
        <f ca="1">IF($AE496*$AA479*'Customer Base'!$D$26*0.8&gt;5800,"",IF($AE496*$AA479&gt;$AA501,"",IF(($AA$479*DQ$476*$AE$496)&lt;=$AA$501,((MOD($AA$501,($AA$479*DQ$476*$AE$496)))),"")))</f>
        <v/>
      </c>
      <c r="DR479" s="209" t="str">
        <f ca="1">IF($AE496*$AA479*'Customer Base'!$D$26*0.8&gt;5800,"",IF($AE496*$AA479&gt;$AA501,"",IF(($AA$479*DR$476*$AE$496)&lt;=$AA$501,((MOD($AA$501,($AA$479*DR$476*$AE$496)))),"")))</f>
        <v/>
      </c>
      <c r="DS479" s="209" t="str">
        <f ca="1">IF($AE496*$AA479*'Customer Base'!$D$26*0.8&gt;5800,"",IF($AE496*$AA479&gt;$AA501,"",IF(($AA$479*DS$476*$AE$496)&lt;=$AA$501,((MOD($AA$501,($AA$479*DS$476*$AE$496)))),"")))</f>
        <v/>
      </c>
      <c r="DT479" s="209" t="str">
        <f ca="1">IF($AE496*$AA479*'Customer Base'!$D$26*0.8&gt;5800,"",IF($AE496*$AA479&gt;$AA501,"",IF(($AA$479*DT$476*$AE$496)&lt;=$AA$501,((MOD($AA$501,($AA$479*DT$476*$AE$496)))),"")))</f>
        <v/>
      </c>
      <c r="DU479" s="209" t="str">
        <f ca="1">IF($AE496*$AA479*'Customer Base'!$D$26*0.8&gt;5800,"",IF($AE496*$AA479&gt;$AA501,"",IF(($AA$479*DU$476*$AE$496)&lt;=$AA$501,((MOD($AA$501,($AA$479*DU$476*$AE$496)))),"")))</f>
        <v/>
      </c>
      <c r="DV479" s="209" t="str">
        <f ca="1">IF($AE496*$AA479*'Customer Base'!$D$26*0.8&gt;5800,"",IF($AE496*$AA479&gt;$AA501,"",IF(($AA$479*DV$476*$AE$496)&lt;=$AA$501,((MOD($AA$501,($AA$479*DV$476*$AE$496)))),"")))</f>
        <v/>
      </c>
      <c r="DW479" s="209" t="str">
        <f ca="1">IF($AE496*$AA479*'Customer Base'!$D$26*0.8&gt;5800,"",IF($AE496*$AA479&gt;$AA501,"",IF(($AA$479*DW$476*$AE$496)&lt;=$AA$501,((MOD($AA$501,($AA$479*DW$476*$AE$496)))),"")))</f>
        <v/>
      </c>
      <c r="DX479" s="209" t="str">
        <f ca="1">IF($AE496*$AA479*'Customer Base'!$D$26*0.8&gt;5800,"",IF($AE496*$AA479&gt;$AA501,"",IF(($AA$479*DX$476*$AE$496)&lt;=$AA$501,((MOD($AA$501,($AA$479*DX$476*$AE$496)))),"")))</f>
        <v/>
      </c>
      <c r="DY479" s="209" t="str">
        <f ca="1">IF($AE496*$AA479*'Customer Base'!$D$26*0.8&gt;5800,"",IF($AE496*$AA479&gt;$AA501,"",IF(($AA$479*DY$476*$AE$496)&lt;=$AA$501,((MOD($AA$501,($AA$479*DY$476*$AE$496)))),"")))</f>
        <v/>
      </c>
      <c r="DZ479" s="209" t="str">
        <f ca="1">IF($AE496*$AA479*'Customer Base'!$D$26*0.8&gt;5800,"",IF($AE496*$AA479&gt;$AA501,"",IF(($AA$479*DZ$476*$AE$496)&lt;=$AA$501,((MOD($AA$501,($AA$479*DZ$476*$AE$496)))),"")))</f>
        <v/>
      </c>
      <c r="EA479" s="209" t="str">
        <f ca="1">IF($AE496*$AA479*'Customer Base'!$D$26*0.8&gt;5800,"",IF($AE496*$AA479&gt;$AA501,"",IF(($AA$479*EA$476*$AE$496)&lt;=$AA$501,((MOD($AA$501,($AA$479*EA$476*$AE$496)))),"")))</f>
        <v/>
      </c>
      <c r="EC479" s="209" cm="1">
        <f t="array" aca="1" ref="EC479" ca="1">IFERROR(LOOKUP(2,1/(AF479:EA479&lt;&gt;""),AF$482:EA$482),"")</f>
        <v>2</v>
      </c>
      <c r="ED479" s="311" t="str" cm="1">
        <f t="array" aca="1" ref="ED479" ca="1">IF(EC$474=EC479,LOOKUP(2,1/(AF479:EA479&lt;&gt;""),AF479:EA479),"")</f>
        <v/>
      </c>
      <c r="EE479" s="311" t="str">
        <f ca="1">IF(ED479=ED$474,1,"")</f>
        <v/>
      </c>
      <c r="EF479" s="311"/>
      <c r="EG479" s="311"/>
      <c r="EH479" s="311"/>
      <c r="EI479" s="209">
        <v>4</v>
      </c>
      <c r="EJ479" s="311" t="s">
        <v>2687</v>
      </c>
      <c r="EK479" s="209">
        <f>IFERROR(MOD(EL$495,EI479),"")</f>
        <v>0</v>
      </c>
      <c r="EL479" s="209" t="str">
        <f>IF(OR(EL483=1,EL483=""),"",IF(EK479=0,EI479,IF(AND(EK479&lt;&gt;0,EK478&lt;&gt;0,EK477&lt;&gt;0),EI479,IF(AND(EK479&lt;&gt;0,EK478&lt;&gt;0,EK477=0),EI479,""))))</f>
        <v/>
      </c>
      <c r="EM479" s="209" t="str">
        <f>IFERROR(ROUNDDOWN(EL$495/EL479,0),"")</f>
        <v/>
      </c>
      <c r="EN479" s="209" t="str">
        <f ca="1">IF($AE496*$AA479*'Customer Base'!$D$26*0.8&gt;5800,"",IF($AE496*$AA479&gt;$AA501,"",IF(($AA$479*EN$476*$AE$496)&lt;=$ED$474,((MOD($ED$474,($AA$479*EN$476*$AE$496)))),"")))</f>
        <v/>
      </c>
      <c r="EO479" s="209" t="str">
        <f ca="1">IF($AE496*$AA479*'Customer Base'!$D$26*0.8&gt;5800,"",IF($AE496*$AA479&gt;$AA501,"",IF(($AA$479*EO$476*$AE$496)&lt;=$ED$474,((MOD($ED$474,($AA$479*EO$476*$AE$496)))),"")))</f>
        <v/>
      </c>
      <c r="EP479" s="209" t="str">
        <f ca="1">IF($AE496*$AA479*'Customer Base'!$D$26*0.8&gt;5800,"",IF($AE496*$AA479&gt;$AA501,"",IF(($AA$479*EP$476*$AE$496)&lt;=$ED$474,((MOD($ED$474,($AA$479*EP$476*$AE$496)))),"")))</f>
        <v/>
      </c>
      <c r="EQ479" s="209" t="str">
        <f ca="1">IF($AE496*$AA479*'Customer Base'!$D$26*0.8&gt;5800,"",IF($AE496*$AA479&gt;$AA501,"",IF(($AA$479*EQ$476*$AE$496)&lt;=$ED$474,((MOD($ED$474,($AA$479*EQ$476*$AE$496)))),"")))</f>
        <v/>
      </c>
      <c r="ER479" s="209" t="str">
        <f ca="1">IF($AE496*$AA479*'Customer Base'!$D$26*0.8&gt;5800,"",IF($AE496*$AA479&gt;$AA501,"",IF(($AA$479*ER$476*$AE$496)&lt;=$ED$474,((MOD($ED$474,($AA$479*ER$476*$AE$496)))),"")))</f>
        <v/>
      </c>
      <c r="ES479" s="209" t="str">
        <f ca="1">IF($AE496*$AA479*'Customer Base'!$D$26*0.8&gt;5800,"",IF($AE496*$AA479&gt;$AA501,"",IF(($AA$479*ES$476*$AE$496)&lt;=$ED$474,((MOD($ED$474,($AA$479*ES$476*$AE$496)))),"")))</f>
        <v/>
      </c>
      <c r="ET479" s="209" t="str">
        <f ca="1">IF($AE496*$AA479*'Customer Base'!$D$26*0.8&gt;5800,"",IF($AE496*$AA479&gt;$AA501,"",IF(($AA$479*ET$476*$AE$496)&lt;=$ED$474,((MOD($ED$474,($AA$479*ET$476*$AE$496)))),"")))</f>
        <v/>
      </c>
      <c r="EU479" s="209" t="str">
        <f ca="1">IF($AE496*$AA479*'Customer Base'!$D$26*0.8&gt;5800,"",IF($AE496*$AA479&gt;$AA501,"",IF(($AA$479*EU$476*$AE$496)&lt;=$ED$474,((MOD($ED$474,($AA$479*EU$476*$AE$496)))),"")))</f>
        <v/>
      </c>
      <c r="EV479" s="209" t="str">
        <f ca="1">IF($AE496*$AA479*'Customer Base'!$D$26*0.8&gt;5800,"",IF($AE496*$AA479&gt;$AA501,"",IF(($AA$479*EV$476*$AE$496)&lt;=$ED$474,((MOD($ED$474,($AA$479*EV$476*$AE$496)))),"")))</f>
        <v/>
      </c>
      <c r="EW479" s="209" t="str">
        <f ca="1">IF($AE496*$AA479*'Customer Base'!$D$26*0.8&gt;5800,"",IF($AE496*$AA479&gt;$AA501,"",IF(($AA$479*EW$476*$AE$496)&lt;=$ED$474,((MOD($ED$474,($AA$479*EW$476*$AE$496)))),"")))</f>
        <v/>
      </c>
      <c r="EX479" s="209" t="str">
        <f ca="1">IF($AE496*$AA479*'Customer Base'!$D$26*0.8&gt;5800,"",IF($AE496*$AA479&gt;$AA501,"",IF(($AA$479*EX$476*$AE$496)&lt;=$ED$474,((MOD($ED$474,($AA$479*EX$476*$AE$496)))),"")))</f>
        <v/>
      </c>
      <c r="EY479" s="209" t="str">
        <f ca="1">IF($AE496*$AA479*'Customer Base'!$D$26*0.8&gt;5800,"",IF($AE496*$AA479&gt;$AA501,"",IF(($AA$479*EY$476*$AE$496)&lt;=$ED$474,((MOD($ED$474,($AA$479*EY$476*$AE$496)))),"")))</f>
        <v/>
      </c>
      <c r="EZ479" s="209" t="str">
        <f ca="1">IF($AE496*$AA479*'Customer Base'!$D$26*0.8&gt;5800,"",IF($AE496*$AA479&gt;$AA501,"",IF(($AA$479*EZ$476*$AE$496)&lt;=$ED$474,((MOD($ED$474,($AA$479*EZ$476*$AE$496)))),"")))</f>
        <v/>
      </c>
      <c r="FA479" s="209" t="str">
        <f ca="1">IF($AE496*$AA479*'Customer Base'!$D$26*0.8&gt;5800,"",IF($AE496*$AA479&gt;$AA501,"",IF(($AA$479*FA$476*$AE$496)&lt;=$ED$474,((MOD($ED$474,($AA$479*FA$476*$AE$496)))),"")))</f>
        <v/>
      </c>
      <c r="FB479" s="209" t="str">
        <f ca="1">IF($AE496*$AA479*'Customer Base'!$D$26*0.8&gt;5800,"",IF($AE496*$AA479&gt;$AA501,"",IF(($AA$479*FB$476*$AE$496)&lt;=$ED$474,((MOD($ED$474,($AA$479*FB$476*$AE$496)))),"")))</f>
        <v/>
      </c>
      <c r="FC479" s="209" t="str">
        <f ca="1">IF($AE496*$AA479*'Customer Base'!$D$26*0.8&gt;5800,"",IF($AE496*$AA479&gt;$AA501,"",IF(($AA$479*FC$476*$AE$496)&lt;=$ED$474,((MOD($ED$474,($AA$479*FC$476*$AE$496)))),"")))</f>
        <v/>
      </c>
      <c r="FD479" s="209" t="str">
        <f ca="1">IF($AE496*$AA479*'Customer Base'!$D$26*0.8&gt;5800,"",IF($AE496*$AA479&gt;$AA501,"",IF(($AA$479*FD$476*$AE$496)&lt;=$ED$474,((MOD($ED$474,($AA$479*FD$476*$AE$496)))),"")))</f>
        <v/>
      </c>
      <c r="FE479" s="209" t="str">
        <f ca="1">IF($AE496*$AA479*'Customer Base'!$D$26*0.8&gt;5800,"",IF($AE496*$AA479&gt;$AA501,"",IF(($AA$479*FE$476*$AE$496)&lt;=$ED$474,((MOD($ED$474,($AA$479*FE$476*$AE$496)))),"")))</f>
        <v/>
      </c>
      <c r="FF479" s="209" t="str">
        <f ca="1">IF($AE496*$AA479*'Customer Base'!$D$26*0.8&gt;5800,"",IF($AE496*$AA479&gt;$AA501,"",IF(($AA$479*FF$476*$AE$496)&lt;=$ED$474,((MOD($ED$474,($AA$479*FF$476*$AE$496)))),"")))</f>
        <v/>
      </c>
      <c r="FG479" s="209" t="str">
        <f ca="1">IF($AE496*$AA479*'Customer Base'!$D$26*0.8&gt;5800,"",IF($AE496*$AA479&gt;$AA501,"",IF(($AA$479*FG$476*$AE$496)&lt;=$ED$474,((MOD($ED$474,($AA$479*FG$476*$AE$496)))),"")))</f>
        <v/>
      </c>
      <c r="FH479" s="209" t="str">
        <f ca="1">IF($AE496*$AA479*'Customer Base'!$D$26*0.8&gt;5800,"",IF($AE496*$AA479&gt;$AA501,"",IF(($AA$479*FH$476*$AE$496)&lt;=$ED$474,((MOD($ED$474,($AA$479*FH$476*$AE$496)))),"")))</f>
        <v/>
      </c>
      <c r="FI479" s="209" t="str">
        <f ca="1">IF($AE496*$AA479*'Customer Base'!$D$26*0.8&gt;5800,"",IF($AE496*$AA479&gt;$AA501,"",IF(($AA$479*FI$476*$AE$496)&lt;=$ED$474,((MOD($ED$474,($AA$479*FI$476*$AE$496)))),"")))</f>
        <v/>
      </c>
      <c r="FJ479" s="209" t="str">
        <f ca="1">IF($AE496*$AA479*'Customer Base'!$D$26*0.8&gt;5800,"",IF($AE496*$AA479&gt;$AA501,"",IF(($AA$479*FJ$476*$AE$496)&lt;=$ED$474,((MOD($ED$474,($AA$479*FJ$476*$AE$496)))),"")))</f>
        <v/>
      </c>
      <c r="FK479" s="209" t="str">
        <f ca="1">IF($AE496*$AA479*'Customer Base'!$D$26*0.8&gt;5800,"",IF($AE496*$AA479&gt;$AA501,"",IF(($AA$479*FK$476*$AE$496)&lt;=$ED$474,((MOD($ED$474,($AA$479*FK$476*$AE$496)))),"")))</f>
        <v/>
      </c>
      <c r="FL479" s="209" t="str">
        <f ca="1">IF($AE496*$AA479*'Customer Base'!$D$26*0.8&gt;5800,"",IF($AE496*$AA479&gt;$AA501,"",IF(($AA$479*FL$476*$AE$496)&lt;=$ED$474,((MOD($ED$474,($AA$479*FL$476*$AE$496)))),"")))</f>
        <v/>
      </c>
      <c r="FM479" s="209" t="str">
        <f ca="1">IF($AE496*$AA479*'Customer Base'!$D$26*0.8&gt;5800,"",IF($AE496*$AA479&gt;$AA501,"",IF(($AA$479*FM$476*$AE$496)&lt;=$ED$474,((MOD($ED$474,($AA$479*FM$476*$AE$496)))),"")))</f>
        <v/>
      </c>
      <c r="FN479" s="209" t="str">
        <f ca="1">IF($AE496*$AA479*'Customer Base'!$D$26*0.8&gt;5800,"",IF($AE496*$AA479&gt;$AA501,"",IF(($AA$479*FN$476*$AE$496)&lt;=$ED$474,((MOD($ED$474,($AA$479*FN$476*$AE$496)))),"")))</f>
        <v/>
      </c>
      <c r="FO479" s="209" t="str">
        <f ca="1">IF($AE496*$AA479*'Customer Base'!$D$26*0.8&gt;5800,"",IF($AE496*$AA479&gt;$AA501,"",IF(($AA$479*FO$476*$AE$496)&lt;=$ED$474,((MOD($ED$474,($AA$479*FO$476*$AE$496)))),"")))</f>
        <v/>
      </c>
      <c r="FP479" s="209" t="str">
        <f ca="1">IF($AE496*$AA479*'Customer Base'!$D$26*0.8&gt;5800,"",IF($AE496*$AA479&gt;$AA501,"",IF(($AA$479*FP$476*$AE$496)&lt;=$ED$474,((MOD($ED$474,($AA$479*FP$476*$AE$496)))),"")))</f>
        <v/>
      </c>
      <c r="FQ479" s="209" t="str">
        <f ca="1">IF($AE496*$AA479*'Customer Base'!$D$26*0.8&gt;5800,"",IF($AE496*$AA479&gt;$AA501,"",IF(($AA$479*FQ$476*$AE$496)&lt;=$ED$474,((MOD($ED$474,($AA$479*FQ$476*$AE$496)))),"")))</f>
        <v/>
      </c>
      <c r="FR479" s="209" t="str">
        <f ca="1">IF($AE496*$AA479*'Customer Base'!$D$26*0.8&gt;5800,"",IF($AE496*$AA479&gt;$AA501,"",IF(($AA$479*FR$476*$AE$496)&lt;=$ED$474,((MOD($ED$474,($AA$479*FR$476*$AE$496)))),"")))</f>
        <v/>
      </c>
      <c r="FS479" s="209" t="str">
        <f ca="1">IF($AE496*$AA479*'Customer Base'!$D$26*0.8&gt;5800,"",IF($AE496*$AA479&gt;$AA501,"",IF(($AA$479*FS$476*$AE$496)&lt;=$ED$474,((MOD($ED$474,($AA$479*FS$476*$AE$496)))),"")))</f>
        <v/>
      </c>
      <c r="FT479" s="209" t="str">
        <f ca="1">IF($AE496*$AA479*'Customer Base'!$D$26*0.8&gt;5800,"",IF($AE496*$AA479&gt;$AA501,"",IF(($AA$479*FT$476*$AE$496)&lt;=$ED$474,((MOD($ED$474,($AA$479*FT$476*$AE$496)))),"")))</f>
        <v/>
      </c>
      <c r="FU479" s="209" t="str">
        <f ca="1">IF($AE496*$AA479*'Customer Base'!$D$26*0.8&gt;5800,"",IF($AE496*$AA479&gt;$AA501,"",IF(($AA$479*FU$476*$AE$496)&lt;=$ED$474,((MOD($ED$474,($AA$479*FU$476*$AE$496)))),"")))</f>
        <v/>
      </c>
      <c r="FV479" s="209" t="str">
        <f ca="1">IF($AE496*$AA479*'Customer Base'!$D$26*0.8&gt;5800,"",IF($AE496*$AA479&gt;$AA501,"",IF(($AA$479*FV$476*$AE$496)&lt;=$ED$474,((MOD($ED$474,($AA$479*FV$476*$AE$496)))),"")))</f>
        <v/>
      </c>
      <c r="FW479" s="209" t="str">
        <f ca="1">IF($AE496*$AA479*'Customer Base'!$D$26*0.8&gt;5800,"",IF($AE496*$AA479&gt;$AA501,"",IF(($AA$479*FW$476*$AE$496)&lt;=$ED$474,((MOD($ED$474,($AA$479*FW$476*$AE$496)))),"")))</f>
        <v/>
      </c>
      <c r="FX479" s="209" t="str">
        <f ca="1">IF($AE496*$AA479*'Customer Base'!$D$26*0.8&gt;5800,"",IF($AE496*$AA479&gt;$AA501,"",IF(($AA$479*FX$476*$AE$496)&lt;=$ED$474,((MOD($ED$474,($AA$479*FX$476*$AE$496)))),"")))</f>
        <v/>
      </c>
      <c r="FY479" s="209" t="str">
        <f ca="1">IF($AE496*$AA479*'Customer Base'!$D$26*0.8&gt;5800,"",IF($AE496*$AA479&gt;$AA501,"",IF(($AA$479*FY$476*$AE$496)&lt;=$ED$474,((MOD($ED$474,($AA$479*FY$476*$AE$496)))),"")))</f>
        <v/>
      </c>
      <c r="FZ479" s="209" t="str">
        <f ca="1">IF($AE496*$AA479*'Customer Base'!$D$26*0.8&gt;5800,"",IF($AE496*$AA479&gt;$AA501,"",IF(($AA$479*FZ$476*$AE$496)&lt;=$ED$474,((MOD($ED$474,($AA$479*FZ$476*$AE$496)))),"")))</f>
        <v/>
      </c>
      <c r="GA479" s="209" t="str">
        <f ca="1">IF($AE496*$AA479*'Customer Base'!$D$26*0.8&gt;5800,"",IF($AE496*$AA479&gt;$AA501,"",IF(($AA$479*GA$476*$AE$496)&lt;=$ED$474,((MOD($ED$474,($AA$479*GA$476*$AE$496)))),"")))</f>
        <v/>
      </c>
      <c r="GB479" s="209" t="str">
        <f ca="1">IF($AE496*$AA479*'Customer Base'!$D$26*0.8&gt;5800,"",IF($AE496*$AA479&gt;$AA501,"",IF(($AA$479*GB$476*$AE$496)&lt;=$ED$474,((MOD($ED$474,($AA$479*GB$476*$AE$496)))),"")))</f>
        <v/>
      </c>
      <c r="GC479" s="209" t="str">
        <f ca="1">IF($AE496*$AA479*'Customer Base'!$D$26*0.8&gt;5800,"",IF($AE496*$AA479&gt;$AA501,"",IF(($AA$479*GC$476*$AE$496)&lt;=$ED$474,((MOD($ED$474,($AA$479*GC$476*$AE$496)))),"")))</f>
        <v/>
      </c>
      <c r="GD479" s="209" t="str">
        <f ca="1">IF($AE496*$AA479*'Customer Base'!$D$26*0.8&gt;5800,"",IF($AE496*$AA479&gt;$AA501,"",IF(($AA$479*GD$476*$AE$496)&lt;=$ED$474,((MOD($ED$474,($AA$479*GD$476*$AE$496)))),"")))</f>
        <v/>
      </c>
      <c r="GE479" s="209" t="str">
        <f ca="1">IF($AE496*$AA479*'Customer Base'!$D$26*0.8&gt;5800,"",IF($AE496*$AA479&gt;$AA501,"",IF(($AA$479*GE$476*$AE$496)&lt;=$ED$474,((MOD($ED$474,($AA$479*GE$476*$AE$496)))),"")))</f>
        <v/>
      </c>
      <c r="GF479" s="209" t="str">
        <f ca="1">IF($AE496*$AA479*'Customer Base'!$D$26*0.8&gt;5800,"",IF($AE496*$AA479&gt;$AA501,"",IF(($AA$479*GF$476*$AE$496)&lt;=$ED$474,((MOD($ED$474,($AA$479*GF$476*$AE$496)))),"")))</f>
        <v/>
      </c>
      <c r="GG479" s="209" t="str">
        <f ca="1">IF($AE496*$AA479*'Customer Base'!$D$26*0.8&gt;5800,"",IF($AE496*$AA479&gt;$AA501,"",IF(($AA$479*GG$476*$AE$496)&lt;=$ED$474,((MOD($ED$474,($AA$479*GG$476*$AE$496)))),"")))</f>
        <v/>
      </c>
      <c r="GH479" s="209" t="str">
        <f ca="1">IF($AE496*$AA479*'Customer Base'!$D$26*0.8&gt;5800,"",IF($AE496*$AA479&gt;$AA501,"",IF(($AA$479*GH$476*$AE$496)&lt;=$ED$474,((MOD($ED$474,($AA$479*GH$476*$AE$496)))),"")))</f>
        <v/>
      </c>
      <c r="GI479" s="209" t="str">
        <f ca="1">IF($AE496*$AA479*'Customer Base'!$D$26*0.8&gt;5800,"",IF($AE496*$AA479&gt;$AA501,"",IF(($AA$479*GI$476*$AE$496)&lt;=$ED$474,((MOD($ED$474,($AA$479*GI$476*$AE$496)))),"")))</f>
        <v/>
      </c>
      <c r="GJ479" s="209" t="str">
        <f ca="1">IF($AE496*$AA479*'Customer Base'!$D$26*0.8&gt;5800,"",IF($AE496*$AA479&gt;$AA501,"",IF(($AA$479*GJ$476*$AE$496)&lt;=$ED$474,((MOD($ED$474,($AA$479*GJ$476*$AE$496)))),"")))</f>
        <v/>
      </c>
      <c r="GK479" s="209" t="str">
        <f ca="1">IF($AE496*$AA479*'Customer Base'!$D$26*0.8&gt;5800,"",IF($AE496*$AA479&gt;$AA501,"",IF(($AA$479*GK$476*$AE$496)&lt;=$ED$474,((MOD($ED$474,($AA$479*GK$476*$AE$496)))),"")))</f>
        <v/>
      </c>
      <c r="GL479" s="209" t="str">
        <f ca="1">IF($AE496*$AA479*'Customer Base'!$D$26*0.8&gt;5800,"",IF($AE496*$AA479&gt;$AA501,"",IF(($AA$479*GL$476*$AE$496)&lt;=$ED$474,((MOD($ED$474,($AA$479*GL$476*$AE$496)))),"")))</f>
        <v/>
      </c>
      <c r="GM479" s="209" t="str">
        <f ca="1">IF($AE496*$AA479*'Customer Base'!$D$26*0.8&gt;5800,"",IF($AE496*$AA479&gt;$AA501,"",IF(($AA$479*GM$476*$AE$496)&lt;=$ED$474,((MOD($ED$474,($AA$479*GM$476*$AE$496)))),"")))</f>
        <v/>
      </c>
      <c r="GN479" s="209" t="str">
        <f ca="1">IF($AE496*$AA479*'Customer Base'!$D$26*0.8&gt;5800,"",IF($AE496*$AA479&gt;$AA501,"",IF(($AA$479*GN$476*$AE$496)&lt;=$ED$474,((MOD($ED$474,($AA$479*GN$476*$AE$496)))),"")))</f>
        <v/>
      </c>
      <c r="GO479" s="209" t="str">
        <f ca="1">IF($AE496*$AA479*'Customer Base'!$D$26*0.8&gt;5800,"",IF($AE496*$AA479&gt;$AA501,"",IF(($AA$479*GO$476*$AE$496)&lt;=$ED$474,((MOD($ED$474,($AA$479*GO$476*$AE$496)))),"")))</f>
        <v/>
      </c>
      <c r="GP479" s="209" t="str">
        <f ca="1">IF($AE496*$AA479*'Customer Base'!$D$26*0.8&gt;5800,"",IF($AE496*$AA479&gt;$AA501,"",IF(($AA$479*GP$476*$AE$496)&lt;=$ED$474,((MOD($ED$474,($AA$479*GP$476*$AE$496)))),"")))</f>
        <v/>
      </c>
      <c r="GQ479" s="209" t="str">
        <f ca="1">IF($AE496*$AA479*'Customer Base'!$D$26*0.8&gt;5800,"",IF($AE496*$AA479&gt;$AA501,"",IF(($AA$479*GQ$476*$AE$496)&lt;=$ED$474,((MOD($ED$474,($AA$479*GQ$476*$AE$496)))),"")))</f>
        <v/>
      </c>
      <c r="GR479" s="209" t="str">
        <f ca="1">IF($AE496*$AA479*'Customer Base'!$D$26*0.8&gt;5800,"",IF($AE496*$AA479&gt;$AA501,"",IF(($AA$479*GR$476*$AE$496)&lt;=$ED$474,((MOD($ED$474,($AA$479*GR$476*$AE$496)))),"")))</f>
        <v/>
      </c>
      <c r="GS479" s="209" t="str">
        <f ca="1">IF($AE496*$AA479*'Customer Base'!$D$26*0.8&gt;5800,"",IF($AE496*$AA479&gt;$AA501,"",IF(($AA$479*GS$476*$AE$496)&lt;=$ED$474,((MOD($ED$474,($AA$479*GS$476*$AE$496)))),"")))</f>
        <v/>
      </c>
      <c r="GT479" s="209" t="str">
        <f ca="1">IF($AE496*$AA479*'Customer Base'!$D$26*0.8&gt;5800,"",IF($AE496*$AA479&gt;$AA501,"",IF(($AA$479*GT$476*$AE$496)&lt;=$ED$474,((MOD($ED$474,($AA$479*GT$476*$AE$496)))),"")))</f>
        <v/>
      </c>
      <c r="GU479" s="209" t="str">
        <f ca="1">IF($AE496*$AA479*'Customer Base'!$D$26*0.8&gt;5800,"",IF($AE496*$AA479&gt;$AA501,"",IF(($AA$479*GU$476*$AE$496)&lt;=$ED$474,((MOD($ED$474,($AA$479*GU$476*$AE$496)))),"")))</f>
        <v/>
      </c>
      <c r="GV479" s="209" t="str">
        <f ca="1">IF($AE496*$AA479*'Customer Base'!$D$26*0.8&gt;5800,"",IF($AE496*$AA479&gt;$AA501,"",IF(($AA$479*GV$476*$AE$496)&lt;=$ED$474,((MOD($ED$474,($AA$479*GV$476*$AE$496)))),"")))</f>
        <v/>
      </c>
      <c r="GW479" s="209" t="str">
        <f ca="1">IF($AE496*$AA479*'Customer Base'!$D$26*0.8&gt;5800,"",IF($AE496*$AA479&gt;$AA501,"",IF(($AA$479*GW$476*$AE$496)&lt;=$ED$474,((MOD($ED$474,($AA$479*GW$476*$AE$496)))),"")))</f>
        <v/>
      </c>
      <c r="GX479" s="209" t="str">
        <f ca="1">IF($AE496*$AA479*'Customer Base'!$D$26*0.8&gt;5800,"",IF($AE496*$AA479&gt;$AA501,"",IF(($AA$479*GX$476*$AE$496)&lt;=$ED$474,((MOD($ED$474,($AA$479*GX$476*$AE$496)))),"")))</f>
        <v/>
      </c>
      <c r="GY479" s="209" t="str">
        <f ca="1">IF($AE496*$AA479*'Customer Base'!$D$26*0.8&gt;5800,"",IF($AE496*$AA479&gt;$AA501,"",IF(($AA$479*GY$476*$AE$496)&lt;=$ED$474,((MOD($ED$474,($AA$479*GY$476*$AE$496)))),"")))</f>
        <v/>
      </c>
      <c r="GZ479" s="209" t="str">
        <f ca="1">IF($AE496*$AA479*'Customer Base'!$D$26*0.8&gt;5800,"",IF($AE496*$AA479&gt;$AA501,"",IF(($AA$479*GZ$476*$AE$496)&lt;=$ED$474,((MOD($ED$474,($AA$479*GZ$476*$AE$496)))),"")))</f>
        <v/>
      </c>
      <c r="HA479" s="209" t="str">
        <f ca="1">IF($AE496*$AA479*'Customer Base'!$D$26*0.8&gt;5800,"",IF($AE496*$AA479&gt;$AA501,"",IF(($AA$479*HA$476*$AE$496)&lt;=$ED$474,((MOD($ED$474,($AA$479*HA$476*$AE$496)))),"")))</f>
        <v/>
      </c>
      <c r="HB479" s="209" t="str">
        <f ca="1">IF($AE496*$AA479*'Customer Base'!$D$26*0.8&gt;5800,"",IF($AE496*$AA479&gt;$AA501,"",IF(($AA$479*HB$476*$AE$496)&lt;=$ED$474,((MOD($ED$474,($AA$479*HB$476*$AE$496)))),"")))</f>
        <v/>
      </c>
      <c r="HC479" s="209" t="str">
        <f ca="1">IF($AE496*$AA479*'Customer Base'!$D$26*0.8&gt;5800,"",IF($AE496*$AA479&gt;$AA501,"",IF(($AA$479*HC$476*$AE$496)&lt;=$ED$474,((MOD($ED$474,($AA$479*HC$476*$AE$496)))),"")))</f>
        <v/>
      </c>
      <c r="HD479" s="209" t="str">
        <f ca="1">IF($AE496*$AA479*'Customer Base'!$D$26*0.8&gt;5800,"",IF($AE496*$AA479&gt;$AA501,"",IF(($AA$479*HD$476*$AE$496)&lt;=$ED$474,((MOD($ED$474,($AA$479*HD$476*$AE$496)))),"")))</f>
        <v/>
      </c>
      <c r="HE479" s="209" t="str">
        <f ca="1">IF($AE496*$AA479*'Customer Base'!$D$26*0.8&gt;5800,"",IF($AE496*$AA479&gt;$AA501,"",IF(($AA$479*HE$476*$AE$496)&lt;=$ED$474,((MOD($ED$474,($AA$479*HE$476*$AE$496)))),"")))</f>
        <v/>
      </c>
      <c r="HF479" s="209" t="str">
        <f ca="1">IF($AE496*$AA479*'Customer Base'!$D$26*0.8&gt;5800,"",IF($AE496*$AA479&gt;$AA501,"",IF(($AA$479*HF$476*$AE$496)&lt;=$ED$474,((MOD($ED$474,($AA$479*HF$476*$AE$496)))),"")))</f>
        <v/>
      </c>
      <c r="HG479" s="209" t="str">
        <f ca="1">IF($AE496*$AA479*'Customer Base'!$D$26*0.8&gt;5800,"",IF($AE496*$AA479&gt;$AA501,"",IF(($AA$479*HG$476*$AE$496)&lt;=$ED$474,((MOD($ED$474,($AA$479*HG$476*$AE$496)))),"")))</f>
        <v/>
      </c>
      <c r="HH479" s="209" t="str">
        <f ca="1">IF($AE496*$AA479*'Customer Base'!$D$26*0.8&gt;5800,"",IF($AE496*$AA479&gt;$AA501,"",IF(($AA$479*HH$476*$AE$496)&lt;=$ED$474,((MOD($ED$474,($AA$479*HH$476*$AE$496)))),"")))</f>
        <v/>
      </c>
      <c r="HI479" s="209" t="str">
        <f ca="1">IF($AE496*$AA479*'Customer Base'!$D$26*0.8&gt;5800,"",IF($AE496*$AA479&gt;$AA501,"",IF(($AA$479*HI$476*$AE$496)&lt;=$ED$474,((MOD($ED$474,($AA$479*HI$476*$AE$496)))),"")))</f>
        <v/>
      </c>
      <c r="HJ479" s="209" t="str">
        <f ca="1">IF($AE496*$AA479*'Customer Base'!$D$26*0.8&gt;5800,"",IF($AE496*$AA479&gt;$AA501,"",IF(($AA$479*HJ$476*$AE$496)&lt;=$ED$474,((MOD($ED$474,($AA$479*HJ$476*$AE$496)))),"")))</f>
        <v/>
      </c>
      <c r="HK479" s="209" t="str">
        <f ca="1">IF($AE496*$AA479*'Customer Base'!$D$26*0.8&gt;5800,"",IF($AE496*$AA479&gt;$AA501,"",IF(($AA$479*HK$476*$AE$496)&lt;=$ED$474,((MOD($ED$474,($AA$479*HK$476*$AE$496)))),"")))</f>
        <v/>
      </c>
      <c r="HL479" s="209" t="str">
        <f ca="1">IF($AE496*$AA479*'Customer Base'!$D$26*0.8&gt;5800,"",IF($AE496*$AA479&gt;$AA501,"",IF(($AA$479*HL$476*$AE$496)&lt;=$ED$474,((MOD($ED$474,($AA$479*HL$476*$AE$496)))),"")))</f>
        <v/>
      </c>
      <c r="HM479" s="209" t="str">
        <f ca="1">IF($AE496*$AA479*'Customer Base'!$D$26*0.8&gt;5800,"",IF($AE496*$AA479&gt;$AA501,"",IF(($AA$479*HM$476*$AE$496)&lt;=$ED$474,((MOD($ED$474,($AA$479*HM$476*$AE$496)))),"")))</f>
        <v/>
      </c>
      <c r="HN479" s="209" t="str">
        <f ca="1">IF($AE496*$AA479*'Customer Base'!$D$26*0.8&gt;5800,"",IF($AE496*$AA479&gt;$AA501,"",IF(($AA$479*HN$476*$AE$496)&lt;=$ED$474,((MOD($ED$474,($AA$479*HN$476*$AE$496)))),"")))</f>
        <v/>
      </c>
      <c r="HO479" s="209" t="str">
        <f ca="1">IF($AE496*$AA479*'Customer Base'!$D$26*0.8&gt;5800,"",IF($AE496*$AA479&gt;$AA501,"",IF(($AA$479*HO$476*$AE$496)&lt;=$ED$474,((MOD($ED$474,($AA$479*HO$476*$AE$496)))),"")))</f>
        <v/>
      </c>
      <c r="HP479" s="209" t="str">
        <f ca="1">IF($AE496*$AA479*'Customer Base'!$D$26*0.8&gt;5800,"",IF($AE496*$AA479&gt;$AA501,"",IF(($AA$479*HP$476*$AE$496)&lt;=$ED$474,((MOD($ED$474,($AA$479*HP$476*$AE$496)))),"")))</f>
        <v/>
      </c>
      <c r="HQ479" s="209" t="str">
        <f ca="1">IF($AE496*$AA479*'Customer Base'!$D$26*0.8&gt;5800,"",IF($AE496*$AA479&gt;$AA501,"",IF(($AA$479*HQ$476*$AE$496)&lt;=$ED$474,((MOD($ED$474,($AA$479*HQ$476*$AE$496)))),"")))</f>
        <v/>
      </c>
      <c r="HR479" s="209" t="str">
        <f ca="1">IF($AE496*$AA479*'Customer Base'!$D$26*0.8&gt;5800,"",IF($AE496*$AA479&gt;$AA501,"",IF(($AA$479*HR$476*$AE$496)&lt;=$ED$474,((MOD($ED$474,($AA$479*HR$476*$AE$496)))),"")))</f>
        <v/>
      </c>
      <c r="HS479" s="209" t="str">
        <f ca="1">IF($AE496*$AA479*'Customer Base'!$D$26*0.8&gt;5800,"",IF($AE496*$AA479&gt;$AA501,"",IF(($AA$479*HS$476*$AE$496)&lt;=$ED$474,((MOD($ED$474,($AA$479*HS$476*$AE$496)))),"")))</f>
        <v/>
      </c>
      <c r="HT479" s="209" t="str">
        <f ca="1">IF($AE496*$AA479*'Customer Base'!$D$26*0.8&gt;5800,"",IF($AE496*$AA479&gt;$AA501,"",IF(($AA$479*HT$476*$AE$496)&lt;=$ED$474,((MOD($ED$474,($AA$479*HT$476*$AE$496)))),"")))</f>
        <v/>
      </c>
      <c r="HU479" s="209" t="str">
        <f ca="1">IF($AE496*$AA479*'Customer Base'!$D$26*0.8&gt;5800,"",IF($AE496*$AA479&gt;$AA501,"",IF(($AA$479*HU$476*$AE$496)&lt;=$ED$474,((MOD($ED$474,($AA$479*HU$476*$AE$496)))),"")))</f>
        <v/>
      </c>
      <c r="HV479" s="209" t="str">
        <f ca="1">IF($AE496*$AA479*'Customer Base'!$D$26*0.8&gt;5800,"",IF($AE496*$AA479&gt;$AA501,"",IF(($AA$479*HV$476*$AE$496)&lt;=$ED$474,((MOD($ED$474,($AA$479*HV$476*$AE$496)))),"")))</f>
        <v/>
      </c>
      <c r="HW479" s="209" t="str">
        <f ca="1">IF($AE496*$AA479*'Customer Base'!$D$26*0.8&gt;5800,"",IF($AE496*$AA479&gt;$AA501,"",IF(($AA$479*HW$476*$AE$496)&lt;=$ED$474,((MOD($ED$474,($AA$479*HW$476*$AE$496)))),"")))</f>
        <v/>
      </c>
      <c r="HX479" s="209" t="str">
        <f ca="1">IF($AE496*$AA479*'Customer Base'!$D$26*0.8&gt;5800,"",IF($AE496*$AA479&gt;$AA501,"",IF(($AA$479*HX$476*$AE$496)&lt;=$ED$474,((MOD($ED$474,($AA$479*HX$476*$AE$496)))),"")))</f>
        <v/>
      </c>
      <c r="HY479" s="209" t="str">
        <f ca="1">IF($AE496*$AA479*'Customer Base'!$D$26*0.8&gt;5800,"",IF($AE496*$AA479&gt;$AA501,"",IF(($AA$479*HY$476*$AE$496)&lt;=$ED$474,((MOD($ED$474,($AA$479*HY$476*$AE$496)))),"")))</f>
        <v/>
      </c>
      <c r="HZ479" s="209" t="str">
        <f ca="1">IF($AE496*$AA479*'Customer Base'!$D$26*0.8&gt;5800,"",IF($AE496*$AA479&gt;$AA501,"",IF(($AA$479*HZ$476*$AE$496)&lt;=$ED$474,((MOD($ED$474,($AA$479*HZ$476*$AE$496)))),"")))</f>
        <v/>
      </c>
      <c r="IA479" s="209" t="str">
        <f ca="1">IF($AE496*$AA479*'Customer Base'!$D$26*0.8&gt;5800,"",IF($AE496*$AA479&gt;$AA501,"",IF(($AA$479*IA$476*$AE$496)&lt;=$ED$474,((MOD($ED$474,($AA$479*IA$476*$AE$496)))),"")))</f>
        <v/>
      </c>
      <c r="IB479" s="209" t="str">
        <f ca="1">IF($AE496*$AA479*'Customer Base'!$D$26*0.8&gt;5800,"",IF($AE496*$AA479&gt;$AA501,"",IF(($AA$479*IB$476*$AE$496)&lt;=$ED$474,((MOD($ED$474,($AA$479*IB$476*$AE$496)))),"")))</f>
        <v/>
      </c>
      <c r="IC479" s="209" t="str">
        <f ca="1">IF($AE496*$AA479*'Customer Base'!$D$26*0.8&gt;5800,"",IF($AE496*$AA479&gt;$AA501,"",IF(($AA$479*IC$476*$AE$496)&lt;=$ED$474,((MOD($ED$474,($AA$479*IC$476*$AE$496)))),"")))</f>
        <v/>
      </c>
      <c r="ID479" s="209" t="str">
        <f ca="1">IF($AE496*$AA479*'Customer Base'!$D$26*0.8&gt;5800,"",IF($AE496*$AA479&gt;$AA501,"",IF(($AA$479*ID$476*$AE$496)&lt;=$ED$474,((MOD($ED$474,($AA$479*ID$476*$AE$496)))),"")))</f>
        <v/>
      </c>
      <c r="IE479" s="209" t="str">
        <f ca="1">IF($AE496*$AA479*'Customer Base'!$D$26*0.8&gt;5800,"",IF($AE496*$AA479&gt;$AA501,"",IF(($AA$479*IE$476*$AE$496)&lt;=$ED$474,((MOD($ED$474,($AA$479*IE$476*$AE$496)))),"")))</f>
        <v/>
      </c>
      <c r="IF479" s="209" t="str">
        <f ca="1">IF($AE496*$AA479*'Customer Base'!$D$26*0.8&gt;5800,"",IF($AE496*$AA479&gt;$AA501,"",IF(($AA$479*IF$476*$AE$496)&lt;=$ED$474,((MOD($ED$474,($AA$479*IF$476*$AE$496)))),"")))</f>
        <v/>
      </c>
      <c r="IG479" s="209" t="str">
        <f ca="1">IF($AE496*$AA479*'Customer Base'!$D$26*0.8&gt;5800,"",IF($AE496*$AA479&gt;$AA501,"",IF(($AA$479*IG$476*$AE$496)&lt;=$ED$474,((MOD($ED$474,($AA$479*IG$476*$AE$496)))),"")))</f>
        <v/>
      </c>
      <c r="IH479" s="209" t="str">
        <f ca="1">IF($AE496*$AA479*'Customer Base'!$D$26*0.8&gt;5800,"",IF($AE496*$AA479&gt;$AA501,"",IF(($AA$479*IH$476*$AE$496)&lt;=$ED$474,((MOD($ED$474,($AA$479*IH$476*$AE$496)))),"")))</f>
        <v/>
      </c>
      <c r="II479" s="209" t="str">
        <f ca="1">IF($AE496*$AA479*'Customer Base'!$D$26*0.8&gt;5800,"",IF($AE496*$AA479&gt;$AA501,"",IF(($AA$479*II$476*$AE$496)&lt;=$ED$474,((MOD($ED$474,($AA$479*II$476*$AE$496)))),"")))</f>
        <v/>
      </c>
      <c r="IK479" s="209" t="str" cm="1">
        <f t="array" aca="1" ref="IK479" ca="1">IFERROR(LOOKUP(2,1/(EN479:II479&lt;&gt;""),EN$482:II$482),"")</f>
        <v/>
      </c>
      <c r="IL479" s="311" t="str" cm="1">
        <f t="array" aca="1" ref="IL479" ca="1">IF(IK$474=IK479,LOOKUP(2,1/(EN479:II479&lt;&gt;""),EN479:II479),"")</f>
        <v/>
      </c>
      <c r="IM479" s="311" t="str">
        <f ca="1">IF(IL479=IL$474,1,"")</f>
        <v/>
      </c>
    </row>
    <row r="480" spans="2:250" ht="17">
      <c r="B480" s="206" t="s">
        <v>1336</v>
      </c>
      <c r="C480" s="207" t="s">
        <v>80</v>
      </c>
      <c r="D480" s="207" t="s">
        <v>216</v>
      </c>
      <c r="E480" s="210" t="s">
        <v>1337</v>
      </c>
      <c r="F480" s="102" t="str">
        <f t="shared" si="15"/>
        <v>G</v>
      </c>
      <c r="G480" s="208" t="s">
        <v>1338</v>
      </c>
    </row>
    <row r="481" spans="2:248" ht="17">
      <c r="B481" s="206" t="s">
        <v>19</v>
      </c>
      <c r="C481" s="207" t="s">
        <v>57</v>
      </c>
      <c r="D481" s="207" t="s">
        <v>954</v>
      </c>
      <c r="E481" s="210" t="s">
        <v>1339</v>
      </c>
      <c r="F481" s="102" t="str">
        <f t="shared" si="15"/>
        <v>E</v>
      </c>
    </row>
    <row r="482" spans="2:248" ht="17">
      <c r="B482" s="206" t="s">
        <v>1341</v>
      </c>
      <c r="C482" s="207" t="s">
        <v>60</v>
      </c>
      <c r="D482" s="207" t="s">
        <v>954</v>
      </c>
      <c r="E482" s="210" t="s">
        <v>1342</v>
      </c>
      <c r="F482" s="102" t="str">
        <f t="shared" si="15"/>
        <v>E</v>
      </c>
      <c r="Z482" s="209" t="s">
        <v>2693</v>
      </c>
      <c r="AB482" s="209" t="s">
        <v>2689</v>
      </c>
      <c r="AC482" s="209" t="s">
        <v>2692</v>
      </c>
      <c r="AD482" s="209" t="s">
        <v>2688</v>
      </c>
      <c r="AE482" s="209" t="s">
        <v>799</v>
      </c>
      <c r="AF482" s="209">
        <v>1</v>
      </c>
      <c r="AG482" s="209">
        <v>2</v>
      </c>
      <c r="AH482" s="209">
        <v>3</v>
      </c>
      <c r="AI482" s="209">
        <v>4</v>
      </c>
      <c r="AJ482" s="209">
        <v>5</v>
      </c>
      <c r="AK482" s="209">
        <v>6</v>
      </c>
      <c r="AL482" s="209">
        <v>7</v>
      </c>
      <c r="AM482" s="209">
        <v>8</v>
      </c>
      <c r="AN482" s="209">
        <v>9</v>
      </c>
      <c r="AO482" s="209">
        <v>10</v>
      </c>
      <c r="AP482" s="209">
        <v>11</v>
      </c>
      <c r="AQ482" s="209">
        <v>12</v>
      </c>
      <c r="AR482" s="209">
        <v>13</v>
      </c>
      <c r="AS482" s="209">
        <v>14</v>
      </c>
      <c r="AT482" s="209">
        <v>15</v>
      </c>
      <c r="AU482" s="209">
        <v>16</v>
      </c>
      <c r="AV482" s="209">
        <v>17</v>
      </c>
      <c r="AW482" s="209">
        <v>18</v>
      </c>
      <c r="AX482" s="209">
        <v>19</v>
      </c>
      <c r="AY482" s="209">
        <v>20</v>
      </c>
      <c r="AZ482" s="209">
        <v>21</v>
      </c>
      <c r="BA482" s="209">
        <v>22</v>
      </c>
      <c r="BB482" s="209">
        <v>23</v>
      </c>
      <c r="BC482" s="209">
        <v>24</v>
      </c>
      <c r="BD482" s="209">
        <v>25</v>
      </c>
      <c r="BE482" s="209">
        <v>26</v>
      </c>
      <c r="BF482" s="209">
        <v>27</v>
      </c>
      <c r="BG482" s="209">
        <v>28</v>
      </c>
      <c r="BH482" s="209">
        <v>29</v>
      </c>
      <c r="BI482" s="209">
        <v>30</v>
      </c>
      <c r="BJ482" s="209">
        <v>31</v>
      </c>
      <c r="BK482" s="209">
        <v>32</v>
      </c>
      <c r="BL482" s="209">
        <v>33</v>
      </c>
      <c r="BM482" s="209">
        <v>34</v>
      </c>
      <c r="BN482" s="209">
        <v>35</v>
      </c>
      <c r="BO482" s="209">
        <v>36</v>
      </c>
      <c r="BP482" s="209">
        <v>37</v>
      </c>
      <c r="BQ482" s="209">
        <v>38</v>
      </c>
      <c r="BR482" s="209">
        <v>39</v>
      </c>
      <c r="BS482" s="209">
        <v>40</v>
      </c>
      <c r="BT482" s="209">
        <v>41</v>
      </c>
      <c r="BU482" s="209">
        <v>42</v>
      </c>
      <c r="BV482" s="209">
        <v>43</v>
      </c>
      <c r="BW482" s="209">
        <v>44</v>
      </c>
      <c r="BX482" s="209">
        <v>45</v>
      </c>
      <c r="BY482" s="209">
        <v>46</v>
      </c>
      <c r="BZ482" s="209">
        <v>47</v>
      </c>
      <c r="CA482" s="209">
        <v>48</v>
      </c>
      <c r="CB482" s="209">
        <v>49</v>
      </c>
      <c r="CC482" s="209">
        <v>50</v>
      </c>
      <c r="CD482" s="209">
        <v>51</v>
      </c>
      <c r="CE482" s="209">
        <v>52</v>
      </c>
      <c r="CF482" s="209">
        <v>53</v>
      </c>
      <c r="CG482" s="209">
        <v>54</v>
      </c>
      <c r="CH482" s="209">
        <v>55</v>
      </c>
      <c r="CI482" s="209">
        <v>56</v>
      </c>
      <c r="CJ482" s="209">
        <v>57</v>
      </c>
      <c r="CK482" s="209">
        <v>58</v>
      </c>
      <c r="CL482" s="209">
        <v>59</v>
      </c>
      <c r="CM482" s="209">
        <v>60</v>
      </c>
      <c r="CN482" s="209">
        <v>61</v>
      </c>
      <c r="CO482" s="209">
        <v>62</v>
      </c>
      <c r="CP482" s="209">
        <v>63</v>
      </c>
      <c r="CQ482" s="209">
        <v>64</v>
      </c>
      <c r="CR482" s="209">
        <v>65</v>
      </c>
      <c r="CS482" s="209">
        <v>66</v>
      </c>
      <c r="CT482" s="209">
        <v>67</v>
      </c>
      <c r="CU482" s="209">
        <v>68</v>
      </c>
      <c r="CV482" s="209">
        <v>69</v>
      </c>
      <c r="CW482" s="209">
        <v>70</v>
      </c>
      <c r="CX482" s="209">
        <v>71</v>
      </c>
      <c r="CY482" s="209">
        <v>72</v>
      </c>
      <c r="CZ482" s="209">
        <v>73</v>
      </c>
      <c r="DA482" s="209">
        <v>74</v>
      </c>
      <c r="DB482" s="209">
        <v>75</v>
      </c>
      <c r="DC482" s="209">
        <v>76</v>
      </c>
      <c r="DD482" s="209">
        <v>77</v>
      </c>
      <c r="DE482" s="209">
        <v>78</v>
      </c>
      <c r="DF482" s="209">
        <v>79</v>
      </c>
      <c r="DG482" s="209">
        <v>80</v>
      </c>
      <c r="DH482" s="209">
        <v>81</v>
      </c>
      <c r="DI482" s="209">
        <v>82</v>
      </c>
      <c r="DJ482" s="209">
        <v>83</v>
      </c>
      <c r="DK482" s="209">
        <v>84</v>
      </c>
      <c r="DL482" s="209">
        <v>85</v>
      </c>
      <c r="DM482" s="209">
        <v>86</v>
      </c>
      <c r="DN482" s="209">
        <v>87</v>
      </c>
      <c r="DO482" s="209">
        <v>88</v>
      </c>
      <c r="DP482" s="209">
        <v>89</v>
      </c>
      <c r="DQ482" s="209">
        <v>90</v>
      </c>
      <c r="DR482" s="209">
        <v>91</v>
      </c>
      <c r="DS482" s="209">
        <v>92</v>
      </c>
      <c r="DT482" s="209">
        <v>93</v>
      </c>
      <c r="DU482" s="209">
        <v>94</v>
      </c>
      <c r="DV482" s="209">
        <v>95</v>
      </c>
      <c r="DW482" s="209">
        <v>96</v>
      </c>
      <c r="DX482" s="209">
        <v>97</v>
      </c>
      <c r="DY482" s="209">
        <v>98</v>
      </c>
      <c r="DZ482" s="209">
        <v>99</v>
      </c>
      <c r="EA482" s="209">
        <v>100</v>
      </c>
      <c r="EJ482" s="209" t="s">
        <v>2689</v>
      </c>
      <c r="EK482" s="209" t="s">
        <v>2692</v>
      </c>
      <c r="EL482" s="209" t="s">
        <v>2688</v>
      </c>
      <c r="EM482" s="209" t="s">
        <v>799</v>
      </c>
      <c r="EN482" s="209">
        <v>1</v>
      </c>
      <c r="EO482" s="209">
        <v>2</v>
      </c>
      <c r="EP482" s="209">
        <v>3</v>
      </c>
      <c r="EQ482" s="209">
        <v>4</v>
      </c>
      <c r="ER482" s="209">
        <v>5</v>
      </c>
      <c r="ES482" s="209">
        <v>6</v>
      </c>
      <c r="ET482" s="209">
        <v>7</v>
      </c>
      <c r="EU482" s="209">
        <v>8</v>
      </c>
      <c r="EV482" s="209">
        <v>9</v>
      </c>
      <c r="EW482" s="209">
        <v>10</v>
      </c>
      <c r="EX482" s="209">
        <v>11</v>
      </c>
      <c r="EY482" s="209">
        <v>12</v>
      </c>
      <c r="EZ482" s="209">
        <v>13</v>
      </c>
      <c r="FA482" s="209">
        <v>14</v>
      </c>
      <c r="FB482" s="209">
        <v>15</v>
      </c>
      <c r="FC482" s="209">
        <v>16</v>
      </c>
      <c r="FD482" s="209">
        <v>17</v>
      </c>
      <c r="FE482" s="209">
        <v>18</v>
      </c>
      <c r="FF482" s="209">
        <v>19</v>
      </c>
      <c r="FG482" s="209">
        <v>20</v>
      </c>
      <c r="FH482" s="209">
        <v>21</v>
      </c>
      <c r="FI482" s="209">
        <v>22</v>
      </c>
      <c r="FJ482" s="209">
        <v>23</v>
      </c>
      <c r="FK482" s="209">
        <v>24</v>
      </c>
      <c r="FL482" s="209">
        <v>25</v>
      </c>
      <c r="FM482" s="209">
        <v>26</v>
      </c>
      <c r="FN482" s="209">
        <v>27</v>
      </c>
      <c r="FO482" s="209">
        <v>28</v>
      </c>
      <c r="FP482" s="209">
        <v>29</v>
      </c>
      <c r="FQ482" s="209">
        <v>30</v>
      </c>
      <c r="FR482" s="209">
        <v>31</v>
      </c>
      <c r="FS482" s="209">
        <v>32</v>
      </c>
      <c r="FT482" s="209">
        <v>33</v>
      </c>
      <c r="FU482" s="209">
        <v>34</v>
      </c>
      <c r="FV482" s="209">
        <v>35</v>
      </c>
      <c r="FW482" s="209">
        <v>36</v>
      </c>
      <c r="FX482" s="209">
        <v>37</v>
      </c>
      <c r="FY482" s="209">
        <v>38</v>
      </c>
      <c r="FZ482" s="209">
        <v>39</v>
      </c>
      <c r="GA482" s="209">
        <v>40</v>
      </c>
      <c r="GB482" s="209">
        <v>41</v>
      </c>
      <c r="GC482" s="209">
        <v>42</v>
      </c>
      <c r="GD482" s="209">
        <v>43</v>
      </c>
      <c r="GE482" s="209">
        <v>44</v>
      </c>
      <c r="GF482" s="209">
        <v>45</v>
      </c>
      <c r="GG482" s="209">
        <v>46</v>
      </c>
      <c r="GH482" s="209">
        <v>47</v>
      </c>
      <c r="GI482" s="209">
        <v>48</v>
      </c>
      <c r="GJ482" s="209">
        <v>49</v>
      </c>
      <c r="GK482" s="209">
        <v>50</v>
      </c>
      <c r="GL482" s="209">
        <v>51</v>
      </c>
      <c r="GM482" s="209">
        <v>52</v>
      </c>
      <c r="GN482" s="209">
        <v>53</v>
      </c>
      <c r="GO482" s="209">
        <v>54</v>
      </c>
      <c r="GP482" s="209">
        <v>55</v>
      </c>
      <c r="GQ482" s="209">
        <v>56</v>
      </c>
      <c r="GR482" s="209">
        <v>57</v>
      </c>
      <c r="GS482" s="209">
        <v>58</v>
      </c>
      <c r="GT482" s="209">
        <v>59</v>
      </c>
      <c r="GU482" s="209">
        <v>60</v>
      </c>
      <c r="GV482" s="209">
        <v>61</v>
      </c>
      <c r="GW482" s="209">
        <v>62</v>
      </c>
      <c r="GX482" s="209">
        <v>63</v>
      </c>
      <c r="GY482" s="209">
        <v>64</v>
      </c>
      <c r="GZ482" s="209">
        <v>65</v>
      </c>
      <c r="HA482" s="209">
        <v>66</v>
      </c>
      <c r="HB482" s="209">
        <v>67</v>
      </c>
      <c r="HC482" s="209">
        <v>68</v>
      </c>
      <c r="HD482" s="209">
        <v>69</v>
      </c>
      <c r="HE482" s="209">
        <v>70</v>
      </c>
      <c r="HF482" s="209">
        <v>71</v>
      </c>
      <c r="HG482" s="209">
        <v>72</v>
      </c>
      <c r="HH482" s="209">
        <v>73</v>
      </c>
      <c r="HI482" s="209">
        <v>74</v>
      </c>
      <c r="HJ482" s="209">
        <v>75</v>
      </c>
      <c r="HK482" s="209">
        <v>76</v>
      </c>
      <c r="HL482" s="209">
        <v>77</v>
      </c>
      <c r="HM482" s="209">
        <v>78</v>
      </c>
      <c r="HN482" s="209">
        <v>79</v>
      </c>
      <c r="HO482" s="209">
        <v>80</v>
      </c>
      <c r="HP482" s="209">
        <v>81</v>
      </c>
      <c r="HQ482" s="209">
        <v>82</v>
      </c>
      <c r="HR482" s="209">
        <v>83</v>
      </c>
      <c r="HS482" s="209">
        <v>84</v>
      </c>
      <c r="HT482" s="209">
        <v>85</v>
      </c>
      <c r="HU482" s="209">
        <v>86</v>
      </c>
      <c r="HV482" s="209">
        <v>87</v>
      </c>
      <c r="HW482" s="209">
        <v>88</v>
      </c>
      <c r="HX482" s="209">
        <v>89</v>
      </c>
      <c r="HY482" s="209">
        <v>90</v>
      </c>
      <c r="HZ482" s="209">
        <v>91</v>
      </c>
      <c r="IA482" s="209">
        <v>92</v>
      </c>
      <c r="IB482" s="209">
        <v>93</v>
      </c>
      <c r="IC482" s="209">
        <v>94</v>
      </c>
      <c r="ID482" s="209">
        <v>95</v>
      </c>
      <c r="IE482" s="209">
        <v>96</v>
      </c>
      <c r="IF482" s="209">
        <v>97</v>
      </c>
      <c r="IG482" s="209">
        <v>98</v>
      </c>
      <c r="IH482" s="209">
        <v>99</v>
      </c>
      <c r="II482" s="209">
        <v>100</v>
      </c>
    </row>
    <row r="483" spans="2:248" ht="17">
      <c r="B483" s="206" t="s">
        <v>1343</v>
      </c>
      <c r="C483" s="207" t="s">
        <v>960</v>
      </c>
      <c r="D483" s="207" t="s">
        <v>960</v>
      </c>
      <c r="E483" s="210" t="s">
        <v>1344</v>
      </c>
      <c r="F483" s="102" t="str">
        <f t="shared" si="15"/>
        <v>M</v>
      </c>
      <c r="AA483" s="209">
        <v>2</v>
      </c>
      <c r="AB483" s="310" t="s">
        <v>2685</v>
      </c>
      <c r="AC483" s="209">
        <f ca="1">IFERROR(MOD(AD$493,AA483),"")</f>
        <v>0.25</v>
      </c>
      <c r="AD483" s="209" t="str">
        <f ca="1">IF(OR(AD489=1,AD489=""),"",IF(AND(AC485&lt;&gt;0,AC484&lt;&gt;0,AC483=0),IF(AC483=0,AA483,""),IF(AND(MAX(AC483:AC485)&lt;=AA483,SUMPRODUCT(AD484:AD485,AE484:AE485)&lt;&gt;AD489),AA483,"")))</f>
        <v/>
      </c>
      <c r="AE483" s="209" t="str">
        <f ca="1">IFERROR(IF(AND(AD483&lt;&gt;"",OR(AD484&lt;&gt;"",AD485&lt;&gt;"")),1,(ROUNDDOWN(AD$493/AD483,0))),"")</f>
        <v/>
      </c>
      <c r="AF483" s="209">
        <f ca="1">IF($AE497*$AA483*'Customer Base'!$D$26*0.8&gt;5800,"",IF($AE497*$AA483&gt;$AA501,"",IF(($AA$483*AF$482*$AE$497)&lt;=$AA$501,((MOD($AA$501,($AA$483*AF$482*$AE$497)))),"")))</f>
        <v>1</v>
      </c>
      <c r="AG483" s="209">
        <f ca="1">IF($AE497*$AA483*'Customer Base'!$D$26*0.8&gt;5800,"",IF($AE497*$AA483&gt;$AA501,"",IF(($AA$483*AG$482*$AE$497)&lt;=$AA$501,((MOD($AA$501,($AA$483*AG$482*$AE$497)))),"")))</f>
        <v>1</v>
      </c>
      <c r="AH483" s="209" t="str">
        <f ca="1">IF($AE497*$AA483*'Customer Base'!$D$26*0.8&gt;5800,"",IF($AE497*$AA483&gt;$AA501,"",IF(($AA$483*AH$482*$AE$497)&lt;=$AA$501,((MOD($AA$501,($AA$483*AH$482*$AE$497)))),"")))</f>
        <v/>
      </c>
      <c r="AI483" s="209" t="str">
        <f ca="1">IF($AE497*$AA483*'Customer Base'!$D$26*0.8&gt;5800,"",IF($AE497*$AA483&gt;$AA501,"",IF(($AA$483*AI$482*$AE$497)&lt;=$AA$501,((MOD($AA$501,($AA$483*AI$482*$AE$497)))),"")))</f>
        <v/>
      </c>
      <c r="AJ483" s="209" t="str">
        <f ca="1">IF($AE497*$AA483*'Customer Base'!$D$26*0.8&gt;5800,"",IF($AE497*$AA483&gt;$AA501,"",IF(($AA$483*AJ$482*$AE$497)&lt;=$AA$501,((MOD($AA$501,($AA$483*AJ$482*$AE$497)))),"")))</f>
        <v/>
      </c>
      <c r="AK483" s="209" t="str">
        <f ca="1">IF($AE497*$AA483*'Customer Base'!$D$26*0.8&gt;5800,"",IF($AE497*$AA483&gt;$AA501,"",IF(($AA$483*AK$482*$AE$497)&lt;=$AA$501,((MOD($AA$501,($AA$483*AK$482*$AE$497)))),"")))</f>
        <v/>
      </c>
      <c r="AL483" s="209" t="str">
        <f ca="1">IF($AE497*$AA483*'Customer Base'!$D$26*0.8&gt;5800,"",IF($AE497*$AA483&gt;$AA501,"",IF(($AA$483*AL$482*$AE$497)&lt;=$AA$501,((MOD($AA$501,($AA$483*AL$482*$AE$497)))),"")))</f>
        <v/>
      </c>
      <c r="AM483" s="209" t="str">
        <f ca="1">IF($AE497*$AA483*'Customer Base'!$D$26*0.8&gt;5800,"",IF($AE497*$AA483&gt;$AA501,"",IF(($AA$483*AM$482*$AE$497)&lt;=$AA$501,((MOD($AA$501,($AA$483*AM$482*$AE$497)))),"")))</f>
        <v/>
      </c>
      <c r="AN483" s="209" t="str">
        <f ca="1">IF($AE497*$AA483*'Customer Base'!$D$26*0.8&gt;5800,"",IF($AE497*$AA483&gt;$AA501,"",IF(($AA$483*AN$482*$AE$497)&lt;=$AA$501,((MOD($AA$501,($AA$483*AN$482*$AE$497)))),"")))</f>
        <v/>
      </c>
      <c r="AO483" s="209" t="str">
        <f ca="1">IF($AE497*$AA483*'Customer Base'!$D$26*0.8&gt;5800,"",IF($AE497*$AA483&gt;$AA501,"",IF(($AA$483*AO$482*$AE$497)&lt;=$AA$501,((MOD($AA$501,($AA$483*AO$482*$AE$497)))),"")))</f>
        <v/>
      </c>
      <c r="AP483" s="209" t="str">
        <f ca="1">IF($AE497*$AA483*'Customer Base'!$D$26*0.8&gt;5800,"",IF($AE497*$AA483&gt;$AA501,"",IF(($AA$483*AP$482*$AE$497)&lt;=$AA$501,((MOD($AA$501,($AA$483*AP$482*$AE$497)))),"")))</f>
        <v/>
      </c>
      <c r="AQ483" s="209" t="str">
        <f ca="1">IF($AE497*$AA483*'Customer Base'!$D$26*0.8&gt;5800,"",IF($AE497*$AA483&gt;$AA501,"",IF(($AA$483*AQ$482*$AE$497)&lt;=$AA$501,((MOD($AA$501,($AA$483*AQ$482*$AE$497)))),"")))</f>
        <v/>
      </c>
      <c r="AR483" s="209" t="str">
        <f ca="1">IF($AE497*$AA483*'Customer Base'!$D$26*0.8&gt;5800,"",IF($AE497*$AA483&gt;$AA501,"",IF(($AA$483*AR$482*$AE$497)&lt;=$AA$501,((MOD($AA$501,($AA$483*AR$482*$AE$497)))),"")))</f>
        <v/>
      </c>
      <c r="AS483" s="209" t="str">
        <f ca="1">IF($AE497*$AA483*'Customer Base'!$D$26*0.8&gt;5800,"",IF($AE497*$AA483&gt;$AA501,"",IF(($AA$483*AS$482*$AE$497)&lt;=$AA$501,((MOD($AA$501,($AA$483*AS$482*$AE$497)))),"")))</f>
        <v/>
      </c>
      <c r="AT483" s="209" t="str">
        <f ca="1">IF($AE497*$AA483*'Customer Base'!$D$26*0.8&gt;5800,"",IF($AE497*$AA483&gt;$AA501,"",IF(($AA$483*AT$482*$AE$497)&lt;=$AA$501,((MOD($AA$501,($AA$483*AT$482*$AE$497)))),"")))</f>
        <v/>
      </c>
      <c r="AU483" s="209" t="str">
        <f ca="1">IF($AE497*$AA483*'Customer Base'!$D$26*0.8&gt;5800,"",IF($AE497*$AA483&gt;$AA501,"",IF(($AA$483*AU$482*$AE$497)&lt;=$AA$501,((MOD($AA$501,($AA$483*AU$482*$AE$497)))),"")))</f>
        <v/>
      </c>
      <c r="AV483" s="209" t="str">
        <f ca="1">IF($AE497*$AA483*'Customer Base'!$D$26*0.8&gt;5800,"",IF($AE497*$AA483&gt;$AA501,"",IF(($AA$483*AV$482*$AE$497)&lt;=$AA$501,((MOD($AA$501,($AA$483*AV$482*$AE$497)))),"")))</f>
        <v/>
      </c>
      <c r="AW483" s="209" t="str">
        <f ca="1">IF($AE497*$AA483*'Customer Base'!$D$26*0.8&gt;5800,"",IF($AE497*$AA483&gt;$AA501,"",IF(($AA$483*AW$482*$AE$497)&lt;=$AA$501,((MOD($AA$501,($AA$483*AW$482*$AE$497)))),"")))</f>
        <v/>
      </c>
      <c r="AX483" s="209" t="str">
        <f ca="1">IF($AE497*$AA483*'Customer Base'!$D$26*0.8&gt;5800,"",IF($AE497*$AA483&gt;$AA501,"",IF(($AA$483*AX$482*$AE$497)&lt;=$AA$501,((MOD($AA$501,($AA$483*AX$482*$AE$497)))),"")))</f>
        <v/>
      </c>
      <c r="AY483" s="209" t="str">
        <f ca="1">IF($AE497*$AA483*'Customer Base'!$D$26*0.8&gt;5800,"",IF($AE497*$AA483&gt;$AA501,"",IF(($AA$483*AY$482*$AE$497)&lt;=$AA$501,((MOD($AA$501,($AA$483*AY$482*$AE$497)))),"")))</f>
        <v/>
      </c>
      <c r="AZ483" s="209" t="str">
        <f ca="1">IF($AE497*$AA483*'Customer Base'!$D$26*0.8&gt;5800,"",IF($AE497*$AA483&gt;$AA501,"",IF(($AA$483*AZ$482*$AE$497)&lt;=$AA$501,((MOD($AA$501,($AA$483*AZ$482*$AE$497)))),"")))</f>
        <v/>
      </c>
      <c r="BA483" s="209" t="str">
        <f ca="1">IF($AE497*$AA483*'Customer Base'!$D$26*0.8&gt;5800,"",IF($AE497*$AA483&gt;$AA501,"",IF(($AA$483*BA$482*$AE$497)&lt;=$AA$501,((MOD($AA$501,($AA$483*BA$482*$AE$497)))),"")))</f>
        <v/>
      </c>
      <c r="BB483" s="209" t="str">
        <f ca="1">IF($AE497*$AA483*'Customer Base'!$D$26*0.8&gt;5800,"",IF($AE497*$AA483&gt;$AA501,"",IF(($AA$483*BB$482*$AE$497)&lt;=$AA$501,((MOD($AA$501,($AA$483*BB$482*$AE$497)))),"")))</f>
        <v/>
      </c>
      <c r="BC483" s="209" t="str">
        <f ca="1">IF($AE497*$AA483*'Customer Base'!$D$26*0.8&gt;5800,"",IF($AE497*$AA483&gt;$AA501,"",IF(($AA$483*BC$482*$AE$497)&lt;=$AA$501,((MOD($AA$501,($AA$483*BC$482*$AE$497)))),"")))</f>
        <v/>
      </c>
      <c r="BD483" s="209" t="str">
        <f ca="1">IF($AE497*$AA483*'Customer Base'!$D$26*0.8&gt;5800,"",IF($AE497*$AA483&gt;$AA501,"",IF(($AA$483*BD$482*$AE$497)&lt;=$AA$501,((MOD($AA$501,($AA$483*BD$482*$AE$497)))),"")))</f>
        <v/>
      </c>
      <c r="BE483" s="209" t="str">
        <f ca="1">IF($AE497*$AA483*'Customer Base'!$D$26*0.8&gt;5800,"",IF($AE497*$AA483&gt;$AA501,"",IF(($AA$483*BE$482*$AE$497)&lt;=$AA$501,((MOD($AA$501,($AA$483*BE$482*$AE$497)))),"")))</f>
        <v/>
      </c>
      <c r="BF483" s="209" t="str">
        <f ca="1">IF($AE497*$AA483*'Customer Base'!$D$26*0.8&gt;5800,"",IF($AE497*$AA483&gt;$AA501,"",IF(($AA$483*BF$482*$AE$497)&lt;=$AA$501,((MOD($AA$501,($AA$483*BF$482*$AE$497)))),"")))</f>
        <v/>
      </c>
      <c r="BG483" s="209" t="str">
        <f ca="1">IF($AE497*$AA483*'Customer Base'!$D$26*0.8&gt;5800,"",IF($AE497*$AA483&gt;$AA501,"",IF(($AA$483*BG$482*$AE$497)&lt;=$AA$501,((MOD($AA$501,($AA$483*BG$482*$AE$497)))),"")))</f>
        <v/>
      </c>
      <c r="BH483" s="209" t="str">
        <f ca="1">IF($AE497*$AA483*'Customer Base'!$D$26*0.8&gt;5800,"",IF($AE497*$AA483&gt;$AA501,"",IF(($AA$483*BH$482*$AE$497)&lt;=$AA$501,((MOD($AA$501,($AA$483*BH$482*$AE$497)))),"")))</f>
        <v/>
      </c>
      <c r="BI483" s="209" t="str">
        <f ca="1">IF($AE497*$AA483*'Customer Base'!$D$26*0.8&gt;5800,"",IF($AE497*$AA483&gt;$AA501,"",IF(($AA$483*BI$482*$AE$497)&lt;=$AA$501,((MOD($AA$501,($AA$483*BI$482*$AE$497)))),"")))</f>
        <v/>
      </c>
      <c r="BJ483" s="209" t="str">
        <f ca="1">IF($AE497*$AA483*'Customer Base'!$D$26*0.8&gt;5800,"",IF($AE497*$AA483&gt;$AA501,"",IF(($AA$483*BJ$482*$AE$497)&lt;=$AA$501,((MOD($AA$501,($AA$483*BJ$482*$AE$497)))),"")))</f>
        <v/>
      </c>
      <c r="BK483" s="209" t="str">
        <f ca="1">IF($AE497*$AA483*'Customer Base'!$D$26*0.8&gt;5800,"",IF($AE497*$AA483&gt;$AA501,"",IF(($AA$483*BK$482*$AE$497)&lt;=$AA$501,((MOD($AA$501,($AA$483*BK$482*$AE$497)))),"")))</f>
        <v/>
      </c>
      <c r="BL483" s="209" t="str">
        <f ca="1">IF($AE497*$AA483*'Customer Base'!$D$26*0.8&gt;5800,"",IF($AE497*$AA483&gt;$AA501,"",IF(($AA$483*BL$482*$AE$497)&lt;=$AA$501,((MOD($AA$501,($AA$483*BL$482*$AE$497)))),"")))</f>
        <v/>
      </c>
      <c r="BM483" s="209" t="str">
        <f ca="1">IF($AE497*$AA483*'Customer Base'!$D$26*0.8&gt;5800,"",IF($AE497*$AA483&gt;$AA501,"",IF(($AA$483*BM$482*$AE$497)&lt;=$AA$501,((MOD($AA$501,($AA$483*BM$482*$AE$497)))),"")))</f>
        <v/>
      </c>
      <c r="BN483" s="209" t="str">
        <f ca="1">IF($AE497*$AA483*'Customer Base'!$D$26*0.8&gt;5800,"",IF($AE497*$AA483&gt;$AA501,"",IF(($AA$483*BN$482*$AE$497)&lt;=$AA$501,((MOD($AA$501,($AA$483*BN$482*$AE$497)))),"")))</f>
        <v/>
      </c>
      <c r="BO483" s="209" t="str">
        <f ca="1">IF($AE497*$AA483*'Customer Base'!$D$26*0.8&gt;5800,"",IF($AE497*$AA483&gt;$AA501,"",IF(($AA$483*BO$482*$AE$497)&lt;=$AA$501,((MOD($AA$501,($AA$483*BO$482*$AE$497)))),"")))</f>
        <v/>
      </c>
      <c r="BP483" s="209" t="str">
        <f ca="1">IF($AE497*$AA483*'Customer Base'!$D$26*0.8&gt;5800,"",IF($AE497*$AA483&gt;$AA501,"",IF(($AA$483*BP$482*$AE$497)&lt;=$AA$501,((MOD($AA$501,($AA$483*BP$482*$AE$497)))),"")))</f>
        <v/>
      </c>
      <c r="BQ483" s="209" t="str">
        <f ca="1">IF($AE497*$AA483*'Customer Base'!$D$26*0.8&gt;5800,"",IF($AE497*$AA483&gt;$AA501,"",IF(($AA$483*BQ$482*$AE$497)&lt;=$AA$501,((MOD($AA$501,($AA$483*BQ$482*$AE$497)))),"")))</f>
        <v/>
      </c>
      <c r="BR483" s="209" t="str">
        <f ca="1">IF($AE497*$AA483*'Customer Base'!$D$26*0.8&gt;5800,"",IF($AE497*$AA483&gt;$AA501,"",IF(($AA$483*BR$482*$AE$497)&lt;=$AA$501,((MOD($AA$501,($AA$483*BR$482*$AE$497)))),"")))</f>
        <v/>
      </c>
      <c r="BS483" s="209" t="str">
        <f ca="1">IF($AE497*$AA483*'Customer Base'!$D$26*0.8&gt;5800,"",IF($AE497*$AA483&gt;$AA501,"",IF(($AA$483*BS$482*$AE$497)&lt;=$AA$501,((MOD($AA$501,($AA$483*BS$482*$AE$497)))),"")))</f>
        <v/>
      </c>
      <c r="BT483" s="209" t="str">
        <f ca="1">IF($AE497*$AA483*'Customer Base'!$D$26*0.8&gt;5800,"",IF($AE497*$AA483&gt;$AA501,"",IF(($AA$483*BT$482*$AE$497)&lt;=$AA$501,((MOD($AA$501,($AA$483*BT$482*$AE$497)))),"")))</f>
        <v/>
      </c>
      <c r="BU483" s="209" t="str">
        <f ca="1">IF($AE497*$AA483*'Customer Base'!$D$26*0.8&gt;5800,"",IF($AE497*$AA483&gt;$AA501,"",IF(($AA$483*BU$482*$AE$497)&lt;=$AA$501,((MOD($AA$501,($AA$483*BU$482*$AE$497)))),"")))</f>
        <v/>
      </c>
      <c r="BV483" s="209" t="str">
        <f ca="1">IF($AE497*$AA483*'Customer Base'!$D$26*0.8&gt;5800,"",IF($AE497*$AA483&gt;$AA501,"",IF(($AA$483*BV$482*$AE$497)&lt;=$AA$501,((MOD($AA$501,($AA$483*BV$482*$AE$497)))),"")))</f>
        <v/>
      </c>
      <c r="BW483" s="209" t="str">
        <f ca="1">IF($AE497*$AA483*'Customer Base'!$D$26*0.8&gt;5800,"",IF($AE497*$AA483&gt;$AA501,"",IF(($AA$483*BW$482*$AE$497)&lt;=$AA$501,((MOD($AA$501,($AA$483*BW$482*$AE$497)))),"")))</f>
        <v/>
      </c>
      <c r="BX483" s="209" t="str">
        <f ca="1">IF($AE497*$AA483*'Customer Base'!$D$26*0.8&gt;5800,"",IF($AE497*$AA483&gt;$AA501,"",IF(($AA$483*BX$482*$AE$497)&lt;=$AA$501,((MOD($AA$501,($AA$483*BX$482*$AE$497)))),"")))</f>
        <v/>
      </c>
      <c r="BY483" s="209" t="str">
        <f ca="1">IF($AE497*$AA483*'Customer Base'!$D$26*0.8&gt;5800,"",IF($AE497*$AA483&gt;$AA501,"",IF(($AA$483*BY$482*$AE$497)&lt;=$AA$501,((MOD($AA$501,($AA$483*BY$482*$AE$497)))),"")))</f>
        <v/>
      </c>
      <c r="BZ483" s="209" t="str">
        <f ca="1">IF($AE497*$AA483*'Customer Base'!$D$26*0.8&gt;5800,"",IF($AE497*$AA483&gt;$AA501,"",IF(($AA$483*BZ$482*$AE$497)&lt;=$AA$501,((MOD($AA$501,($AA$483*BZ$482*$AE$497)))),"")))</f>
        <v/>
      </c>
      <c r="CA483" s="209" t="str">
        <f ca="1">IF($AE497*$AA483*'Customer Base'!$D$26*0.8&gt;5800,"",IF($AE497*$AA483&gt;$AA501,"",IF(($AA$483*CA$482*$AE$497)&lt;=$AA$501,((MOD($AA$501,($AA$483*CA$482*$AE$497)))),"")))</f>
        <v/>
      </c>
      <c r="CB483" s="209" t="str">
        <f ca="1">IF($AE497*$AA483*'Customer Base'!$D$26*0.8&gt;5800,"",IF($AE497*$AA483&gt;$AA501,"",IF(($AA$483*CB$482*$AE$497)&lt;=$AA$501,((MOD($AA$501,($AA$483*CB$482*$AE$497)))),"")))</f>
        <v/>
      </c>
      <c r="CC483" s="209" t="str">
        <f ca="1">IF($AE497*$AA483*'Customer Base'!$D$26*0.8&gt;5800,"",IF($AE497*$AA483&gt;$AA501,"",IF(($AA$483*CC$482*$AE$497)&lt;=$AA$501,((MOD($AA$501,($AA$483*CC$482*$AE$497)))),"")))</f>
        <v/>
      </c>
      <c r="CD483" s="209" t="str">
        <f ca="1">IF($AE497*$AA483*'Customer Base'!$D$26*0.8&gt;5800,"",IF($AE497*$AA483&gt;$AA501,"",IF(($AA$483*CD$482*$AE$497)&lt;=$AA$501,((MOD($AA$501,($AA$483*CD$482*$AE$497)))),"")))</f>
        <v/>
      </c>
      <c r="CE483" s="209" t="str">
        <f ca="1">IF($AE497*$AA483*'Customer Base'!$D$26*0.8&gt;5800,"",IF($AE497*$AA483&gt;$AA501,"",IF(($AA$483*CE$482*$AE$497)&lt;=$AA$501,((MOD($AA$501,($AA$483*CE$482*$AE$497)))),"")))</f>
        <v/>
      </c>
      <c r="CF483" s="209" t="str">
        <f ca="1">IF($AE497*$AA483*'Customer Base'!$D$26*0.8&gt;5800,"",IF($AE497*$AA483&gt;$AA501,"",IF(($AA$483*CF$482*$AE$497)&lt;=$AA$501,((MOD($AA$501,($AA$483*CF$482*$AE$497)))),"")))</f>
        <v/>
      </c>
      <c r="CG483" s="209" t="str">
        <f ca="1">IF($AE497*$AA483*'Customer Base'!$D$26*0.8&gt;5800,"",IF($AE497*$AA483&gt;$AA501,"",IF(($AA$483*CG$482*$AE$497)&lt;=$AA$501,((MOD($AA$501,($AA$483*CG$482*$AE$497)))),"")))</f>
        <v/>
      </c>
      <c r="CH483" s="209" t="str">
        <f ca="1">IF($AE497*$AA483*'Customer Base'!$D$26*0.8&gt;5800,"",IF($AE497*$AA483&gt;$AA501,"",IF(($AA$483*CH$482*$AE$497)&lt;=$AA$501,((MOD($AA$501,($AA$483*CH$482*$AE$497)))),"")))</f>
        <v/>
      </c>
      <c r="CI483" s="209" t="str">
        <f ca="1">IF($AE497*$AA483*'Customer Base'!$D$26*0.8&gt;5800,"",IF($AE497*$AA483&gt;$AA501,"",IF(($AA$483*CI$482*$AE$497)&lt;=$AA$501,((MOD($AA$501,($AA$483*CI$482*$AE$497)))),"")))</f>
        <v/>
      </c>
      <c r="CJ483" s="209" t="str">
        <f ca="1">IF($AE497*$AA483*'Customer Base'!$D$26*0.8&gt;5800,"",IF($AE497*$AA483&gt;$AA501,"",IF(($AA$483*CJ$482*$AE$497)&lt;=$AA$501,((MOD($AA$501,($AA$483*CJ$482*$AE$497)))),"")))</f>
        <v/>
      </c>
      <c r="CK483" s="209" t="str">
        <f ca="1">IF($AE497*$AA483*'Customer Base'!$D$26*0.8&gt;5800,"",IF($AE497*$AA483&gt;$AA501,"",IF(($AA$483*CK$482*$AE$497)&lt;=$AA$501,((MOD($AA$501,($AA$483*CK$482*$AE$497)))),"")))</f>
        <v/>
      </c>
      <c r="CL483" s="209" t="str">
        <f ca="1">IF($AE497*$AA483*'Customer Base'!$D$26*0.8&gt;5800,"",IF($AE497*$AA483&gt;$AA501,"",IF(($AA$483*CL$482*$AE$497)&lt;=$AA$501,((MOD($AA$501,($AA$483*CL$482*$AE$497)))),"")))</f>
        <v/>
      </c>
      <c r="CM483" s="209" t="str">
        <f ca="1">IF($AE497*$AA483*'Customer Base'!$D$26*0.8&gt;5800,"",IF($AE497*$AA483&gt;$AA501,"",IF(($AA$483*CM$482*$AE$497)&lt;=$AA$501,((MOD($AA$501,($AA$483*CM$482*$AE$497)))),"")))</f>
        <v/>
      </c>
      <c r="CN483" s="209" t="str">
        <f ca="1">IF($AE497*$AA483*'Customer Base'!$D$26*0.8&gt;5800,"",IF($AE497*$AA483&gt;$AA501,"",IF(($AA$483*CN$482*$AE$497)&lt;=$AA$501,((MOD($AA$501,($AA$483*CN$482*$AE$497)))),"")))</f>
        <v/>
      </c>
      <c r="CO483" s="209" t="str">
        <f ca="1">IF($AE497*$AA483*'Customer Base'!$D$26*0.8&gt;5800,"",IF($AE497*$AA483&gt;$AA501,"",IF(($AA$483*CO$482*$AE$497)&lt;=$AA$501,((MOD($AA$501,($AA$483*CO$482*$AE$497)))),"")))</f>
        <v/>
      </c>
      <c r="CP483" s="209" t="str">
        <f ca="1">IF($AE497*$AA483*'Customer Base'!$D$26*0.8&gt;5800,"",IF($AE497*$AA483&gt;$AA501,"",IF(($AA$483*CP$482*$AE$497)&lt;=$AA$501,((MOD($AA$501,($AA$483*CP$482*$AE$497)))),"")))</f>
        <v/>
      </c>
      <c r="CQ483" s="209" t="str">
        <f ca="1">IF($AE497*$AA483*'Customer Base'!$D$26*0.8&gt;5800,"",IF($AE497*$AA483&gt;$AA501,"",IF(($AA$483*CQ$482*$AE$497)&lt;=$AA$501,((MOD($AA$501,($AA$483*CQ$482*$AE$497)))),"")))</f>
        <v/>
      </c>
      <c r="CR483" s="209" t="str">
        <f ca="1">IF($AE497*$AA483*'Customer Base'!$D$26*0.8&gt;5800,"",IF($AE497*$AA483&gt;$AA501,"",IF(($AA$483*CR$482*$AE$497)&lt;=$AA$501,((MOD($AA$501,($AA$483*CR$482*$AE$497)))),"")))</f>
        <v/>
      </c>
      <c r="CS483" s="209" t="str">
        <f ca="1">IF($AE497*$AA483*'Customer Base'!$D$26*0.8&gt;5800,"",IF($AE497*$AA483&gt;$AA501,"",IF(($AA$483*CS$482*$AE$497)&lt;=$AA$501,((MOD($AA$501,($AA$483*CS$482*$AE$497)))),"")))</f>
        <v/>
      </c>
      <c r="CT483" s="209" t="str">
        <f ca="1">IF($AE497*$AA483*'Customer Base'!$D$26*0.8&gt;5800,"",IF($AE497*$AA483&gt;$AA501,"",IF(($AA$483*CT$482*$AE$497)&lt;=$AA$501,((MOD($AA$501,($AA$483*CT$482*$AE$497)))),"")))</f>
        <v/>
      </c>
      <c r="CU483" s="209" t="str">
        <f ca="1">IF($AE497*$AA483*'Customer Base'!$D$26*0.8&gt;5800,"",IF($AE497*$AA483&gt;$AA501,"",IF(($AA$483*CU$482*$AE$497)&lt;=$AA$501,((MOD($AA$501,($AA$483*CU$482*$AE$497)))),"")))</f>
        <v/>
      </c>
      <c r="CV483" s="209" t="str">
        <f ca="1">IF($AE497*$AA483*'Customer Base'!$D$26*0.8&gt;5800,"",IF($AE497*$AA483&gt;$AA501,"",IF(($AA$483*CV$482*$AE$497)&lt;=$AA$501,((MOD($AA$501,($AA$483*CV$482*$AE$497)))),"")))</f>
        <v/>
      </c>
      <c r="CW483" s="209" t="str">
        <f ca="1">IF($AE497*$AA483*'Customer Base'!$D$26*0.8&gt;5800,"",IF($AE497*$AA483&gt;$AA501,"",IF(($AA$483*CW$482*$AE$497)&lt;=$AA$501,((MOD($AA$501,($AA$483*CW$482*$AE$497)))),"")))</f>
        <v/>
      </c>
      <c r="CX483" s="209" t="str">
        <f ca="1">IF($AE497*$AA483*'Customer Base'!$D$26*0.8&gt;5800,"",IF($AE497*$AA483&gt;$AA501,"",IF(($AA$483*CX$482*$AE$497)&lt;=$AA$501,((MOD($AA$501,($AA$483*CX$482*$AE$497)))),"")))</f>
        <v/>
      </c>
      <c r="CY483" s="209" t="str">
        <f ca="1">IF($AE497*$AA483*'Customer Base'!$D$26*0.8&gt;5800,"",IF($AE497*$AA483&gt;$AA501,"",IF(($AA$483*CY$482*$AE$497)&lt;=$AA$501,((MOD($AA$501,($AA$483*CY$482*$AE$497)))),"")))</f>
        <v/>
      </c>
      <c r="CZ483" s="209" t="str">
        <f ca="1">IF($AE497*$AA483*'Customer Base'!$D$26*0.8&gt;5800,"",IF($AE497*$AA483&gt;$AA501,"",IF(($AA$483*CZ$482*$AE$497)&lt;=$AA$501,((MOD($AA$501,($AA$483*CZ$482*$AE$497)))),"")))</f>
        <v/>
      </c>
      <c r="DA483" s="209" t="str">
        <f ca="1">IF($AE497*$AA483*'Customer Base'!$D$26*0.8&gt;5800,"",IF($AE497*$AA483&gt;$AA501,"",IF(($AA$483*DA$482*$AE$497)&lt;=$AA$501,((MOD($AA$501,($AA$483*DA$482*$AE$497)))),"")))</f>
        <v/>
      </c>
      <c r="DB483" s="209" t="str">
        <f ca="1">IF($AE497*$AA483*'Customer Base'!$D$26*0.8&gt;5800,"",IF($AE497*$AA483&gt;$AA501,"",IF(($AA$483*DB$482*$AE$497)&lt;=$AA$501,((MOD($AA$501,($AA$483*DB$482*$AE$497)))),"")))</f>
        <v/>
      </c>
      <c r="DC483" s="209" t="str">
        <f ca="1">IF($AE497*$AA483*'Customer Base'!$D$26*0.8&gt;5800,"",IF($AE497*$AA483&gt;$AA501,"",IF(($AA$483*DC$482*$AE$497)&lt;=$AA$501,((MOD($AA$501,($AA$483*DC$482*$AE$497)))),"")))</f>
        <v/>
      </c>
      <c r="DD483" s="209" t="str">
        <f ca="1">IF($AE497*$AA483*'Customer Base'!$D$26*0.8&gt;5800,"",IF($AE497*$AA483&gt;$AA501,"",IF(($AA$483*DD$482*$AE$497)&lt;=$AA$501,((MOD($AA$501,($AA$483*DD$482*$AE$497)))),"")))</f>
        <v/>
      </c>
      <c r="DE483" s="209" t="str">
        <f ca="1">IF($AE497*$AA483*'Customer Base'!$D$26*0.8&gt;5800,"",IF($AE497*$AA483&gt;$AA501,"",IF(($AA$483*DE$482*$AE$497)&lt;=$AA$501,((MOD($AA$501,($AA$483*DE$482*$AE$497)))),"")))</f>
        <v/>
      </c>
      <c r="DF483" s="209" t="str">
        <f ca="1">IF($AE497*$AA483*'Customer Base'!$D$26*0.8&gt;5800,"",IF($AE497*$AA483&gt;$AA501,"",IF(($AA$483*DF$482*$AE$497)&lt;=$AA$501,((MOD($AA$501,($AA$483*DF$482*$AE$497)))),"")))</f>
        <v/>
      </c>
      <c r="DG483" s="209" t="str">
        <f ca="1">IF($AE497*$AA483*'Customer Base'!$D$26*0.8&gt;5800,"",IF($AE497*$AA483&gt;$AA501,"",IF(($AA$483*DG$482*$AE$497)&lt;=$AA$501,((MOD($AA$501,($AA$483*DG$482*$AE$497)))),"")))</f>
        <v/>
      </c>
      <c r="DH483" s="209" t="str">
        <f ca="1">IF($AE497*$AA483*'Customer Base'!$D$26*0.8&gt;5800,"",IF($AE497*$AA483&gt;$AA501,"",IF(($AA$483*DH$482*$AE$497)&lt;=$AA$501,((MOD($AA$501,($AA$483*DH$482*$AE$497)))),"")))</f>
        <v/>
      </c>
      <c r="DI483" s="209" t="str">
        <f ca="1">IF($AE497*$AA483*'Customer Base'!$D$26*0.8&gt;5800,"",IF($AE497*$AA483&gt;$AA501,"",IF(($AA$483*DI$482*$AE$497)&lt;=$AA$501,((MOD($AA$501,($AA$483*DI$482*$AE$497)))),"")))</f>
        <v/>
      </c>
      <c r="DJ483" s="209" t="str">
        <f ca="1">IF($AE497*$AA483*'Customer Base'!$D$26*0.8&gt;5800,"",IF($AE497*$AA483&gt;$AA501,"",IF(($AA$483*DJ$482*$AE$497)&lt;=$AA$501,((MOD($AA$501,($AA$483*DJ$482*$AE$497)))),"")))</f>
        <v/>
      </c>
      <c r="DK483" s="209" t="str">
        <f ca="1">IF($AE497*$AA483*'Customer Base'!$D$26*0.8&gt;5800,"",IF($AE497*$AA483&gt;$AA501,"",IF(($AA$483*DK$482*$AE$497)&lt;=$AA$501,((MOD($AA$501,($AA$483*DK$482*$AE$497)))),"")))</f>
        <v/>
      </c>
      <c r="DL483" s="209" t="str">
        <f ca="1">IF($AE497*$AA483*'Customer Base'!$D$26*0.8&gt;5800,"",IF($AE497*$AA483&gt;$AA501,"",IF(($AA$483*DL$482*$AE$497)&lt;=$AA$501,((MOD($AA$501,($AA$483*DL$482*$AE$497)))),"")))</f>
        <v/>
      </c>
      <c r="DM483" s="209" t="str">
        <f ca="1">IF($AE497*$AA483*'Customer Base'!$D$26*0.8&gt;5800,"",IF($AE497*$AA483&gt;$AA501,"",IF(($AA$483*DM$482*$AE$497)&lt;=$AA$501,((MOD($AA$501,($AA$483*DM$482*$AE$497)))),"")))</f>
        <v/>
      </c>
      <c r="DN483" s="209" t="str">
        <f ca="1">IF($AE497*$AA483*'Customer Base'!$D$26*0.8&gt;5800,"",IF($AE497*$AA483&gt;$AA501,"",IF(($AA$483*DN$482*$AE$497)&lt;=$AA$501,((MOD($AA$501,($AA$483*DN$482*$AE$497)))),"")))</f>
        <v/>
      </c>
      <c r="DO483" s="209" t="str">
        <f ca="1">IF($AE497*$AA483*'Customer Base'!$D$26*0.8&gt;5800,"",IF($AE497*$AA483&gt;$AA501,"",IF(($AA$483*DO$482*$AE$497)&lt;=$AA$501,((MOD($AA$501,($AA$483*DO$482*$AE$497)))),"")))</f>
        <v/>
      </c>
      <c r="DP483" s="209" t="str">
        <f ca="1">IF($AE497*$AA483*'Customer Base'!$D$26*0.8&gt;5800,"",IF($AE497*$AA483&gt;$AA501,"",IF(($AA$483*DP$482*$AE$497)&lt;=$AA$501,((MOD($AA$501,($AA$483*DP$482*$AE$497)))),"")))</f>
        <v/>
      </c>
      <c r="DQ483" s="209" t="str">
        <f ca="1">IF($AE497*$AA483*'Customer Base'!$D$26*0.8&gt;5800,"",IF($AE497*$AA483&gt;$AA501,"",IF(($AA$483*DQ$482*$AE$497)&lt;=$AA$501,((MOD($AA$501,($AA$483*DQ$482*$AE$497)))),"")))</f>
        <v/>
      </c>
      <c r="DR483" s="209" t="str">
        <f ca="1">IF($AE497*$AA483*'Customer Base'!$D$26*0.8&gt;5800,"",IF($AE497*$AA483&gt;$AA501,"",IF(($AA$483*DR$482*$AE$497)&lt;=$AA$501,((MOD($AA$501,($AA$483*DR$482*$AE$497)))),"")))</f>
        <v/>
      </c>
      <c r="DS483" s="209" t="str">
        <f ca="1">IF($AE497*$AA483*'Customer Base'!$D$26*0.8&gt;5800,"",IF($AE497*$AA483&gt;$AA501,"",IF(($AA$483*DS$482*$AE$497)&lt;=$AA$501,((MOD($AA$501,($AA$483*DS$482*$AE$497)))),"")))</f>
        <v/>
      </c>
      <c r="DT483" s="209" t="str">
        <f ca="1">IF($AE497*$AA483*'Customer Base'!$D$26*0.8&gt;5800,"",IF($AE497*$AA483&gt;$AA501,"",IF(($AA$483*DT$482*$AE$497)&lt;=$AA$501,((MOD($AA$501,($AA$483*DT$482*$AE$497)))),"")))</f>
        <v/>
      </c>
      <c r="DU483" s="209" t="str">
        <f ca="1">IF($AE497*$AA483*'Customer Base'!$D$26*0.8&gt;5800,"",IF($AE497*$AA483&gt;$AA501,"",IF(($AA$483*DU$482*$AE$497)&lt;=$AA$501,((MOD($AA$501,($AA$483*DU$482*$AE$497)))),"")))</f>
        <v/>
      </c>
      <c r="DV483" s="209" t="str">
        <f ca="1">IF($AE497*$AA483*'Customer Base'!$D$26*0.8&gt;5800,"",IF($AE497*$AA483&gt;$AA501,"",IF(($AA$483*DV$482*$AE$497)&lt;=$AA$501,((MOD($AA$501,($AA$483*DV$482*$AE$497)))),"")))</f>
        <v/>
      </c>
      <c r="DW483" s="209" t="str">
        <f ca="1">IF($AE497*$AA483*'Customer Base'!$D$26*0.8&gt;5800,"",IF($AE497*$AA483&gt;$AA501,"",IF(($AA$483*DW$482*$AE$497)&lt;=$AA$501,((MOD($AA$501,($AA$483*DW$482*$AE$497)))),"")))</f>
        <v/>
      </c>
      <c r="DX483" s="209" t="str">
        <f ca="1">IF($AE497*$AA483*'Customer Base'!$D$26*0.8&gt;5800,"",IF($AE497*$AA483&gt;$AA501,"",IF(($AA$483*DX$482*$AE$497)&lt;=$AA$501,((MOD($AA$501,($AA$483*DX$482*$AE$497)))),"")))</f>
        <v/>
      </c>
      <c r="DY483" s="209" t="str">
        <f ca="1">IF($AE497*$AA483*'Customer Base'!$D$26*0.8&gt;5800,"",IF($AE497*$AA483&gt;$AA501,"",IF(($AA$483*DY$482*$AE$497)&lt;=$AA$501,((MOD($AA$501,($AA$483*DY$482*$AE$497)))),"")))</f>
        <v/>
      </c>
      <c r="DZ483" s="209" t="str">
        <f ca="1">IF($AE497*$AA483*'Customer Base'!$D$26*0.8&gt;5800,"",IF($AE497*$AA483&gt;$AA501,"",IF(($AA$483*DZ$482*$AE$497)&lt;=$AA$501,((MOD($AA$501,($AA$483*DZ$482*$AE$497)))),"")))</f>
        <v/>
      </c>
      <c r="EA483" s="209" t="str">
        <f ca="1">IF($AE497*$AA483*'Customer Base'!$D$26*0.8&gt;5800,"",IF($AE497*$AA483&gt;$AA501,"",IF(($AA$483*EA$482*$AE$497)&lt;=$AA$501,((MOD($AA$501,($AA$483*EA$482*$AE$497)))),"")))</f>
        <v/>
      </c>
      <c r="EC483" s="209" cm="1">
        <f t="array" aca="1" ref="EC483" ca="1">IFERROR(LOOKUP(2,1/(AF483:EA483&lt;&gt;""),AF$482:EA$482),"")</f>
        <v>2</v>
      </c>
      <c r="ED483" s="311" t="str" cm="1">
        <f t="array" aca="1" ref="ED483" ca="1">IF(EC$474=EC483,LOOKUP(2,1/(AF483:EA483&lt;&gt;""),AF483:EA483),"")</f>
        <v/>
      </c>
      <c r="EE483" s="311" t="str">
        <f ca="1">IF(ED483=ED$474,1,"")</f>
        <v/>
      </c>
      <c r="EF483" s="311"/>
      <c r="EG483" s="311"/>
      <c r="EH483" s="311"/>
      <c r="EI483" s="209">
        <v>2</v>
      </c>
      <c r="EJ483" s="310" t="s">
        <v>2685</v>
      </c>
      <c r="EK483" s="209">
        <f>IFERROR(MOD(EL$495,EI483),"")</f>
        <v>0</v>
      </c>
      <c r="EL483" s="209" t="str">
        <f>IF(OR(EL489=1,EL489=""),"",IF(AND(EK485&lt;&gt;0,EK484&lt;&gt;0,EK483=0),IF(EK483=0,EI483,""),IF(AND(MAX(EK483:EK485)&lt;=EI483,SUMPRODUCT(EL484:EL485,EM484:EM485)&lt;&gt;EL489),EI483,"")))</f>
        <v/>
      </c>
      <c r="EM483" s="209" t="str">
        <f>IFERROR(IF(AND(EL483&lt;&gt;"",OR(EL484&lt;&gt;"",EL485&lt;&gt;"")),1,(ROUNDDOWN(EL$495/EL483,0))),"")</f>
        <v/>
      </c>
      <c r="EN483" s="209" t="str">
        <f ca="1">IF($AE497*$AA483*'Customer Base'!$D$26*0.8&gt;5800,"",IF($AE497*$AA483&gt;$AA501,"",IF(($AA$483*EN$482*$AE$497)&lt;=$ED$474,((MOD($ED$474,($AA$483*EN$482*$AE$497)))),"")))</f>
        <v/>
      </c>
      <c r="EO483" s="209" t="str">
        <f ca="1">IF($AE497*$AA483*'Customer Base'!$D$26*0.8&gt;5800,"",IF($AE497*$AA483&gt;$AA501,"",IF(($AA$483*EO$482*$AE$497)&lt;=$ED$474,((MOD($ED$474,($AA$483*EO$482*$AE$497)))),"")))</f>
        <v/>
      </c>
      <c r="EP483" s="209" t="str">
        <f ca="1">IF($AE497*$AA483*'Customer Base'!$D$26*0.8&gt;5800,"",IF($AE497*$AA483&gt;$AA501,"",IF(($AA$483*EP$482*$AE$497)&lt;=$ED$474,((MOD($ED$474,($AA$483*EP$482*$AE$497)))),"")))</f>
        <v/>
      </c>
      <c r="EQ483" s="209" t="str">
        <f ca="1">IF($AE497*$AA483*'Customer Base'!$D$26*0.8&gt;5800,"",IF($AE497*$AA483&gt;$AA501,"",IF(($AA$483*EQ$482*$AE$497)&lt;=$ED$474,((MOD($ED$474,($AA$483*EQ$482*$AE$497)))),"")))</f>
        <v/>
      </c>
      <c r="ER483" s="209" t="str">
        <f ca="1">IF($AE497*$AA483*'Customer Base'!$D$26*0.8&gt;5800,"",IF($AE497*$AA483&gt;$AA501,"",IF(($AA$483*ER$482*$AE$497)&lt;=$ED$474,((MOD($ED$474,($AA$483*ER$482*$AE$497)))),"")))</f>
        <v/>
      </c>
      <c r="ES483" s="209" t="str">
        <f ca="1">IF($AE497*$AA483*'Customer Base'!$D$26*0.8&gt;5800,"",IF($AE497*$AA483&gt;$AA501,"",IF(($AA$483*ES$482*$AE$497)&lt;=$ED$474,((MOD($ED$474,($AA$483*ES$482*$AE$497)))),"")))</f>
        <v/>
      </c>
      <c r="ET483" s="209" t="str">
        <f ca="1">IF($AE497*$AA483*'Customer Base'!$D$26*0.8&gt;5800,"",IF($AE497*$AA483&gt;$AA501,"",IF(($AA$483*ET$482*$AE$497)&lt;=$ED$474,((MOD($ED$474,($AA$483*ET$482*$AE$497)))),"")))</f>
        <v/>
      </c>
      <c r="EU483" s="209" t="str">
        <f ca="1">IF($AE497*$AA483*'Customer Base'!$D$26*0.8&gt;5800,"",IF($AE497*$AA483&gt;$AA501,"",IF(($AA$483*EU$482*$AE$497)&lt;=$ED$474,((MOD($ED$474,($AA$483*EU$482*$AE$497)))),"")))</f>
        <v/>
      </c>
      <c r="EV483" s="209" t="str">
        <f ca="1">IF($AE497*$AA483*'Customer Base'!$D$26*0.8&gt;5800,"",IF($AE497*$AA483&gt;$AA501,"",IF(($AA$483*EV$482*$AE$497)&lt;=$ED$474,((MOD($ED$474,($AA$483*EV$482*$AE$497)))),"")))</f>
        <v/>
      </c>
      <c r="EW483" s="209" t="str">
        <f ca="1">IF($AE497*$AA483*'Customer Base'!$D$26*0.8&gt;5800,"",IF($AE497*$AA483&gt;$AA501,"",IF(($AA$483*EW$482*$AE$497)&lt;=$ED$474,((MOD($ED$474,($AA$483*EW$482*$AE$497)))),"")))</f>
        <v/>
      </c>
      <c r="EX483" s="209" t="str">
        <f ca="1">IF($AE497*$AA483*'Customer Base'!$D$26*0.8&gt;5800,"",IF($AE497*$AA483&gt;$AA501,"",IF(($AA$483*EX$482*$AE$497)&lt;=$ED$474,((MOD($ED$474,($AA$483*EX$482*$AE$497)))),"")))</f>
        <v/>
      </c>
      <c r="EY483" s="209" t="str">
        <f ca="1">IF($AE497*$AA483*'Customer Base'!$D$26*0.8&gt;5800,"",IF($AE497*$AA483&gt;$AA501,"",IF(($AA$483*EY$482*$AE$497)&lt;=$ED$474,((MOD($ED$474,($AA$483*EY$482*$AE$497)))),"")))</f>
        <v/>
      </c>
      <c r="EZ483" s="209" t="str">
        <f ca="1">IF($AE497*$AA483*'Customer Base'!$D$26*0.8&gt;5800,"",IF($AE497*$AA483&gt;$AA501,"",IF(($AA$483*EZ$482*$AE$497)&lt;=$ED$474,((MOD($ED$474,($AA$483*EZ$482*$AE$497)))),"")))</f>
        <v/>
      </c>
      <c r="FA483" s="209" t="str">
        <f ca="1">IF($AE497*$AA483*'Customer Base'!$D$26*0.8&gt;5800,"",IF($AE497*$AA483&gt;$AA501,"",IF(($AA$483*FA$482*$AE$497)&lt;=$ED$474,((MOD($ED$474,($AA$483*FA$482*$AE$497)))),"")))</f>
        <v/>
      </c>
      <c r="FB483" s="209" t="str">
        <f ca="1">IF($AE497*$AA483*'Customer Base'!$D$26*0.8&gt;5800,"",IF($AE497*$AA483&gt;$AA501,"",IF(($AA$483*FB$482*$AE$497)&lt;=$ED$474,((MOD($ED$474,($AA$483*FB$482*$AE$497)))),"")))</f>
        <v/>
      </c>
      <c r="FC483" s="209" t="str">
        <f ca="1">IF($AE497*$AA483*'Customer Base'!$D$26*0.8&gt;5800,"",IF($AE497*$AA483&gt;$AA501,"",IF(($AA$483*FC$482*$AE$497)&lt;=$ED$474,((MOD($ED$474,($AA$483*FC$482*$AE$497)))),"")))</f>
        <v/>
      </c>
      <c r="FD483" s="209" t="str">
        <f ca="1">IF($AE497*$AA483*'Customer Base'!$D$26*0.8&gt;5800,"",IF($AE497*$AA483&gt;$AA501,"",IF(($AA$483*FD$482*$AE$497)&lt;=$ED$474,((MOD($ED$474,($AA$483*FD$482*$AE$497)))),"")))</f>
        <v/>
      </c>
      <c r="FE483" s="209" t="str">
        <f ca="1">IF($AE497*$AA483*'Customer Base'!$D$26*0.8&gt;5800,"",IF($AE497*$AA483&gt;$AA501,"",IF(($AA$483*FE$482*$AE$497)&lt;=$ED$474,((MOD($ED$474,($AA$483*FE$482*$AE$497)))),"")))</f>
        <v/>
      </c>
      <c r="FF483" s="209" t="str">
        <f ca="1">IF($AE497*$AA483*'Customer Base'!$D$26*0.8&gt;5800,"",IF($AE497*$AA483&gt;$AA501,"",IF(($AA$483*FF$482*$AE$497)&lt;=$ED$474,((MOD($ED$474,($AA$483*FF$482*$AE$497)))),"")))</f>
        <v/>
      </c>
      <c r="FG483" s="209" t="str">
        <f ca="1">IF($AE497*$AA483*'Customer Base'!$D$26*0.8&gt;5800,"",IF($AE497*$AA483&gt;$AA501,"",IF(($AA$483*FG$482*$AE$497)&lt;=$ED$474,((MOD($ED$474,($AA$483*FG$482*$AE$497)))),"")))</f>
        <v/>
      </c>
      <c r="FH483" s="209" t="str">
        <f ca="1">IF($AE497*$AA483*'Customer Base'!$D$26*0.8&gt;5800,"",IF($AE497*$AA483&gt;$AA501,"",IF(($AA$483*FH$482*$AE$497)&lt;=$ED$474,((MOD($ED$474,($AA$483*FH$482*$AE$497)))),"")))</f>
        <v/>
      </c>
      <c r="FI483" s="209" t="str">
        <f ca="1">IF($AE497*$AA483*'Customer Base'!$D$26*0.8&gt;5800,"",IF($AE497*$AA483&gt;$AA501,"",IF(($AA$483*FI$482*$AE$497)&lt;=$ED$474,((MOD($ED$474,($AA$483*FI$482*$AE$497)))),"")))</f>
        <v/>
      </c>
      <c r="FJ483" s="209" t="str">
        <f ca="1">IF($AE497*$AA483*'Customer Base'!$D$26*0.8&gt;5800,"",IF($AE497*$AA483&gt;$AA501,"",IF(($AA$483*FJ$482*$AE$497)&lt;=$ED$474,((MOD($ED$474,($AA$483*FJ$482*$AE$497)))),"")))</f>
        <v/>
      </c>
      <c r="FK483" s="209" t="str">
        <f ca="1">IF($AE497*$AA483*'Customer Base'!$D$26*0.8&gt;5800,"",IF($AE497*$AA483&gt;$AA501,"",IF(($AA$483*FK$482*$AE$497)&lt;=$ED$474,((MOD($ED$474,($AA$483*FK$482*$AE$497)))),"")))</f>
        <v/>
      </c>
      <c r="FL483" s="209" t="str">
        <f ca="1">IF($AE497*$AA483*'Customer Base'!$D$26*0.8&gt;5800,"",IF($AE497*$AA483&gt;$AA501,"",IF(($AA$483*FL$482*$AE$497)&lt;=$ED$474,((MOD($ED$474,($AA$483*FL$482*$AE$497)))),"")))</f>
        <v/>
      </c>
      <c r="FM483" s="209" t="str">
        <f ca="1">IF($AE497*$AA483*'Customer Base'!$D$26*0.8&gt;5800,"",IF($AE497*$AA483&gt;$AA501,"",IF(($AA$483*FM$482*$AE$497)&lt;=$ED$474,((MOD($ED$474,($AA$483*FM$482*$AE$497)))),"")))</f>
        <v/>
      </c>
      <c r="FN483" s="209" t="str">
        <f ca="1">IF($AE497*$AA483*'Customer Base'!$D$26*0.8&gt;5800,"",IF($AE497*$AA483&gt;$AA501,"",IF(($AA$483*FN$482*$AE$497)&lt;=$ED$474,((MOD($ED$474,($AA$483*FN$482*$AE$497)))),"")))</f>
        <v/>
      </c>
      <c r="FO483" s="209" t="str">
        <f ca="1">IF($AE497*$AA483*'Customer Base'!$D$26*0.8&gt;5800,"",IF($AE497*$AA483&gt;$AA501,"",IF(($AA$483*FO$482*$AE$497)&lt;=$ED$474,((MOD($ED$474,($AA$483*FO$482*$AE$497)))),"")))</f>
        <v/>
      </c>
      <c r="FP483" s="209" t="str">
        <f ca="1">IF($AE497*$AA483*'Customer Base'!$D$26*0.8&gt;5800,"",IF($AE497*$AA483&gt;$AA501,"",IF(($AA$483*FP$482*$AE$497)&lt;=$ED$474,((MOD($ED$474,($AA$483*FP$482*$AE$497)))),"")))</f>
        <v/>
      </c>
      <c r="FQ483" s="209" t="str">
        <f ca="1">IF($AE497*$AA483*'Customer Base'!$D$26*0.8&gt;5800,"",IF($AE497*$AA483&gt;$AA501,"",IF(($AA$483*FQ$482*$AE$497)&lt;=$ED$474,((MOD($ED$474,($AA$483*FQ$482*$AE$497)))),"")))</f>
        <v/>
      </c>
      <c r="FR483" s="209" t="str">
        <f ca="1">IF($AE497*$AA483*'Customer Base'!$D$26*0.8&gt;5800,"",IF($AE497*$AA483&gt;$AA501,"",IF(($AA$483*FR$482*$AE$497)&lt;=$ED$474,((MOD($ED$474,($AA$483*FR$482*$AE$497)))),"")))</f>
        <v/>
      </c>
      <c r="FS483" s="209" t="str">
        <f ca="1">IF($AE497*$AA483*'Customer Base'!$D$26*0.8&gt;5800,"",IF($AE497*$AA483&gt;$AA501,"",IF(($AA$483*FS$482*$AE$497)&lt;=$ED$474,((MOD($ED$474,($AA$483*FS$482*$AE$497)))),"")))</f>
        <v/>
      </c>
      <c r="FT483" s="209" t="str">
        <f ca="1">IF($AE497*$AA483*'Customer Base'!$D$26*0.8&gt;5800,"",IF($AE497*$AA483&gt;$AA501,"",IF(($AA$483*FT$482*$AE$497)&lt;=$ED$474,((MOD($ED$474,($AA$483*FT$482*$AE$497)))),"")))</f>
        <v/>
      </c>
      <c r="FU483" s="209" t="str">
        <f ca="1">IF($AE497*$AA483*'Customer Base'!$D$26*0.8&gt;5800,"",IF($AE497*$AA483&gt;$AA501,"",IF(($AA$483*FU$482*$AE$497)&lt;=$ED$474,((MOD($ED$474,($AA$483*FU$482*$AE$497)))),"")))</f>
        <v/>
      </c>
      <c r="FV483" s="209" t="str">
        <f ca="1">IF($AE497*$AA483*'Customer Base'!$D$26*0.8&gt;5800,"",IF($AE497*$AA483&gt;$AA501,"",IF(($AA$483*FV$482*$AE$497)&lt;=$ED$474,((MOD($ED$474,($AA$483*FV$482*$AE$497)))),"")))</f>
        <v/>
      </c>
      <c r="FW483" s="209" t="str">
        <f ca="1">IF($AE497*$AA483*'Customer Base'!$D$26*0.8&gt;5800,"",IF($AE497*$AA483&gt;$AA501,"",IF(($AA$483*FW$482*$AE$497)&lt;=$ED$474,((MOD($ED$474,($AA$483*FW$482*$AE$497)))),"")))</f>
        <v/>
      </c>
      <c r="FX483" s="209" t="str">
        <f ca="1">IF($AE497*$AA483*'Customer Base'!$D$26*0.8&gt;5800,"",IF($AE497*$AA483&gt;$AA501,"",IF(($AA$483*FX$482*$AE$497)&lt;=$ED$474,((MOD($ED$474,($AA$483*FX$482*$AE$497)))),"")))</f>
        <v/>
      </c>
      <c r="FY483" s="209" t="str">
        <f ca="1">IF($AE497*$AA483*'Customer Base'!$D$26*0.8&gt;5800,"",IF($AE497*$AA483&gt;$AA501,"",IF(($AA$483*FY$482*$AE$497)&lt;=$ED$474,((MOD($ED$474,($AA$483*FY$482*$AE$497)))),"")))</f>
        <v/>
      </c>
      <c r="FZ483" s="209" t="str">
        <f ca="1">IF($AE497*$AA483*'Customer Base'!$D$26*0.8&gt;5800,"",IF($AE497*$AA483&gt;$AA501,"",IF(($AA$483*FZ$482*$AE$497)&lt;=$ED$474,((MOD($ED$474,($AA$483*FZ$482*$AE$497)))),"")))</f>
        <v/>
      </c>
      <c r="GA483" s="209" t="str">
        <f ca="1">IF($AE497*$AA483*'Customer Base'!$D$26*0.8&gt;5800,"",IF($AE497*$AA483&gt;$AA501,"",IF(($AA$483*GA$482*$AE$497)&lt;=$ED$474,((MOD($ED$474,($AA$483*GA$482*$AE$497)))),"")))</f>
        <v/>
      </c>
      <c r="GB483" s="209" t="str">
        <f ca="1">IF($AE497*$AA483*'Customer Base'!$D$26*0.8&gt;5800,"",IF($AE497*$AA483&gt;$AA501,"",IF(($AA$483*GB$482*$AE$497)&lt;=$ED$474,((MOD($ED$474,($AA$483*GB$482*$AE$497)))),"")))</f>
        <v/>
      </c>
      <c r="GC483" s="209" t="str">
        <f ca="1">IF($AE497*$AA483*'Customer Base'!$D$26*0.8&gt;5800,"",IF($AE497*$AA483&gt;$AA501,"",IF(($AA$483*GC$482*$AE$497)&lt;=$ED$474,((MOD($ED$474,($AA$483*GC$482*$AE$497)))),"")))</f>
        <v/>
      </c>
      <c r="GD483" s="209" t="str">
        <f ca="1">IF($AE497*$AA483*'Customer Base'!$D$26*0.8&gt;5800,"",IF($AE497*$AA483&gt;$AA501,"",IF(($AA$483*GD$482*$AE$497)&lt;=$ED$474,((MOD($ED$474,($AA$483*GD$482*$AE$497)))),"")))</f>
        <v/>
      </c>
      <c r="GE483" s="209" t="str">
        <f ca="1">IF($AE497*$AA483*'Customer Base'!$D$26*0.8&gt;5800,"",IF($AE497*$AA483&gt;$AA501,"",IF(($AA$483*GE$482*$AE$497)&lt;=$ED$474,((MOD($ED$474,($AA$483*GE$482*$AE$497)))),"")))</f>
        <v/>
      </c>
      <c r="GF483" s="209" t="str">
        <f ca="1">IF($AE497*$AA483*'Customer Base'!$D$26*0.8&gt;5800,"",IF($AE497*$AA483&gt;$AA501,"",IF(($AA$483*GF$482*$AE$497)&lt;=$ED$474,((MOD($ED$474,($AA$483*GF$482*$AE$497)))),"")))</f>
        <v/>
      </c>
      <c r="GG483" s="209" t="str">
        <f ca="1">IF($AE497*$AA483*'Customer Base'!$D$26*0.8&gt;5800,"",IF($AE497*$AA483&gt;$AA501,"",IF(($AA$483*GG$482*$AE$497)&lt;=$ED$474,((MOD($ED$474,($AA$483*GG$482*$AE$497)))),"")))</f>
        <v/>
      </c>
      <c r="GH483" s="209" t="str">
        <f ca="1">IF($AE497*$AA483*'Customer Base'!$D$26*0.8&gt;5800,"",IF($AE497*$AA483&gt;$AA501,"",IF(($AA$483*GH$482*$AE$497)&lt;=$ED$474,((MOD($ED$474,($AA$483*GH$482*$AE$497)))),"")))</f>
        <v/>
      </c>
      <c r="GI483" s="209" t="str">
        <f ca="1">IF($AE497*$AA483*'Customer Base'!$D$26*0.8&gt;5800,"",IF($AE497*$AA483&gt;$AA501,"",IF(($AA$483*GI$482*$AE$497)&lt;=$ED$474,((MOD($ED$474,($AA$483*GI$482*$AE$497)))),"")))</f>
        <v/>
      </c>
      <c r="GJ483" s="209" t="str">
        <f ca="1">IF($AE497*$AA483*'Customer Base'!$D$26*0.8&gt;5800,"",IF($AE497*$AA483&gt;$AA501,"",IF(($AA$483*GJ$482*$AE$497)&lt;=$ED$474,((MOD($ED$474,($AA$483*GJ$482*$AE$497)))),"")))</f>
        <v/>
      </c>
      <c r="GK483" s="209" t="str">
        <f ca="1">IF($AE497*$AA483*'Customer Base'!$D$26*0.8&gt;5800,"",IF($AE497*$AA483&gt;$AA501,"",IF(($AA$483*GK$482*$AE$497)&lt;=$ED$474,((MOD($ED$474,($AA$483*GK$482*$AE$497)))),"")))</f>
        <v/>
      </c>
      <c r="GL483" s="209" t="str">
        <f ca="1">IF($AE497*$AA483*'Customer Base'!$D$26*0.8&gt;5800,"",IF($AE497*$AA483&gt;$AA501,"",IF(($AA$483*GL$482*$AE$497)&lt;=$ED$474,((MOD($ED$474,($AA$483*GL$482*$AE$497)))),"")))</f>
        <v/>
      </c>
      <c r="GM483" s="209" t="str">
        <f ca="1">IF($AE497*$AA483*'Customer Base'!$D$26*0.8&gt;5800,"",IF($AE497*$AA483&gt;$AA501,"",IF(($AA$483*GM$482*$AE$497)&lt;=$ED$474,((MOD($ED$474,($AA$483*GM$482*$AE$497)))),"")))</f>
        <v/>
      </c>
      <c r="GN483" s="209" t="str">
        <f ca="1">IF($AE497*$AA483*'Customer Base'!$D$26*0.8&gt;5800,"",IF($AE497*$AA483&gt;$AA501,"",IF(($AA$483*GN$482*$AE$497)&lt;=$ED$474,((MOD($ED$474,($AA$483*GN$482*$AE$497)))),"")))</f>
        <v/>
      </c>
      <c r="GO483" s="209" t="str">
        <f ca="1">IF($AE497*$AA483*'Customer Base'!$D$26*0.8&gt;5800,"",IF($AE497*$AA483&gt;$AA501,"",IF(($AA$483*GO$482*$AE$497)&lt;=$ED$474,((MOD($ED$474,($AA$483*GO$482*$AE$497)))),"")))</f>
        <v/>
      </c>
      <c r="GP483" s="209" t="str">
        <f ca="1">IF($AE497*$AA483*'Customer Base'!$D$26*0.8&gt;5800,"",IF($AE497*$AA483&gt;$AA501,"",IF(($AA$483*GP$482*$AE$497)&lt;=$ED$474,((MOD($ED$474,($AA$483*GP$482*$AE$497)))),"")))</f>
        <v/>
      </c>
      <c r="GQ483" s="209" t="str">
        <f ca="1">IF($AE497*$AA483*'Customer Base'!$D$26*0.8&gt;5800,"",IF($AE497*$AA483&gt;$AA501,"",IF(($AA$483*GQ$482*$AE$497)&lt;=$ED$474,((MOD($ED$474,($AA$483*GQ$482*$AE$497)))),"")))</f>
        <v/>
      </c>
      <c r="GR483" s="209" t="str">
        <f ca="1">IF($AE497*$AA483*'Customer Base'!$D$26*0.8&gt;5800,"",IF($AE497*$AA483&gt;$AA501,"",IF(($AA$483*GR$482*$AE$497)&lt;=$ED$474,((MOD($ED$474,($AA$483*GR$482*$AE$497)))),"")))</f>
        <v/>
      </c>
      <c r="GS483" s="209" t="str">
        <f ca="1">IF($AE497*$AA483*'Customer Base'!$D$26*0.8&gt;5800,"",IF($AE497*$AA483&gt;$AA501,"",IF(($AA$483*GS$482*$AE$497)&lt;=$ED$474,((MOD($ED$474,($AA$483*GS$482*$AE$497)))),"")))</f>
        <v/>
      </c>
      <c r="GT483" s="209" t="str">
        <f ca="1">IF($AE497*$AA483*'Customer Base'!$D$26*0.8&gt;5800,"",IF($AE497*$AA483&gt;$AA501,"",IF(($AA$483*GT$482*$AE$497)&lt;=$ED$474,((MOD($ED$474,($AA$483*GT$482*$AE$497)))),"")))</f>
        <v/>
      </c>
      <c r="GU483" s="209" t="str">
        <f ca="1">IF($AE497*$AA483*'Customer Base'!$D$26*0.8&gt;5800,"",IF($AE497*$AA483&gt;$AA501,"",IF(($AA$483*GU$482*$AE$497)&lt;=$ED$474,((MOD($ED$474,($AA$483*GU$482*$AE$497)))),"")))</f>
        <v/>
      </c>
      <c r="GV483" s="209" t="str">
        <f ca="1">IF($AE497*$AA483*'Customer Base'!$D$26*0.8&gt;5800,"",IF($AE497*$AA483&gt;$AA501,"",IF(($AA$483*GV$482*$AE$497)&lt;=$ED$474,((MOD($ED$474,($AA$483*GV$482*$AE$497)))),"")))</f>
        <v/>
      </c>
      <c r="GW483" s="209" t="str">
        <f ca="1">IF($AE497*$AA483*'Customer Base'!$D$26*0.8&gt;5800,"",IF($AE497*$AA483&gt;$AA501,"",IF(($AA$483*GW$482*$AE$497)&lt;=$ED$474,((MOD($ED$474,($AA$483*GW$482*$AE$497)))),"")))</f>
        <v/>
      </c>
      <c r="GX483" s="209" t="str">
        <f ca="1">IF($AE497*$AA483*'Customer Base'!$D$26*0.8&gt;5800,"",IF($AE497*$AA483&gt;$AA501,"",IF(($AA$483*GX$482*$AE$497)&lt;=$ED$474,((MOD($ED$474,($AA$483*GX$482*$AE$497)))),"")))</f>
        <v/>
      </c>
      <c r="GY483" s="209" t="str">
        <f ca="1">IF($AE497*$AA483*'Customer Base'!$D$26*0.8&gt;5800,"",IF($AE497*$AA483&gt;$AA501,"",IF(($AA$483*GY$482*$AE$497)&lt;=$ED$474,((MOD($ED$474,($AA$483*GY$482*$AE$497)))),"")))</f>
        <v/>
      </c>
      <c r="GZ483" s="209" t="str">
        <f ca="1">IF($AE497*$AA483*'Customer Base'!$D$26*0.8&gt;5800,"",IF($AE497*$AA483&gt;$AA501,"",IF(($AA$483*GZ$482*$AE$497)&lt;=$ED$474,((MOD($ED$474,($AA$483*GZ$482*$AE$497)))),"")))</f>
        <v/>
      </c>
      <c r="HA483" s="209" t="str">
        <f ca="1">IF($AE497*$AA483*'Customer Base'!$D$26*0.8&gt;5800,"",IF($AE497*$AA483&gt;$AA501,"",IF(($AA$483*HA$482*$AE$497)&lt;=$ED$474,((MOD($ED$474,($AA$483*HA$482*$AE$497)))),"")))</f>
        <v/>
      </c>
      <c r="HB483" s="209" t="str">
        <f ca="1">IF($AE497*$AA483*'Customer Base'!$D$26*0.8&gt;5800,"",IF($AE497*$AA483&gt;$AA501,"",IF(($AA$483*HB$482*$AE$497)&lt;=$ED$474,((MOD($ED$474,($AA$483*HB$482*$AE$497)))),"")))</f>
        <v/>
      </c>
      <c r="HC483" s="209" t="str">
        <f ca="1">IF($AE497*$AA483*'Customer Base'!$D$26*0.8&gt;5800,"",IF($AE497*$AA483&gt;$AA501,"",IF(($AA$483*HC$482*$AE$497)&lt;=$ED$474,((MOD($ED$474,($AA$483*HC$482*$AE$497)))),"")))</f>
        <v/>
      </c>
      <c r="HD483" s="209" t="str">
        <f ca="1">IF($AE497*$AA483*'Customer Base'!$D$26*0.8&gt;5800,"",IF($AE497*$AA483&gt;$AA501,"",IF(($AA$483*HD$482*$AE$497)&lt;=$ED$474,((MOD($ED$474,($AA$483*HD$482*$AE$497)))),"")))</f>
        <v/>
      </c>
      <c r="HE483" s="209" t="str">
        <f ca="1">IF($AE497*$AA483*'Customer Base'!$D$26*0.8&gt;5800,"",IF($AE497*$AA483&gt;$AA501,"",IF(($AA$483*HE$482*$AE$497)&lt;=$ED$474,((MOD($ED$474,($AA$483*HE$482*$AE$497)))),"")))</f>
        <v/>
      </c>
      <c r="HF483" s="209" t="str">
        <f ca="1">IF($AE497*$AA483*'Customer Base'!$D$26*0.8&gt;5800,"",IF($AE497*$AA483&gt;$AA501,"",IF(($AA$483*HF$482*$AE$497)&lt;=$ED$474,((MOD($ED$474,($AA$483*HF$482*$AE$497)))),"")))</f>
        <v/>
      </c>
      <c r="HG483" s="209" t="str">
        <f ca="1">IF($AE497*$AA483*'Customer Base'!$D$26*0.8&gt;5800,"",IF($AE497*$AA483&gt;$AA501,"",IF(($AA$483*HG$482*$AE$497)&lt;=$ED$474,((MOD($ED$474,($AA$483*HG$482*$AE$497)))),"")))</f>
        <v/>
      </c>
      <c r="HH483" s="209" t="str">
        <f ca="1">IF($AE497*$AA483*'Customer Base'!$D$26*0.8&gt;5800,"",IF($AE497*$AA483&gt;$AA501,"",IF(($AA$483*HH$482*$AE$497)&lt;=$ED$474,((MOD($ED$474,($AA$483*HH$482*$AE$497)))),"")))</f>
        <v/>
      </c>
      <c r="HI483" s="209" t="str">
        <f ca="1">IF($AE497*$AA483*'Customer Base'!$D$26*0.8&gt;5800,"",IF($AE497*$AA483&gt;$AA501,"",IF(($AA$483*HI$482*$AE$497)&lt;=$ED$474,((MOD($ED$474,($AA$483*HI$482*$AE$497)))),"")))</f>
        <v/>
      </c>
      <c r="HJ483" s="209" t="str">
        <f ca="1">IF($AE497*$AA483*'Customer Base'!$D$26*0.8&gt;5800,"",IF($AE497*$AA483&gt;$AA501,"",IF(($AA$483*HJ$482*$AE$497)&lt;=$ED$474,((MOD($ED$474,($AA$483*HJ$482*$AE$497)))),"")))</f>
        <v/>
      </c>
      <c r="HK483" s="209" t="str">
        <f ca="1">IF($AE497*$AA483*'Customer Base'!$D$26*0.8&gt;5800,"",IF($AE497*$AA483&gt;$AA501,"",IF(($AA$483*HK$482*$AE$497)&lt;=$ED$474,((MOD($ED$474,($AA$483*HK$482*$AE$497)))),"")))</f>
        <v/>
      </c>
      <c r="HL483" s="209" t="str">
        <f ca="1">IF($AE497*$AA483*'Customer Base'!$D$26*0.8&gt;5800,"",IF($AE497*$AA483&gt;$AA501,"",IF(($AA$483*HL$482*$AE$497)&lt;=$ED$474,((MOD($ED$474,($AA$483*HL$482*$AE$497)))),"")))</f>
        <v/>
      </c>
      <c r="HM483" s="209" t="str">
        <f ca="1">IF($AE497*$AA483*'Customer Base'!$D$26*0.8&gt;5800,"",IF($AE497*$AA483&gt;$AA501,"",IF(($AA$483*HM$482*$AE$497)&lt;=$ED$474,((MOD($ED$474,($AA$483*HM$482*$AE$497)))),"")))</f>
        <v/>
      </c>
      <c r="HN483" s="209" t="str">
        <f ca="1">IF($AE497*$AA483*'Customer Base'!$D$26*0.8&gt;5800,"",IF($AE497*$AA483&gt;$AA501,"",IF(($AA$483*HN$482*$AE$497)&lt;=$ED$474,((MOD($ED$474,($AA$483*HN$482*$AE$497)))),"")))</f>
        <v/>
      </c>
      <c r="HO483" s="209" t="str">
        <f ca="1">IF($AE497*$AA483*'Customer Base'!$D$26*0.8&gt;5800,"",IF($AE497*$AA483&gt;$AA501,"",IF(($AA$483*HO$482*$AE$497)&lt;=$ED$474,((MOD($ED$474,($AA$483*HO$482*$AE$497)))),"")))</f>
        <v/>
      </c>
      <c r="HP483" s="209" t="str">
        <f ca="1">IF($AE497*$AA483*'Customer Base'!$D$26*0.8&gt;5800,"",IF($AE497*$AA483&gt;$AA501,"",IF(($AA$483*HP$482*$AE$497)&lt;=$ED$474,((MOD($ED$474,($AA$483*HP$482*$AE$497)))),"")))</f>
        <v/>
      </c>
      <c r="HQ483" s="209" t="str">
        <f ca="1">IF($AE497*$AA483*'Customer Base'!$D$26*0.8&gt;5800,"",IF($AE497*$AA483&gt;$AA501,"",IF(($AA$483*HQ$482*$AE$497)&lt;=$ED$474,((MOD($ED$474,($AA$483*HQ$482*$AE$497)))),"")))</f>
        <v/>
      </c>
      <c r="HR483" s="209" t="str">
        <f ca="1">IF($AE497*$AA483*'Customer Base'!$D$26*0.8&gt;5800,"",IF($AE497*$AA483&gt;$AA501,"",IF(($AA$483*HR$482*$AE$497)&lt;=$ED$474,((MOD($ED$474,($AA$483*HR$482*$AE$497)))),"")))</f>
        <v/>
      </c>
      <c r="HS483" s="209" t="str">
        <f ca="1">IF($AE497*$AA483*'Customer Base'!$D$26*0.8&gt;5800,"",IF($AE497*$AA483&gt;$AA501,"",IF(($AA$483*HS$482*$AE$497)&lt;=$ED$474,((MOD($ED$474,($AA$483*HS$482*$AE$497)))),"")))</f>
        <v/>
      </c>
      <c r="HT483" s="209" t="str">
        <f ca="1">IF($AE497*$AA483*'Customer Base'!$D$26*0.8&gt;5800,"",IF($AE497*$AA483&gt;$AA501,"",IF(($AA$483*HT$482*$AE$497)&lt;=$ED$474,((MOD($ED$474,($AA$483*HT$482*$AE$497)))),"")))</f>
        <v/>
      </c>
      <c r="HU483" s="209" t="str">
        <f ca="1">IF($AE497*$AA483*'Customer Base'!$D$26*0.8&gt;5800,"",IF($AE497*$AA483&gt;$AA501,"",IF(($AA$483*HU$482*$AE$497)&lt;=$ED$474,((MOD($ED$474,($AA$483*HU$482*$AE$497)))),"")))</f>
        <v/>
      </c>
      <c r="HV483" s="209" t="str">
        <f ca="1">IF($AE497*$AA483*'Customer Base'!$D$26*0.8&gt;5800,"",IF($AE497*$AA483&gt;$AA501,"",IF(($AA$483*HV$482*$AE$497)&lt;=$ED$474,((MOD($ED$474,($AA$483*HV$482*$AE$497)))),"")))</f>
        <v/>
      </c>
      <c r="HW483" s="209" t="str">
        <f ca="1">IF($AE497*$AA483*'Customer Base'!$D$26*0.8&gt;5800,"",IF($AE497*$AA483&gt;$AA501,"",IF(($AA$483*HW$482*$AE$497)&lt;=$ED$474,((MOD($ED$474,($AA$483*HW$482*$AE$497)))),"")))</f>
        <v/>
      </c>
      <c r="HX483" s="209" t="str">
        <f ca="1">IF($AE497*$AA483*'Customer Base'!$D$26*0.8&gt;5800,"",IF($AE497*$AA483&gt;$AA501,"",IF(($AA$483*HX$482*$AE$497)&lt;=$ED$474,((MOD($ED$474,($AA$483*HX$482*$AE$497)))),"")))</f>
        <v/>
      </c>
      <c r="HY483" s="209" t="str">
        <f ca="1">IF($AE497*$AA483*'Customer Base'!$D$26*0.8&gt;5800,"",IF($AE497*$AA483&gt;$AA501,"",IF(($AA$483*HY$482*$AE$497)&lt;=$ED$474,((MOD($ED$474,($AA$483*HY$482*$AE$497)))),"")))</f>
        <v/>
      </c>
      <c r="HZ483" s="209" t="str">
        <f ca="1">IF($AE497*$AA483*'Customer Base'!$D$26*0.8&gt;5800,"",IF($AE497*$AA483&gt;$AA501,"",IF(($AA$483*HZ$482*$AE$497)&lt;=$ED$474,((MOD($ED$474,($AA$483*HZ$482*$AE$497)))),"")))</f>
        <v/>
      </c>
      <c r="IA483" s="209" t="str">
        <f ca="1">IF($AE497*$AA483*'Customer Base'!$D$26*0.8&gt;5800,"",IF($AE497*$AA483&gt;$AA501,"",IF(($AA$483*IA$482*$AE$497)&lt;=$ED$474,((MOD($ED$474,($AA$483*IA$482*$AE$497)))),"")))</f>
        <v/>
      </c>
      <c r="IB483" s="209" t="str">
        <f ca="1">IF($AE497*$AA483*'Customer Base'!$D$26*0.8&gt;5800,"",IF($AE497*$AA483&gt;$AA501,"",IF(($AA$483*IB$482*$AE$497)&lt;=$ED$474,((MOD($ED$474,($AA$483*IB$482*$AE$497)))),"")))</f>
        <v/>
      </c>
      <c r="IC483" s="209" t="str">
        <f ca="1">IF($AE497*$AA483*'Customer Base'!$D$26*0.8&gt;5800,"",IF($AE497*$AA483&gt;$AA501,"",IF(($AA$483*IC$482*$AE$497)&lt;=$ED$474,((MOD($ED$474,($AA$483*IC$482*$AE$497)))),"")))</f>
        <v/>
      </c>
      <c r="ID483" s="209" t="str">
        <f ca="1">IF($AE497*$AA483*'Customer Base'!$D$26*0.8&gt;5800,"",IF($AE497*$AA483&gt;$AA501,"",IF(($AA$483*ID$482*$AE$497)&lt;=$ED$474,((MOD($ED$474,($AA$483*ID$482*$AE$497)))),"")))</f>
        <v/>
      </c>
      <c r="IE483" s="209" t="str">
        <f ca="1">IF($AE497*$AA483*'Customer Base'!$D$26*0.8&gt;5800,"",IF($AE497*$AA483&gt;$AA501,"",IF(($AA$483*IE$482*$AE$497)&lt;=$ED$474,((MOD($ED$474,($AA$483*IE$482*$AE$497)))),"")))</f>
        <v/>
      </c>
      <c r="IF483" s="209" t="str">
        <f ca="1">IF($AE497*$AA483*'Customer Base'!$D$26*0.8&gt;5800,"",IF($AE497*$AA483&gt;$AA501,"",IF(($AA$483*IF$482*$AE$497)&lt;=$ED$474,((MOD($ED$474,($AA$483*IF$482*$AE$497)))),"")))</f>
        <v/>
      </c>
      <c r="IG483" s="209" t="str">
        <f ca="1">IF($AE497*$AA483*'Customer Base'!$D$26*0.8&gt;5800,"",IF($AE497*$AA483&gt;$AA501,"",IF(($AA$483*IG$482*$AE$497)&lt;=$ED$474,((MOD($ED$474,($AA$483*IG$482*$AE$497)))),"")))</f>
        <v/>
      </c>
      <c r="IH483" s="209" t="str">
        <f ca="1">IF($AE497*$AA483*'Customer Base'!$D$26*0.8&gt;5800,"",IF($AE497*$AA483&gt;$AA501,"",IF(($AA$483*IH$482*$AE$497)&lt;=$ED$474,((MOD($ED$474,($AA$483*IH$482*$AE$497)))),"")))</f>
        <v/>
      </c>
      <c r="II483" s="209" t="str">
        <f ca="1">IF($AE497*$AA483*'Customer Base'!$D$26*0.8&gt;5800,"",IF($AE497*$AA483&gt;$AA501,"",IF(($AA$483*II$482*$AE$497)&lt;=$ED$474,((MOD($ED$474,($AA$483*II$482*$AE$497)))),"")))</f>
        <v/>
      </c>
      <c r="IK483" s="209" t="str" cm="1">
        <f t="array" aca="1" ref="IK483" ca="1">IFERROR(LOOKUP(2,1/(EN483:II483&lt;&gt;""),EN$482:II$482),"")</f>
        <v/>
      </c>
      <c r="IL483" s="311" t="str" cm="1">
        <f t="array" aca="1" ref="IL483" ca="1">IF(IK$474=IK483,LOOKUP(2,1/(EN483:II483&lt;&gt;""),EN483:II483),"")</f>
        <v/>
      </c>
      <c r="IM483" s="311" t="str">
        <f ca="1">IF(IL483=IL$474,1,"")</f>
        <v/>
      </c>
      <c r="IN483" s="311"/>
    </row>
    <row r="484" spans="2:248" ht="17">
      <c r="B484" s="206" t="s">
        <v>1345</v>
      </c>
      <c r="C484" s="207" t="s">
        <v>1346</v>
      </c>
      <c r="D484" s="207" t="s">
        <v>954</v>
      </c>
      <c r="F484" s="102" t="str">
        <f t="shared" si="15"/>
        <v>E</v>
      </c>
      <c r="AA484" s="209">
        <v>3</v>
      </c>
      <c r="AB484" s="311" t="s">
        <v>2686</v>
      </c>
      <c r="AC484" s="209">
        <f ca="1">IFERROR(MOD(AD$493,AA484),"")</f>
        <v>2.25</v>
      </c>
      <c r="AD484" s="209" t="str">
        <f ca="1">IF(OR(AD489=1,AD489=""),"",IF(AND(AC485&lt;&gt;0,AC484=0),IF(AC484=0,AA484,""),IF(AND(MAX(AC483:AC485)=AA484,SUMPRODUCT(AD485,AE485)&lt;&gt;AD489),AA484,"")))</f>
        <v/>
      </c>
      <c r="AE484" s="209" t="str">
        <f ca="1">IFERROR(IF(COUNT(AD484:AD485)&gt;1,1,(ROUNDDOWN(AD$493/AD484,0))),"")</f>
        <v/>
      </c>
      <c r="AF484" s="209">
        <f ca="1">IF($AE497*$AA484*'Customer Base'!$D$26*0.8&gt;5800,"",IF($AE497*$AA484&gt;$AA501,"",IF(($AA$484*AF$482*$AE$497)&lt;=$AA$501,((MOD($AA$501,($AA$484*AF$482*$AE$497)))),"")))</f>
        <v>3</v>
      </c>
      <c r="AG484" s="209" t="str">
        <f ca="1">IF($AE497*$AA484*'Customer Base'!$D$26*0.8&gt;5800,"",IF($AE497*$AA484&gt;$AA501,"",IF(($AA$484*AG$482*$AE$497)&lt;=$AA$501,((MOD($AA$501,($AA$484*AG$482*$AE$497)))),"")))</f>
        <v/>
      </c>
      <c r="AH484" s="209" t="str">
        <f ca="1">IF($AE497*$AA484*'Customer Base'!$D$26*0.8&gt;5800,"",IF($AE497*$AA484&gt;$AA501,"",IF(($AA$484*AH$482*$AE$497)&lt;=$AA$501,((MOD($AA$501,($AA$484*AH$482*$AE$497)))),"")))</f>
        <v/>
      </c>
      <c r="AI484" s="209" t="str">
        <f ca="1">IF($AE497*$AA484*'Customer Base'!$D$26*0.8&gt;5800,"",IF($AE497*$AA484&gt;$AA501,"",IF(($AA$484*AI$482*$AE$497)&lt;=$AA$501,((MOD($AA$501,($AA$484*AI$482*$AE$497)))),"")))</f>
        <v/>
      </c>
      <c r="AJ484" s="209" t="str">
        <f ca="1">IF($AE497*$AA484*'Customer Base'!$D$26*0.8&gt;5800,"",IF($AE497*$AA484&gt;$AA501,"",IF(($AA$484*AJ$482*$AE$497)&lt;=$AA$501,((MOD($AA$501,($AA$484*AJ$482*$AE$497)))),"")))</f>
        <v/>
      </c>
      <c r="AK484" s="209" t="str">
        <f ca="1">IF($AE497*$AA484*'Customer Base'!$D$26*0.8&gt;5800,"",IF($AE497*$AA484&gt;$AA501,"",IF(($AA$484*AK$482*$AE$497)&lt;=$AA$501,((MOD($AA$501,($AA$484*AK$482*$AE$497)))),"")))</f>
        <v/>
      </c>
      <c r="AL484" s="209" t="str">
        <f ca="1">IF($AE497*$AA484*'Customer Base'!$D$26*0.8&gt;5800,"",IF($AE497*$AA484&gt;$AA501,"",IF(($AA$484*AL$482*$AE$497)&lt;=$AA$501,((MOD($AA$501,($AA$484*AL$482*$AE$497)))),"")))</f>
        <v/>
      </c>
      <c r="AM484" s="209" t="str">
        <f ca="1">IF($AE497*$AA484*'Customer Base'!$D$26*0.8&gt;5800,"",IF($AE497*$AA484&gt;$AA501,"",IF(($AA$484*AM$482*$AE$497)&lt;=$AA$501,((MOD($AA$501,($AA$484*AM$482*$AE$497)))),"")))</f>
        <v/>
      </c>
      <c r="AN484" s="209" t="str">
        <f ca="1">IF($AE497*$AA484*'Customer Base'!$D$26*0.8&gt;5800,"",IF($AE497*$AA484&gt;$AA501,"",IF(($AA$484*AN$482*$AE$497)&lt;=$AA$501,((MOD($AA$501,($AA$484*AN$482*$AE$497)))),"")))</f>
        <v/>
      </c>
      <c r="AO484" s="209" t="str">
        <f ca="1">IF($AE497*$AA484*'Customer Base'!$D$26*0.8&gt;5800,"",IF($AE497*$AA484&gt;$AA501,"",IF(($AA$484*AO$482*$AE$497)&lt;=$AA$501,((MOD($AA$501,($AA$484*AO$482*$AE$497)))),"")))</f>
        <v/>
      </c>
      <c r="AP484" s="209" t="str">
        <f ca="1">IF($AE497*$AA484*'Customer Base'!$D$26*0.8&gt;5800,"",IF($AE497*$AA484&gt;$AA501,"",IF(($AA$484*AP$482*$AE$497)&lt;=$AA$501,((MOD($AA$501,($AA$484*AP$482*$AE$497)))),"")))</f>
        <v/>
      </c>
      <c r="AQ484" s="209" t="str">
        <f ca="1">IF($AE497*$AA484*'Customer Base'!$D$26*0.8&gt;5800,"",IF($AE497*$AA484&gt;$AA501,"",IF(($AA$484*AQ$482*$AE$497)&lt;=$AA$501,((MOD($AA$501,($AA$484*AQ$482*$AE$497)))),"")))</f>
        <v/>
      </c>
      <c r="AR484" s="209" t="str">
        <f ca="1">IF($AE497*$AA484*'Customer Base'!$D$26*0.8&gt;5800,"",IF($AE497*$AA484&gt;$AA501,"",IF(($AA$484*AR$482*$AE$497)&lt;=$AA$501,((MOD($AA$501,($AA$484*AR$482*$AE$497)))),"")))</f>
        <v/>
      </c>
      <c r="AS484" s="209" t="str">
        <f ca="1">IF($AE497*$AA484*'Customer Base'!$D$26*0.8&gt;5800,"",IF($AE497*$AA484&gt;$AA501,"",IF(($AA$484*AS$482*$AE$497)&lt;=$AA$501,((MOD($AA$501,($AA$484*AS$482*$AE$497)))),"")))</f>
        <v/>
      </c>
      <c r="AT484" s="209" t="str">
        <f ca="1">IF($AE497*$AA484*'Customer Base'!$D$26*0.8&gt;5800,"",IF($AE497*$AA484&gt;$AA501,"",IF(($AA$484*AT$482*$AE$497)&lt;=$AA$501,((MOD($AA$501,($AA$484*AT$482*$AE$497)))),"")))</f>
        <v/>
      </c>
      <c r="AU484" s="209" t="str">
        <f ca="1">IF($AE497*$AA484*'Customer Base'!$D$26*0.8&gt;5800,"",IF($AE497*$AA484&gt;$AA501,"",IF(($AA$484*AU$482*$AE$497)&lt;=$AA$501,((MOD($AA$501,($AA$484*AU$482*$AE$497)))),"")))</f>
        <v/>
      </c>
      <c r="AV484" s="209" t="str">
        <f ca="1">IF($AE497*$AA484*'Customer Base'!$D$26*0.8&gt;5800,"",IF($AE497*$AA484&gt;$AA501,"",IF(($AA$484*AV$482*$AE$497)&lt;=$AA$501,((MOD($AA$501,($AA$484*AV$482*$AE$497)))),"")))</f>
        <v/>
      </c>
      <c r="AW484" s="209" t="str">
        <f ca="1">IF($AE497*$AA484*'Customer Base'!$D$26*0.8&gt;5800,"",IF($AE497*$AA484&gt;$AA501,"",IF(($AA$484*AW$482*$AE$497)&lt;=$AA$501,((MOD($AA$501,($AA$484*AW$482*$AE$497)))),"")))</f>
        <v/>
      </c>
      <c r="AX484" s="209" t="str">
        <f ca="1">IF($AE497*$AA484*'Customer Base'!$D$26*0.8&gt;5800,"",IF($AE497*$AA484&gt;$AA501,"",IF(($AA$484*AX$482*$AE$497)&lt;=$AA$501,((MOD($AA$501,($AA$484*AX$482*$AE$497)))),"")))</f>
        <v/>
      </c>
      <c r="AY484" s="209" t="str">
        <f ca="1">IF($AE497*$AA484*'Customer Base'!$D$26*0.8&gt;5800,"",IF($AE497*$AA484&gt;$AA501,"",IF(($AA$484*AY$482*$AE$497)&lt;=$AA$501,((MOD($AA$501,($AA$484*AY$482*$AE$497)))),"")))</f>
        <v/>
      </c>
      <c r="AZ484" s="209" t="str">
        <f ca="1">IF($AE497*$AA484*'Customer Base'!$D$26*0.8&gt;5800,"",IF($AE497*$AA484&gt;$AA501,"",IF(($AA$484*AZ$482*$AE$497)&lt;=$AA$501,((MOD($AA$501,($AA$484*AZ$482*$AE$497)))),"")))</f>
        <v/>
      </c>
      <c r="BA484" s="209" t="str">
        <f ca="1">IF($AE497*$AA484*'Customer Base'!$D$26*0.8&gt;5800,"",IF($AE497*$AA484&gt;$AA501,"",IF(($AA$484*BA$482*$AE$497)&lt;=$AA$501,((MOD($AA$501,($AA$484*BA$482*$AE$497)))),"")))</f>
        <v/>
      </c>
      <c r="BB484" s="209" t="str">
        <f ca="1">IF($AE497*$AA484*'Customer Base'!$D$26*0.8&gt;5800,"",IF($AE497*$AA484&gt;$AA501,"",IF(($AA$484*BB$482*$AE$497)&lt;=$AA$501,((MOD($AA$501,($AA$484*BB$482*$AE$497)))),"")))</f>
        <v/>
      </c>
      <c r="BC484" s="209" t="str">
        <f ca="1">IF($AE497*$AA484*'Customer Base'!$D$26*0.8&gt;5800,"",IF($AE497*$AA484&gt;$AA501,"",IF(($AA$484*BC$482*$AE$497)&lt;=$AA$501,((MOD($AA$501,($AA$484*BC$482*$AE$497)))),"")))</f>
        <v/>
      </c>
      <c r="BD484" s="209" t="str">
        <f ca="1">IF($AE497*$AA484*'Customer Base'!$D$26*0.8&gt;5800,"",IF($AE497*$AA484&gt;$AA501,"",IF(($AA$484*BD$482*$AE$497)&lt;=$AA$501,((MOD($AA$501,($AA$484*BD$482*$AE$497)))),"")))</f>
        <v/>
      </c>
      <c r="BE484" s="209" t="str">
        <f ca="1">IF($AE497*$AA484*'Customer Base'!$D$26*0.8&gt;5800,"",IF($AE497*$AA484&gt;$AA501,"",IF(($AA$484*BE$482*$AE$497)&lt;=$AA$501,((MOD($AA$501,($AA$484*BE$482*$AE$497)))),"")))</f>
        <v/>
      </c>
      <c r="BF484" s="209" t="str">
        <f ca="1">IF($AE497*$AA484*'Customer Base'!$D$26*0.8&gt;5800,"",IF($AE497*$AA484&gt;$AA501,"",IF(($AA$484*BF$482*$AE$497)&lt;=$AA$501,((MOD($AA$501,($AA$484*BF$482*$AE$497)))),"")))</f>
        <v/>
      </c>
      <c r="BG484" s="209" t="str">
        <f ca="1">IF($AE497*$AA484*'Customer Base'!$D$26*0.8&gt;5800,"",IF($AE497*$AA484&gt;$AA501,"",IF(($AA$484*BG$482*$AE$497)&lt;=$AA$501,((MOD($AA$501,($AA$484*BG$482*$AE$497)))),"")))</f>
        <v/>
      </c>
      <c r="BH484" s="209" t="str">
        <f ca="1">IF($AE497*$AA484*'Customer Base'!$D$26*0.8&gt;5800,"",IF($AE497*$AA484&gt;$AA501,"",IF(($AA$484*BH$482*$AE$497)&lt;=$AA$501,((MOD($AA$501,($AA$484*BH$482*$AE$497)))),"")))</f>
        <v/>
      </c>
      <c r="BI484" s="209" t="str">
        <f ca="1">IF($AE497*$AA484*'Customer Base'!$D$26*0.8&gt;5800,"",IF($AE497*$AA484&gt;$AA501,"",IF(($AA$484*BI$482*$AE$497)&lt;=$AA$501,((MOD($AA$501,($AA$484*BI$482*$AE$497)))),"")))</f>
        <v/>
      </c>
      <c r="BJ484" s="209" t="str">
        <f ca="1">IF($AE497*$AA484*'Customer Base'!$D$26*0.8&gt;5800,"",IF($AE497*$AA484&gt;$AA501,"",IF(($AA$484*BJ$482*$AE$497)&lt;=$AA$501,((MOD($AA$501,($AA$484*BJ$482*$AE$497)))),"")))</f>
        <v/>
      </c>
      <c r="BK484" s="209" t="str">
        <f ca="1">IF($AE497*$AA484*'Customer Base'!$D$26*0.8&gt;5800,"",IF($AE497*$AA484&gt;$AA501,"",IF(($AA$484*BK$482*$AE$497)&lt;=$AA$501,((MOD($AA$501,($AA$484*BK$482*$AE$497)))),"")))</f>
        <v/>
      </c>
      <c r="BL484" s="209" t="str">
        <f ca="1">IF($AE497*$AA484*'Customer Base'!$D$26*0.8&gt;5800,"",IF($AE497*$AA484&gt;$AA501,"",IF(($AA$484*BL$482*$AE$497)&lt;=$AA$501,((MOD($AA$501,($AA$484*BL$482*$AE$497)))),"")))</f>
        <v/>
      </c>
      <c r="BM484" s="209" t="str">
        <f ca="1">IF($AE497*$AA484*'Customer Base'!$D$26*0.8&gt;5800,"",IF($AE497*$AA484&gt;$AA501,"",IF(($AA$484*BM$482*$AE$497)&lt;=$AA$501,((MOD($AA$501,($AA$484*BM$482*$AE$497)))),"")))</f>
        <v/>
      </c>
      <c r="BN484" s="209" t="str">
        <f ca="1">IF($AE497*$AA484*'Customer Base'!$D$26*0.8&gt;5800,"",IF($AE497*$AA484&gt;$AA501,"",IF(($AA$484*BN$482*$AE$497)&lt;=$AA$501,((MOD($AA$501,($AA$484*BN$482*$AE$497)))),"")))</f>
        <v/>
      </c>
      <c r="BO484" s="209" t="str">
        <f ca="1">IF($AE497*$AA484*'Customer Base'!$D$26*0.8&gt;5800,"",IF($AE497*$AA484&gt;$AA501,"",IF(($AA$484*BO$482*$AE$497)&lt;=$AA$501,((MOD($AA$501,($AA$484*BO$482*$AE$497)))),"")))</f>
        <v/>
      </c>
      <c r="BP484" s="209" t="str">
        <f ca="1">IF($AE497*$AA484*'Customer Base'!$D$26*0.8&gt;5800,"",IF($AE497*$AA484&gt;$AA501,"",IF(($AA$484*BP$482*$AE$497)&lt;=$AA$501,((MOD($AA$501,($AA$484*BP$482*$AE$497)))),"")))</f>
        <v/>
      </c>
      <c r="BQ484" s="209" t="str">
        <f ca="1">IF($AE497*$AA484*'Customer Base'!$D$26*0.8&gt;5800,"",IF($AE497*$AA484&gt;$AA501,"",IF(($AA$484*BQ$482*$AE$497)&lt;=$AA$501,((MOD($AA$501,($AA$484*BQ$482*$AE$497)))),"")))</f>
        <v/>
      </c>
      <c r="BR484" s="209" t="str">
        <f ca="1">IF($AE497*$AA484*'Customer Base'!$D$26*0.8&gt;5800,"",IF($AE497*$AA484&gt;$AA501,"",IF(($AA$484*BR$482*$AE$497)&lt;=$AA$501,((MOD($AA$501,($AA$484*BR$482*$AE$497)))),"")))</f>
        <v/>
      </c>
      <c r="BS484" s="209" t="str">
        <f ca="1">IF($AE497*$AA484*'Customer Base'!$D$26*0.8&gt;5800,"",IF($AE497*$AA484&gt;$AA501,"",IF(($AA$484*BS$482*$AE$497)&lt;=$AA$501,((MOD($AA$501,($AA$484*BS$482*$AE$497)))),"")))</f>
        <v/>
      </c>
      <c r="BT484" s="209" t="str">
        <f ca="1">IF($AE497*$AA484*'Customer Base'!$D$26*0.8&gt;5800,"",IF($AE497*$AA484&gt;$AA501,"",IF(($AA$484*BT$482*$AE$497)&lt;=$AA$501,((MOD($AA$501,($AA$484*BT$482*$AE$497)))),"")))</f>
        <v/>
      </c>
      <c r="BU484" s="209" t="str">
        <f ca="1">IF($AE497*$AA484*'Customer Base'!$D$26*0.8&gt;5800,"",IF($AE497*$AA484&gt;$AA501,"",IF(($AA$484*BU$482*$AE$497)&lt;=$AA$501,((MOD($AA$501,($AA$484*BU$482*$AE$497)))),"")))</f>
        <v/>
      </c>
      <c r="BV484" s="209" t="str">
        <f ca="1">IF($AE497*$AA484*'Customer Base'!$D$26*0.8&gt;5800,"",IF($AE497*$AA484&gt;$AA501,"",IF(($AA$484*BV$482*$AE$497)&lt;=$AA$501,((MOD($AA$501,($AA$484*BV$482*$AE$497)))),"")))</f>
        <v/>
      </c>
      <c r="BW484" s="209" t="str">
        <f ca="1">IF($AE497*$AA484*'Customer Base'!$D$26*0.8&gt;5800,"",IF($AE497*$AA484&gt;$AA501,"",IF(($AA$484*BW$482*$AE$497)&lt;=$AA$501,((MOD($AA$501,($AA$484*BW$482*$AE$497)))),"")))</f>
        <v/>
      </c>
      <c r="BX484" s="209" t="str">
        <f ca="1">IF($AE497*$AA484*'Customer Base'!$D$26*0.8&gt;5800,"",IF($AE497*$AA484&gt;$AA501,"",IF(($AA$484*BX$482*$AE$497)&lt;=$AA$501,((MOD($AA$501,($AA$484*BX$482*$AE$497)))),"")))</f>
        <v/>
      </c>
      <c r="BY484" s="209" t="str">
        <f ca="1">IF($AE497*$AA484*'Customer Base'!$D$26*0.8&gt;5800,"",IF($AE497*$AA484&gt;$AA501,"",IF(($AA$484*BY$482*$AE$497)&lt;=$AA$501,((MOD($AA$501,($AA$484*BY$482*$AE$497)))),"")))</f>
        <v/>
      </c>
      <c r="BZ484" s="209" t="str">
        <f ca="1">IF($AE497*$AA484*'Customer Base'!$D$26*0.8&gt;5800,"",IF($AE497*$AA484&gt;$AA501,"",IF(($AA$484*BZ$482*$AE$497)&lt;=$AA$501,((MOD($AA$501,($AA$484*BZ$482*$AE$497)))),"")))</f>
        <v/>
      </c>
      <c r="CA484" s="209" t="str">
        <f ca="1">IF($AE497*$AA484*'Customer Base'!$D$26*0.8&gt;5800,"",IF($AE497*$AA484&gt;$AA501,"",IF(($AA$484*CA$482*$AE$497)&lt;=$AA$501,((MOD($AA$501,($AA$484*CA$482*$AE$497)))),"")))</f>
        <v/>
      </c>
      <c r="CB484" s="209" t="str">
        <f ca="1">IF($AE497*$AA484*'Customer Base'!$D$26*0.8&gt;5800,"",IF($AE497*$AA484&gt;$AA501,"",IF(($AA$484*CB$482*$AE$497)&lt;=$AA$501,((MOD($AA$501,($AA$484*CB$482*$AE$497)))),"")))</f>
        <v/>
      </c>
      <c r="CC484" s="209" t="str">
        <f ca="1">IF($AE497*$AA484*'Customer Base'!$D$26*0.8&gt;5800,"",IF($AE497*$AA484&gt;$AA501,"",IF(($AA$484*CC$482*$AE$497)&lt;=$AA$501,((MOD($AA$501,($AA$484*CC$482*$AE$497)))),"")))</f>
        <v/>
      </c>
      <c r="CD484" s="209" t="str">
        <f ca="1">IF($AE497*$AA484*'Customer Base'!$D$26*0.8&gt;5800,"",IF($AE497*$AA484&gt;$AA501,"",IF(($AA$484*CD$482*$AE$497)&lt;=$AA$501,((MOD($AA$501,($AA$484*CD$482*$AE$497)))),"")))</f>
        <v/>
      </c>
      <c r="CE484" s="209" t="str">
        <f ca="1">IF($AE497*$AA484*'Customer Base'!$D$26*0.8&gt;5800,"",IF($AE497*$AA484&gt;$AA501,"",IF(($AA$484*CE$482*$AE$497)&lt;=$AA$501,((MOD($AA$501,($AA$484*CE$482*$AE$497)))),"")))</f>
        <v/>
      </c>
      <c r="CF484" s="209" t="str">
        <f ca="1">IF($AE497*$AA484*'Customer Base'!$D$26*0.8&gt;5800,"",IF($AE497*$AA484&gt;$AA501,"",IF(($AA$484*CF$482*$AE$497)&lt;=$AA$501,((MOD($AA$501,($AA$484*CF$482*$AE$497)))),"")))</f>
        <v/>
      </c>
      <c r="CG484" s="209" t="str">
        <f ca="1">IF($AE497*$AA484*'Customer Base'!$D$26*0.8&gt;5800,"",IF($AE497*$AA484&gt;$AA501,"",IF(($AA$484*CG$482*$AE$497)&lt;=$AA$501,((MOD($AA$501,($AA$484*CG$482*$AE$497)))),"")))</f>
        <v/>
      </c>
      <c r="CH484" s="209" t="str">
        <f ca="1">IF($AE497*$AA484*'Customer Base'!$D$26*0.8&gt;5800,"",IF($AE497*$AA484&gt;$AA501,"",IF(($AA$484*CH$482*$AE$497)&lt;=$AA$501,((MOD($AA$501,($AA$484*CH$482*$AE$497)))),"")))</f>
        <v/>
      </c>
      <c r="CI484" s="209" t="str">
        <f ca="1">IF($AE497*$AA484*'Customer Base'!$D$26*0.8&gt;5800,"",IF($AE497*$AA484&gt;$AA501,"",IF(($AA$484*CI$482*$AE$497)&lt;=$AA$501,((MOD($AA$501,($AA$484*CI$482*$AE$497)))),"")))</f>
        <v/>
      </c>
      <c r="CJ484" s="209" t="str">
        <f ca="1">IF($AE497*$AA484*'Customer Base'!$D$26*0.8&gt;5800,"",IF($AE497*$AA484&gt;$AA501,"",IF(($AA$484*CJ$482*$AE$497)&lt;=$AA$501,((MOD($AA$501,($AA$484*CJ$482*$AE$497)))),"")))</f>
        <v/>
      </c>
      <c r="CK484" s="209" t="str">
        <f ca="1">IF($AE497*$AA484*'Customer Base'!$D$26*0.8&gt;5800,"",IF($AE497*$AA484&gt;$AA501,"",IF(($AA$484*CK$482*$AE$497)&lt;=$AA$501,((MOD($AA$501,($AA$484*CK$482*$AE$497)))),"")))</f>
        <v/>
      </c>
      <c r="CL484" s="209" t="str">
        <f ca="1">IF($AE497*$AA484*'Customer Base'!$D$26*0.8&gt;5800,"",IF($AE497*$AA484&gt;$AA501,"",IF(($AA$484*CL$482*$AE$497)&lt;=$AA$501,((MOD($AA$501,($AA$484*CL$482*$AE$497)))),"")))</f>
        <v/>
      </c>
      <c r="CM484" s="209" t="str">
        <f ca="1">IF($AE497*$AA484*'Customer Base'!$D$26*0.8&gt;5800,"",IF($AE497*$AA484&gt;$AA501,"",IF(($AA$484*CM$482*$AE$497)&lt;=$AA$501,((MOD($AA$501,($AA$484*CM$482*$AE$497)))),"")))</f>
        <v/>
      </c>
      <c r="CN484" s="209" t="str">
        <f ca="1">IF($AE497*$AA484*'Customer Base'!$D$26*0.8&gt;5800,"",IF($AE497*$AA484&gt;$AA501,"",IF(($AA$484*CN$482*$AE$497)&lt;=$AA$501,((MOD($AA$501,($AA$484*CN$482*$AE$497)))),"")))</f>
        <v/>
      </c>
      <c r="CO484" s="209" t="str">
        <f ca="1">IF($AE497*$AA484*'Customer Base'!$D$26*0.8&gt;5800,"",IF($AE497*$AA484&gt;$AA501,"",IF(($AA$484*CO$482*$AE$497)&lt;=$AA$501,((MOD($AA$501,($AA$484*CO$482*$AE$497)))),"")))</f>
        <v/>
      </c>
      <c r="CP484" s="209" t="str">
        <f ca="1">IF($AE497*$AA484*'Customer Base'!$D$26*0.8&gt;5800,"",IF($AE497*$AA484&gt;$AA501,"",IF(($AA$484*CP$482*$AE$497)&lt;=$AA$501,((MOD($AA$501,($AA$484*CP$482*$AE$497)))),"")))</f>
        <v/>
      </c>
      <c r="CQ484" s="209" t="str">
        <f ca="1">IF($AE497*$AA484*'Customer Base'!$D$26*0.8&gt;5800,"",IF($AE497*$AA484&gt;$AA501,"",IF(($AA$484*CQ$482*$AE$497)&lt;=$AA$501,((MOD($AA$501,($AA$484*CQ$482*$AE$497)))),"")))</f>
        <v/>
      </c>
      <c r="CR484" s="209" t="str">
        <f ca="1">IF($AE497*$AA484*'Customer Base'!$D$26*0.8&gt;5800,"",IF($AE497*$AA484&gt;$AA501,"",IF(($AA$484*CR$482*$AE$497)&lt;=$AA$501,((MOD($AA$501,($AA$484*CR$482*$AE$497)))),"")))</f>
        <v/>
      </c>
      <c r="CS484" s="209" t="str">
        <f ca="1">IF($AE497*$AA484*'Customer Base'!$D$26*0.8&gt;5800,"",IF($AE497*$AA484&gt;$AA501,"",IF(($AA$484*CS$482*$AE$497)&lt;=$AA$501,((MOD($AA$501,($AA$484*CS$482*$AE$497)))),"")))</f>
        <v/>
      </c>
      <c r="CT484" s="209" t="str">
        <f ca="1">IF($AE497*$AA484*'Customer Base'!$D$26*0.8&gt;5800,"",IF($AE497*$AA484&gt;$AA501,"",IF(($AA$484*CT$482*$AE$497)&lt;=$AA$501,((MOD($AA$501,($AA$484*CT$482*$AE$497)))),"")))</f>
        <v/>
      </c>
      <c r="CU484" s="209" t="str">
        <f ca="1">IF($AE497*$AA484*'Customer Base'!$D$26*0.8&gt;5800,"",IF($AE497*$AA484&gt;$AA501,"",IF(($AA$484*CU$482*$AE$497)&lt;=$AA$501,((MOD($AA$501,($AA$484*CU$482*$AE$497)))),"")))</f>
        <v/>
      </c>
      <c r="CV484" s="209" t="str">
        <f ca="1">IF($AE497*$AA484*'Customer Base'!$D$26*0.8&gt;5800,"",IF($AE497*$AA484&gt;$AA501,"",IF(($AA$484*CV$482*$AE$497)&lt;=$AA$501,((MOD($AA$501,($AA$484*CV$482*$AE$497)))),"")))</f>
        <v/>
      </c>
      <c r="CW484" s="209" t="str">
        <f ca="1">IF($AE497*$AA484*'Customer Base'!$D$26*0.8&gt;5800,"",IF($AE497*$AA484&gt;$AA501,"",IF(($AA$484*CW$482*$AE$497)&lt;=$AA$501,((MOD($AA$501,($AA$484*CW$482*$AE$497)))),"")))</f>
        <v/>
      </c>
      <c r="CX484" s="209" t="str">
        <f ca="1">IF($AE497*$AA484*'Customer Base'!$D$26*0.8&gt;5800,"",IF($AE497*$AA484&gt;$AA501,"",IF(($AA$484*CX$482*$AE$497)&lt;=$AA$501,((MOD($AA$501,($AA$484*CX$482*$AE$497)))),"")))</f>
        <v/>
      </c>
      <c r="CY484" s="209" t="str">
        <f ca="1">IF($AE497*$AA484*'Customer Base'!$D$26*0.8&gt;5800,"",IF($AE497*$AA484&gt;$AA501,"",IF(($AA$484*CY$482*$AE$497)&lt;=$AA$501,((MOD($AA$501,($AA$484*CY$482*$AE$497)))),"")))</f>
        <v/>
      </c>
      <c r="CZ484" s="209" t="str">
        <f ca="1">IF($AE497*$AA484*'Customer Base'!$D$26*0.8&gt;5800,"",IF($AE497*$AA484&gt;$AA501,"",IF(($AA$484*CZ$482*$AE$497)&lt;=$AA$501,((MOD($AA$501,($AA$484*CZ$482*$AE$497)))),"")))</f>
        <v/>
      </c>
      <c r="DA484" s="209" t="str">
        <f ca="1">IF($AE497*$AA484*'Customer Base'!$D$26*0.8&gt;5800,"",IF($AE497*$AA484&gt;$AA501,"",IF(($AA$484*DA$482*$AE$497)&lt;=$AA$501,((MOD($AA$501,($AA$484*DA$482*$AE$497)))),"")))</f>
        <v/>
      </c>
      <c r="DB484" s="209" t="str">
        <f ca="1">IF($AE497*$AA484*'Customer Base'!$D$26*0.8&gt;5800,"",IF($AE497*$AA484&gt;$AA501,"",IF(($AA$484*DB$482*$AE$497)&lt;=$AA$501,((MOD($AA$501,($AA$484*DB$482*$AE$497)))),"")))</f>
        <v/>
      </c>
      <c r="DC484" s="209" t="str">
        <f ca="1">IF($AE497*$AA484*'Customer Base'!$D$26*0.8&gt;5800,"",IF($AE497*$AA484&gt;$AA501,"",IF(($AA$484*DC$482*$AE$497)&lt;=$AA$501,((MOD($AA$501,($AA$484*DC$482*$AE$497)))),"")))</f>
        <v/>
      </c>
      <c r="DD484" s="209" t="str">
        <f ca="1">IF($AE497*$AA484*'Customer Base'!$D$26*0.8&gt;5800,"",IF($AE497*$AA484&gt;$AA501,"",IF(($AA$484*DD$482*$AE$497)&lt;=$AA$501,((MOD($AA$501,($AA$484*DD$482*$AE$497)))),"")))</f>
        <v/>
      </c>
      <c r="DE484" s="209" t="str">
        <f ca="1">IF($AE497*$AA484*'Customer Base'!$D$26*0.8&gt;5800,"",IF($AE497*$AA484&gt;$AA501,"",IF(($AA$484*DE$482*$AE$497)&lt;=$AA$501,((MOD($AA$501,($AA$484*DE$482*$AE$497)))),"")))</f>
        <v/>
      </c>
      <c r="DF484" s="209" t="str">
        <f ca="1">IF($AE497*$AA484*'Customer Base'!$D$26*0.8&gt;5800,"",IF($AE497*$AA484&gt;$AA501,"",IF(($AA$484*DF$482*$AE$497)&lt;=$AA$501,((MOD($AA$501,($AA$484*DF$482*$AE$497)))),"")))</f>
        <v/>
      </c>
      <c r="DG484" s="209" t="str">
        <f ca="1">IF($AE497*$AA484*'Customer Base'!$D$26*0.8&gt;5800,"",IF($AE497*$AA484&gt;$AA501,"",IF(($AA$484*DG$482*$AE$497)&lt;=$AA$501,((MOD($AA$501,($AA$484*DG$482*$AE$497)))),"")))</f>
        <v/>
      </c>
      <c r="DH484" s="209" t="str">
        <f ca="1">IF($AE497*$AA484*'Customer Base'!$D$26*0.8&gt;5800,"",IF($AE497*$AA484&gt;$AA501,"",IF(($AA$484*DH$482*$AE$497)&lt;=$AA$501,((MOD($AA$501,($AA$484*DH$482*$AE$497)))),"")))</f>
        <v/>
      </c>
      <c r="DI484" s="209" t="str">
        <f ca="1">IF($AE497*$AA484*'Customer Base'!$D$26*0.8&gt;5800,"",IF($AE497*$AA484&gt;$AA501,"",IF(($AA$484*DI$482*$AE$497)&lt;=$AA$501,((MOD($AA$501,($AA$484*DI$482*$AE$497)))),"")))</f>
        <v/>
      </c>
      <c r="DJ484" s="209" t="str">
        <f ca="1">IF($AE497*$AA484*'Customer Base'!$D$26*0.8&gt;5800,"",IF($AE497*$AA484&gt;$AA501,"",IF(($AA$484*DJ$482*$AE$497)&lt;=$AA$501,((MOD($AA$501,($AA$484*DJ$482*$AE$497)))),"")))</f>
        <v/>
      </c>
      <c r="DK484" s="209" t="str">
        <f ca="1">IF($AE497*$AA484*'Customer Base'!$D$26*0.8&gt;5800,"",IF($AE497*$AA484&gt;$AA501,"",IF(($AA$484*DK$482*$AE$497)&lt;=$AA$501,((MOD($AA$501,($AA$484*DK$482*$AE$497)))),"")))</f>
        <v/>
      </c>
      <c r="DL484" s="209" t="str">
        <f ca="1">IF($AE497*$AA484*'Customer Base'!$D$26*0.8&gt;5800,"",IF($AE497*$AA484&gt;$AA501,"",IF(($AA$484*DL$482*$AE$497)&lt;=$AA$501,((MOD($AA$501,($AA$484*DL$482*$AE$497)))),"")))</f>
        <v/>
      </c>
      <c r="DM484" s="209" t="str">
        <f ca="1">IF($AE497*$AA484*'Customer Base'!$D$26*0.8&gt;5800,"",IF($AE497*$AA484&gt;$AA501,"",IF(($AA$484*DM$482*$AE$497)&lt;=$AA$501,((MOD($AA$501,($AA$484*DM$482*$AE$497)))),"")))</f>
        <v/>
      </c>
      <c r="DN484" s="209" t="str">
        <f ca="1">IF($AE497*$AA484*'Customer Base'!$D$26*0.8&gt;5800,"",IF($AE497*$AA484&gt;$AA501,"",IF(($AA$484*DN$482*$AE$497)&lt;=$AA$501,((MOD($AA$501,($AA$484*DN$482*$AE$497)))),"")))</f>
        <v/>
      </c>
      <c r="DO484" s="209" t="str">
        <f ca="1">IF($AE497*$AA484*'Customer Base'!$D$26*0.8&gt;5800,"",IF($AE497*$AA484&gt;$AA501,"",IF(($AA$484*DO$482*$AE$497)&lt;=$AA$501,((MOD($AA$501,($AA$484*DO$482*$AE$497)))),"")))</f>
        <v/>
      </c>
      <c r="DP484" s="209" t="str">
        <f ca="1">IF($AE497*$AA484*'Customer Base'!$D$26*0.8&gt;5800,"",IF($AE497*$AA484&gt;$AA501,"",IF(($AA$484*DP$482*$AE$497)&lt;=$AA$501,((MOD($AA$501,($AA$484*DP$482*$AE$497)))),"")))</f>
        <v/>
      </c>
      <c r="DQ484" s="209" t="str">
        <f ca="1">IF($AE497*$AA484*'Customer Base'!$D$26*0.8&gt;5800,"",IF($AE497*$AA484&gt;$AA501,"",IF(($AA$484*DQ$482*$AE$497)&lt;=$AA$501,((MOD($AA$501,($AA$484*DQ$482*$AE$497)))),"")))</f>
        <v/>
      </c>
      <c r="DR484" s="209" t="str">
        <f ca="1">IF($AE497*$AA484*'Customer Base'!$D$26*0.8&gt;5800,"",IF($AE497*$AA484&gt;$AA501,"",IF(($AA$484*DR$482*$AE$497)&lt;=$AA$501,((MOD($AA$501,($AA$484*DR$482*$AE$497)))),"")))</f>
        <v/>
      </c>
      <c r="DS484" s="209" t="str">
        <f ca="1">IF($AE497*$AA484*'Customer Base'!$D$26*0.8&gt;5800,"",IF($AE497*$AA484&gt;$AA501,"",IF(($AA$484*DS$482*$AE$497)&lt;=$AA$501,((MOD($AA$501,($AA$484*DS$482*$AE$497)))),"")))</f>
        <v/>
      </c>
      <c r="DT484" s="209" t="str">
        <f ca="1">IF($AE497*$AA484*'Customer Base'!$D$26*0.8&gt;5800,"",IF($AE497*$AA484&gt;$AA501,"",IF(($AA$484*DT$482*$AE$497)&lt;=$AA$501,((MOD($AA$501,($AA$484*DT$482*$AE$497)))),"")))</f>
        <v/>
      </c>
      <c r="DU484" s="209" t="str">
        <f ca="1">IF($AE497*$AA484*'Customer Base'!$D$26*0.8&gt;5800,"",IF($AE497*$AA484&gt;$AA501,"",IF(($AA$484*DU$482*$AE$497)&lt;=$AA$501,((MOD($AA$501,($AA$484*DU$482*$AE$497)))),"")))</f>
        <v/>
      </c>
      <c r="DV484" s="209" t="str">
        <f ca="1">IF($AE497*$AA484*'Customer Base'!$D$26*0.8&gt;5800,"",IF($AE497*$AA484&gt;$AA501,"",IF(($AA$484*DV$482*$AE$497)&lt;=$AA$501,((MOD($AA$501,($AA$484*DV$482*$AE$497)))),"")))</f>
        <v/>
      </c>
      <c r="DW484" s="209" t="str">
        <f ca="1">IF($AE497*$AA484*'Customer Base'!$D$26*0.8&gt;5800,"",IF($AE497*$AA484&gt;$AA501,"",IF(($AA$484*DW$482*$AE$497)&lt;=$AA$501,((MOD($AA$501,($AA$484*DW$482*$AE$497)))),"")))</f>
        <v/>
      </c>
      <c r="DX484" s="209" t="str">
        <f ca="1">IF($AE497*$AA484*'Customer Base'!$D$26*0.8&gt;5800,"",IF($AE497*$AA484&gt;$AA501,"",IF(($AA$484*DX$482*$AE$497)&lt;=$AA$501,((MOD($AA$501,($AA$484*DX$482*$AE$497)))),"")))</f>
        <v/>
      </c>
      <c r="DY484" s="209" t="str">
        <f ca="1">IF($AE497*$AA484*'Customer Base'!$D$26*0.8&gt;5800,"",IF($AE497*$AA484&gt;$AA501,"",IF(($AA$484*DY$482*$AE$497)&lt;=$AA$501,((MOD($AA$501,($AA$484*DY$482*$AE$497)))),"")))</f>
        <v/>
      </c>
      <c r="DZ484" s="209" t="str">
        <f ca="1">IF($AE497*$AA484*'Customer Base'!$D$26*0.8&gt;5800,"",IF($AE497*$AA484&gt;$AA501,"",IF(($AA$484*DZ$482*$AE$497)&lt;=$AA$501,((MOD($AA$501,($AA$484*DZ$482*$AE$497)))),"")))</f>
        <v/>
      </c>
      <c r="EA484" s="209" t="str">
        <f ca="1">IF($AE497*$AA484*'Customer Base'!$D$26*0.8&gt;5800,"",IF($AE497*$AA484&gt;$AA501,"",IF(($AA$484*EA$482*$AE$497)&lt;=$AA$501,((MOD($AA$501,($AA$484*EA$482*$AE$497)))),"")))</f>
        <v/>
      </c>
      <c r="EC484" s="209" cm="1">
        <f t="array" aca="1" ref="EC484" ca="1">IFERROR(LOOKUP(2,1/(AF484:EA484&lt;&gt;""),AF$482:EA$482),"")</f>
        <v>1</v>
      </c>
      <c r="ED484" s="311" cm="1">
        <f t="array" aca="1" ref="ED484" ca="1">IF(EC$474=EC484,LOOKUP(2,1/(AF484:EA484&lt;&gt;""),AF484:EA484),"")</f>
        <v>3</v>
      </c>
      <c r="EE484" s="311" t="str">
        <f ca="1">IF(ED484=ED$474,1,"")</f>
        <v/>
      </c>
      <c r="EF484" s="311"/>
      <c r="EG484" s="311"/>
      <c r="EH484" s="311"/>
      <c r="EI484" s="209">
        <v>3</v>
      </c>
      <c r="EJ484" s="311" t="s">
        <v>2686</v>
      </c>
      <c r="EK484" s="209">
        <f>IFERROR(MOD(EL$495,EI484),"")</f>
        <v>0</v>
      </c>
      <c r="EL484" s="209" t="str">
        <f>IF(OR(EL489=1,EL489=""),"",IF(AND(EK485&lt;&gt;0,EK484=0),IF(EK484=0,EI484,""),IF(AND(MAX(EK483:EK485)=EI484,SUMPRODUCT(EL485,EM485)&lt;&gt;EL489),EI484,"")))</f>
        <v/>
      </c>
      <c r="EM484" s="209" t="str">
        <f>IFERROR(IF(COUNT(EL484:EL485)&gt;1,1,(ROUNDDOWN(EL$495/EL484,0))),"")</f>
        <v/>
      </c>
      <c r="EN484" s="209" t="str">
        <f ca="1">IF($AE497*$AA484*'Customer Base'!$D$26*0.8&gt;5800,"",IF($AE497*$AA484&gt;$AA501,"",IF(($AA$484*EN$482*$AE$497)&lt;=$ED$474,((MOD($ED$474,($AA$484*EN$482*$AE$497)))),"")))</f>
        <v/>
      </c>
      <c r="EO484" s="209" t="str">
        <f ca="1">IF($AE497*$AA484*'Customer Base'!$D$26*0.8&gt;5800,"",IF($AE497*$AA484&gt;$AA501,"",IF(($AA$484*EO$482*$AE$497)&lt;=$ED$474,((MOD($ED$474,($AA$484*EO$482*$AE$497)))),"")))</f>
        <v/>
      </c>
      <c r="EP484" s="209" t="str">
        <f ca="1">IF($AE497*$AA484*'Customer Base'!$D$26*0.8&gt;5800,"",IF($AE497*$AA484&gt;$AA501,"",IF(($AA$484*EP$482*$AE$497)&lt;=$ED$474,((MOD($ED$474,($AA$484*EP$482*$AE$497)))),"")))</f>
        <v/>
      </c>
      <c r="EQ484" s="209" t="str">
        <f ca="1">IF($AE497*$AA484*'Customer Base'!$D$26*0.8&gt;5800,"",IF($AE497*$AA484&gt;$AA501,"",IF(($AA$484*EQ$482*$AE$497)&lt;=$ED$474,((MOD($ED$474,($AA$484*EQ$482*$AE$497)))),"")))</f>
        <v/>
      </c>
      <c r="ER484" s="209" t="str">
        <f ca="1">IF($AE497*$AA484*'Customer Base'!$D$26*0.8&gt;5800,"",IF($AE497*$AA484&gt;$AA501,"",IF(($AA$484*ER$482*$AE$497)&lt;=$ED$474,((MOD($ED$474,($AA$484*ER$482*$AE$497)))),"")))</f>
        <v/>
      </c>
      <c r="ES484" s="209" t="str">
        <f ca="1">IF($AE497*$AA484*'Customer Base'!$D$26*0.8&gt;5800,"",IF($AE497*$AA484&gt;$AA501,"",IF(($AA$484*ES$482*$AE$497)&lt;=$ED$474,((MOD($ED$474,($AA$484*ES$482*$AE$497)))),"")))</f>
        <v/>
      </c>
      <c r="ET484" s="209" t="str">
        <f ca="1">IF($AE497*$AA484*'Customer Base'!$D$26*0.8&gt;5800,"",IF($AE497*$AA484&gt;$AA501,"",IF(($AA$484*ET$482*$AE$497)&lt;=$ED$474,((MOD($ED$474,($AA$484*ET$482*$AE$497)))),"")))</f>
        <v/>
      </c>
      <c r="EU484" s="209" t="str">
        <f ca="1">IF($AE497*$AA484*'Customer Base'!$D$26*0.8&gt;5800,"",IF($AE497*$AA484&gt;$AA501,"",IF(($AA$484*EU$482*$AE$497)&lt;=$ED$474,((MOD($ED$474,($AA$484*EU$482*$AE$497)))),"")))</f>
        <v/>
      </c>
      <c r="EV484" s="209" t="str">
        <f ca="1">IF($AE497*$AA484*'Customer Base'!$D$26*0.8&gt;5800,"",IF($AE497*$AA484&gt;$AA501,"",IF(($AA$484*EV$482*$AE$497)&lt;=$ED$474,((MOD($ED$474,($AA$484*EV$482*$AE$497)))),"")))</f>
        <v/>
      </c>
      <c r="EW484" s="209" t="str">
        <f ca="1">IF($AE497*$AA484*'Customer Base'!$D$26*0.8&gt;5800,"",IF($AE497*$AA484&gt;$AA501,"",IF(($AA$484*EW$482*$AE$497)&lt;=$ED$474,((MOD($ED$474,($AA$484*EW$482*$AE$497)))),"")))</f>
        <v/>
      </c>
      <c r="EX484" s="209" t="str">
        <f ca="1">IF($AE497*$AA484*'Customer Base'!$D$26*0.8&gt;5800,"",IF($AE497*$AA484&gt;$AA501,"",IF(($AA$484*EX$482*$AE$497)&lt;=$ED$474,((MOD($ED$474,($AA$484*EX$482*$AE$497)))),"")))</f>
        <v/>
      </c>
      <c r="EY484" s="209" t="str">
        <f ca="1">IF($AE497*$AA484*'Customer Base'!$D$26*0.8&gt;5800,"",IF($AE497*$AA484&gt;$AA501,"",IF(($AA$484*EY$482*$AE$497)&lt;=$ED$474,((MOD($ED$474,($AA$484*EY$482*$AE$497)))),"")))</f>
        <v/>
      </c>
      <c r="EZ484" s="209" t="str">
        <f ca="1">IF($AE497*$AA484*'Customer Base'!$D$26*0.8&gt;5800,"",IF($AE497*$AA484&gt;$AA501,"",IF(($AA$484*EZ$482*$AE$497)&lt;=$ED$474,((MOD($ED$474,($AA$484*EZ$482*$AE$497)))),"")))</f>
        <v/>
      </c>
      <c r="FA484" s="209" t="str">
        <f ca="1">IF($AE497*$AA484*'Customer Base'!$D$26*0.8&gt;5800,"",IF($AE497*$AA484&gt;$AA501,"",IF(($AA$484*FA$482*$AE$497)&lt;=$ED$474,((MOD($ED$474,($AA$484*FA$482*$AE$497)))),"")))</f>
        <v/>
      </c>
      <c r="FB484" s="209" t="str">
        <f ca="1">IF($AE497*$AA484*'Customer Base'!$D$26*0.8&gt;5800,"",IF($AE497*$AA484&gt;$AA501,"",IF(($AA$484*FB$482*$AE$497)&lt;=$ED$474,((MOD($ED$474,($AA$484*FB$482*$AE$497)))),"")))</f>
        <v/>
      </c>
      <c r="FC484" s="209" t="str">
        <f ca="1">IF($AE497*$AA484*'Customer Base'!$D$26*0.8&gt;5800,"",IF($AE497*$AA484&gt;$AA501,"",IF(($AA$484*FC$482*$AE$497)&lt;=$ED$474,((MOD($ED$474,($AA$484*FC$482*$AE$497)))),"")))</f>
        <v/>
      </c>
      <c r="FD484" s="209" t="str">
        <f ca="1">IF($AE497*$AA484*'Customer Base'!$D$26*0.8&gt;5800,"",IF($AE497*$AA484&gt;$AA501,"",IF(($AA$484*FD$482*$AE$497)&lt;=$ED$474,((MOD($ED$474,($AA$484*FD$482*$AE$497)))),"")))</f>
        <v/>
      </c>
      <c r="FE484" s="209" t="str">
        <f ca="1">IF($AE497*$AA484*'Customer Base'!$D$26*0.8&gt;5800,"",IF($AE497*$AA484&gt;$AA501,"",IF(($AA$484*FE$482*$AE$497)&lt;=$ED$474,((MOD($ED$474,($AA$484*FE$482*$AE$497)))),"")))</f>
        <v/>
      </c>
      <c r="FF484" s="209" t="str">
        <f ca="1">IF($AE497*$AA484*'Customer Base'!$D$26*0.8&gt;5800,"",IF($AE497*$AA484&gt;$AA501,"",IF(($AA$484*FF$482*$AE$497)&lt;=$ED$474,((MOD($ED$474,($AA$484*FF$482*$AE$497)))),"")))</f>
        <v/>
      </c>
      <c r="FG484" s="209" t="str">
        <f ca="1">IF($AE497*$AA484*'Customer Base'!$D$26*0.8&gt;5800,"",IF($AE497*$AA484&gt;$AA501,"",IF(($AA$484*FG$482*$AE$497)&lt;=$ED$474,((MOD($ED$474,($AA$484*FG$482*$AE$497)))),"")))</f>
        <v/>
      </c>
      <c r="FH484" s="209" t="str">
        <f ca="1">IF($AE497*$AA484*'Customer Base'!$D$26*0.8&gt;5800,"",IF($AE497*$AA484&gt;$AA501,"",IF(($AA$484*FH$482*$AE$497)&lt;=$ED$474,((MOD($ED$474,($AA$484*FH$482*$AE$497)))),"")))</f>
        <v/>
      </c>
      <c r="FI484" s="209" t="str">
        <f ca="1">IF($AE497*$AA484*'Customer Base'!$D$26*0.8&gt;5800,"",IF($AE497*$AA484&gt;$AA501,"",IF(($AA$484*FI$482*$AE$497)&lt;=$ED$474,((MOD($ED$474,($AA$484*FI$482*$AE$497)))),"")))</f>
        <v/>
      </c>
      <c r="FJ484" s="209" t="str">
        <f ca="1">IF($AE497*$AA484*'Customer Base'!$D$26*0.8&gt;5800,"",IF($AE497*$AA484&gt;$AA501,"",IF(($AA$484*FJ$482*$AE$497)&lt;=$ED$474,((MOD($ED$474,($AA$484*FJ$482*$AE$497)))),"")))</f>
        <v/>
      </c>
      <c r="FK484" s="209" t="str">
        <f ca="1">IF($AE497*$AA484*'Customer Base'!$D$26*0.8&gt;5800,"",IF($AE497*$AA484&gt;$AA501,"",IF(($AA$484*FK$482*$AE$497)&lt;=$ED$474,((MOD($ED$474,($AA$484*FK$482*$AE$497)))),"")))</f>
        <v/>
      </c>
      <c r="FL484" s="209" t="str">
        <f ca="1">IF($AE497*$AA484*'Customer Base'!$D$26*0.8&gt;5800,"",IF($AE497*$AA484&gt;$AA501,"",IF(($AA$484*FL$482*$AE$497)&lt;=$ED$474,((MOD($ED$474,($AA$484*FL$482*$AE$497)))),"")))</f>
        <v/>
      </c>
      <c r="FM484" s="209" t="str">
        <f ca="1">IF($AE497*$AA484*'Customer Base'!$D$26*0.8&gt;5800,"",IF($AE497*$AA484&gt;$AA501,"",IF(($AA$484*FM$482*$AE$497)&lt;=$ED$474,((MOD($ED$474,($AA$484*FM$482*$AE$497)))),"")))</f>
        <v/>
      </c>
      <c r="FN484" s="209" t="str">
        <f ca="1">IF($AE497*$AA484*'Customer Base'!$D$26*0.8&gt;5800,"",IF($AE497*$AA484&gt;$AA501,"",IF(($AA$484*FN$482*$AE$497)&lt;=$ED$474,((MOD($ED$474,($AA$484*FN$482*$AE$497)))),"")))</f>
        <v/>
      </c>
      <c r="FO484" s="209" t="str">
        <f ca="1">IF($AE497*$AA484*'Customer Base'!$D$26*0.8&gt;5800,"",IF($AE497*$AA484&gt;$AA501,"",IF(($AA$484*FO$482*$AE$497)&lt;=$ED$474,((MOD($ED$474,($AA$484*FO$482*$AE$497)))),"")))</f>
        <v/>
      </c>
      <c r="FP484" s="209" t="str">
        <f ca="1">IF($AE497*$AA484*'Customer Base'!$D$26*0.8&gt;5800,"",IF($AE497*$AA484&gt;$AA501,"",IF(($AA$484*FP$482*$AE$497)&lt;=$ED$474,((MOD($ED$474,($AA$484*FP$482*$AE$497)))),"")))</f>
        <v/>
      </c>
      <c r="FQ484" s="209" t="str">
        <f ca="1">IF($AE497*$AA484*'Customer Base'!$D$26*0.8&gt;5800,"",IF($AE497*$AA484&gt;$AA501,"",IF(($AA$484*FQ$482*$AE$497)&lt;=$ED$474,((MOD($ED$474,($AA$484*FQ$482*$AE$497)))),"")))</f>
        <v/>
      </c>
      <c r="FR484" s="209" t="str">
        <f ca="1">IF($AE497*$AA484*'Customer Base'!$D$26*0.8&gt;5800,"",IF($AE497*$AA484&gt;$AA501,"",IF(($AA$484*FR$482*$AE$497)&lt;=$ED$474,((MOD($ED$474,($AA$484*FR$482*$AE$497)))),"")))</f>
        <v/>
      </c>
      <c r="FS484" s="209" t="str">
        <f ca="1">IF($AE497*$AA484*'Customer Base'!$D$26*0.8&gt;5800,"",IF($AE497*$AA484&gt;$AA501,"",IF(($AA$484*FS$482*$AE$497)&lt;=$ED$474,((MOD($ED$474,($AA$484*FS$482*$AE$497)))),"")))</f>
        <v/>
      </c>
      <c r="FT484" s="209" t="str">
        <f ca="1">IF($AE497*$AA484*'Customer Base'!$D$26*0.8&gt;5800,"",IF($AE497*$AA484&gt;$AA501,"",IF(($AA$484*FT$482*$AE$497)&lt;=$ED$474,((MOD($ED$474,($AA$484*FT$482*$AE$497)))),"")))</f>
        <v/>
      </c>
      <c r="FU484" s="209" t="str">
        <f ca="1">IF($AE497*$AA484*'Customer Base'!$D$26*0.8&gt;5800,"",IF($AE497*$AA484&gt;$AA501,"",IF(($AA$484*FU$482*$AE$497)&lt;=$ED$474,((MOD($ED$474,($AA$484*FU$482*$AE$497)))),"")))</f>
        <v/>
      </c>
      <c r="FV484" s="209" t="str">
        <f ca="1">IF($AE497*$AA484*'Customer Base'!$D$26*0.8&gt;5800,"",IF($AE497*$AA484&gt;$AA501,"",IF(($AA$484*FV$482*$AE$497)&lt;=$ED$474,((MOD($ED$474,($AA$484*FV$482*$AE$497)))),"")))</f>
        <v/>
      </c>
      <c r="FW484" s="209" t="str">
        <f ca="1">IF($AE497*$AA484*'Customer Base'!$D$26*0.8&gt;5800,"",IF($AE497*$AA484&gt;$AA501,"",IF(($AA$484*FW$482*$AE$497)&lt;=$ED$474,((MOD($ED$474,($AA$484*FW$482*$AE$497)))),"")))</f>
        <v/>
      </c>
      <c r="FX484" s="209" t="str">
        <f ca="1">IF($AE497*$AA484*'Customer Base'!$D$26*0.8&gt;5800,"",IF($AE497*$AA484&gt;$AA501,"",IF(($AA$484*FX$482*$AE$497)&lt;=$ED$474,((MOD($ED$474,($AA$484*FX$482*$AE$497)))),"")))</f>
        <v/>
      </c>
      <c r="FY484" s="209" t="str">
        <f ca="1">IF($AE497*$AA484*'Customer Base'!$D$26*0.8&gt;5800,"",IF($AE497*$AA484&gt;$AA501,"",IF(($AA$484*FY$482*$AE$497)&lt;=$ED$474,((MOD($ED$474,($AA$484*FY$482*$AE$497)))),"")))</f>
        <v/>
      </c>
      <c r="FZ484" s="209" t="str">
        <f ca="1">IF($AE497*$AA484*'Customer Base'!$D$26*0.8&gt;5800,"",IF($AE497*$AA484&gt;$AA501,"",IF(($AA$484*FZ$482*$AE$497)&lt;=$ED$474,((MOD($ED$474,($AA$484*FZ$482*$AE$497)))),"")))</f>
        <v/>
      </c>
      <c r="GA484" s="209" t="str">
        <f ca="1">IF($AE497*$AA484*'Customer Base'!$D$26*0.8&gt;5800,"",IF($AE497*$AA484&gt;$AA501,"",IF(($AA$484*GA$482*$AE$497)&lt;=$ED$474,((MOD($ED$474,($AA$484*GA$482*$AE$497)))),"")))</f>
        <v/>
      </c>
      <c r="GB484" s="209" t="str">
        <f ca="1">IF($AE497*$AA484*'Customer Base'!$D$26*0.8&gt;5800,"",IF($AE497*$AA484&gt;$AA501,"",IF(($AA$484*GB$482*$AE$497)&lt;=$ED$474,((MOD($ED$474,($AA$484*GB$482*$AE$497)))),"")))</f>
        <v/>
      </c>
      <c r="GC484" s="209" t="str">
        <f ca="1">IF($AE497*$AA484*'Customer Base'!$D$26*0.8&gt;5800,"",IF($AE497*$AA484&gt;$AA501,"",IF(($AA$484*GC$482*$AE$497)&lt;=$ED$474,((MOD($ED$474,($AA$484*GC$482*$AE$497)))),"")))</f>
        <v/>
      </c>
      <c r="GD484" s="209" t="str">
        <f ca="1">IF($AE497*$AA484*'Customer Base'!$D$26*0.8&gt;5800,"",IF($AE497*$AA484&gt;$AA501,"",IF(($AA$484*GD$482*$AE$497)&lt;=$ED$474,((MOD($ED$474,($AA$484*GD$482*$AE$497)))),"")))</f>
        <v/>
      </c>
      <c r="GE484" s="209" t="str">
        <f ca="1">IF($AE497*$AA484*'Customer Base'!$D$26*0.8&gt;5800,"",IF($AE497*$AA484&gt;$AA501,"",IF(($AA$484*GE$482*$AE$497)&lt;=$ED$474,((MOD($ED$474,($AA$484*GE$482*$AE$497)))),"")))</f>
        <v/>
      </c>
      <c r="GF484" s="209" t="str">
        <f ca="1">IF($AE497*$AA484*'Customer Base'!$D$26*0.8&gt;5800,"",IF($AE497*$AA484&gt;$AA501,"",IF(($AA$484*GF$482*$AE$497)&lt;=$ED$474,((MOD($ED$474,($AA$484*GF$482*$AE$497)))),"")))</f>
        <v/>
      </c>
      <c r="GG484" s="209" t="str">
        <f ca="1">IF($AE497*$AA484*'Customer Base'!$D$26*0.8&gt;5800,"",IF($AE497*$AA484&gt;$AA501,"",IF(($AA$484*GG$482*$AE$497)&lt;=$ED$474,((MOD($ED$474,($AA$484*GG$482*$AE$497)))),"")))</f>
        <v/>
      </c>
      <c r="GH484" s="209" t="str">
        <f ca="1">IF($AE497*$AA484*'Customer Base'!$D$26*0.8&gt;5800,"",IF($AE497*$AA484&gt;$AA501,"",IF(($AA$484*GH$482*$AE$497)&lt;=$ED$474,((MOD($ED$474,($AA$484*GH$482*$AE$497)))),"")))</f>
        <v/>
      </c>
      <c r="GI484" s="209" t="str">
        <f ca="1">IF($AE497*$AA484*'Customer Base'!$D$26*0.8&gt;5800,"",IF($AE497*$AA484&gt;$AA501,"",IF(($AA$484*GI$482*$AE$497)&lt;=$ED$474,((MOD($ED$474,($AA$484*GI$482*$AE$497)))),"")))</f>
        <v/>
      </c>
      <c r="GJ484" s="209" t="str">
        <f ca="1">IF($AE497*$AA484*'Customer Base'!$D$26*0.8&gt;5800,"",IF($AE497*$AA484&gt;$AA501,"",IF(($AA$484*GJ$482*$AE$497)&lt;=$ED$474,((MOD($ED$474,($AA$484*GJ$482*$AE$497)))),"")))</f>
        <v/>
      </c>
      <c r="GK484" s="209" t="str">
        <f ca="1">IF($AE497*$AA484*'Customer Base'!$D$26*0.8&gt;5800,"",IF($AE497*$AA484&gt;$AA501,"",IF(($AA$484*GK$482*$AE$497)&lt;=$ED$474,((MOD($ED$474,($AA$484*GK$482*$AE$497)))),"")))</f>
        <v/>
      </c>
      <c r="GL484" s="209" t="str">
        <f ca="1">IF($AE497*$AA484*'Customer Base'!$D$26*0.8&gt;5800,"",IF($AE497*$AA484&gt;$AA501,"",IF(($AA$484*GL$482*$AE$497)&lt;=$ED$474,((MOD($ED$474,($AA$484*GL$482*$AE$497)))),"")))</f>
        <v/>
      </c>
      <c r="GM484" s="209" t="str">
        <f ca="1">IF($AE497*$AA484*'Customer Base'!$D$26*0.8&gt;5800,"",IF($AE497*$AA484&gt;$AA501,"",IF(($AA$484*GM$482*$AE$497)&lt;=$ED$474,((MOD($ED$474,($AA$484*GM$482*$AE$497)))),"")))</f>
        <v/>
      </c>
      <c r="GN484" s="209" t="str">
        <f ca="1">IF($AE497*$AA484*'Customer Base'!$D$26*0.8&gt;5800,"",IF($AE497*$AA484&gt;$AA501,"",IF(($AA$484*GN$482*$AE$497)&lt;=$ED$474,((MOD($ED$474,($AA$484*GN$482*$AE$497)))),"")))</f>
        <v/>
      </c>
      <c r="GO484" s="209" t="str">
        <f ca="1">IF($AE497*$AA484*'Customer Base'!$D$26*0.8&gt;5800,"",IF($AE497*$AA484&gt;$AA501,"",IF(($AA$484*GO$482*$AE$497)&lt;=$ED$474,((MOD($ED$474,($AA$484*GO$482*$AE$497)))),"")))</f>
        <v/>
      </c>
      <c r="GP484" s="209" t="str">
        <f ca="1">IF($AE497*$AA484*'Customer Base'!$D$26*0.8&gt;5800,"",IF($AE497*$AA484&gt;$AA501,"",IF(($AA$484*GP$482*$AE$497)&lt;=$ED$474,((MOD($ED$474,($AA$484*GP$482*$AE$497)))),"")))</f>
        <v/>
      </c>
      <c r="GQ484" s="209" t="str">
        <f ca="1">IF($AE497*$AA484*'Customer Base'!$D$26*0.8&gt;5800,"",IF($AE497*$AA484&gt;$AA501,"",IF(($AA$484*GQ$482*$AE$497)&lt;=$ED$474,((MOD($ED$474,($AA$484*GQ$482*$AE$497)))),"")))</f>
        <v/>
      </c>
      <c r="GR484" s="209" t="str">
        <f ca="1">IF($AE497*$AA484*'Customer Base'!$D$26*0.8&gt;5800,"",IF($AE497*$AA484&gt;$AA501,"",IF(($AA$484*GR$482*$AE$497)&lt;=$ED$474,((MOD($ED$474,($AA$484*GR$482*$AE$497)))),"")))</f>
        <v/>
      </c>
      <c r="GS484" s="209" t="str">
        <f ca="1">IF($AE497*$AA484*'Customer Base'!$D$26*0.8&gt;5800,"",IF($AE497*$AA484&gt;$AA501,"",IF(($AA$484*GS$482*$AE$497)&lt;=$ED$474,((MOD($ED$474,($AA$484*GS$482*$AE$497)))),"")))</f>
        <v/>
      </c>
      <c r="GT484" s="209" t="str">
        <f ca="1">IF($AE497*$AA484*'Customer Base'!$D$26*0.8&gt;5800,"",IF($AE497*$AA484&gt;$AA501,"",IF(($AA$484*GT$482*$AE$497)&lt;=$ED$474,((MOD($ED$474,($AA$484*GT$482*$AE$497)))),"")))</f>
        <v/>
      </c>
      <c r="GU484" s="209" t="str">
        <f ca="1">IF($AE497*$AA484*'Customer Base'!$D$26*0.8&gt;5800,"",IF($AE497*$AA484&gt;$AA501,"",IF(($AA$484*GU$482*$AE$497)&lt;=$ED$474,((MOD($ED$474,($AA$484*GU$482*$AE$497)))),"")))</f>
        <v/>
      </c>
      <c r="GV484" s="209" t="str">
        <f ca="1">IF($AE497*$AA484*'Customer Base'!$D$26*0.8&gt;5800,"",IF($AE497*$AA484&gt;$AA501,"",IF(($AA$484*GV$482*$AE$497)&lt;=$ED$474,((MOD($ED$474,($AA$484*GV$482*$AE$497)))),"")))</f>
        <v/>
      </c>
      <c r="GW484" s="209" t="str">
        <f ca="1">IF($AE497*$AA484*'Customer Base'!$D$26*0.8&gt;5800,"",IF($AE497*$AA484&gt;$AA501,"",IF(($AA$484*GW$482*$AE$497)&lt;=$ED$474,((MOD($ED$474,($AA$484*GW$482*$AE$497)))),"")))</f>
        <v/>
      </c>
      <c r="GX484" s="209" t="str">
        <f ca="1">IF($AE497*$AA484*'Customer Base'!$D$26*0.8&gt;5800,"",IF($AE497*$AA484&gt;$AA501,"",IF(($AA$484*GX$482*$AE$497)&lt;=$ED$474,((MOD($ED$474,($AA$484*GX$482*$AE$497)))),"")))</f>
        <v/>
      </c>
      <c r="GY484" s="209" t="str">
        <f ca="1">IF($AE497*$AA484*'Customer Base'!$D$26*0.8&gt;5800,"",IF($AE497*$AA484&gt;$AA501,"",IF(($AA$484*GY$482*$AE$497)&lt;=$ED$474,((MOD($ED$474,($AA$484*GY$482*$AE$497)))),"")))</f>
        <v/>
      </c>
      <c r="GZ484" s="209" t="str">
        <f ca="1">IF($AE497*$AA484*'Customer Base'!$D$26*0.8&gt;5800,"",IF($AE497*$AA484&gt;$AA501,"",IF(($AA$484*GZ$482*$AE$497)&lt;=$ED$474,((MOD($ED$474,($AA$484*GZ$482*$AE$497)))),"")))</f>
        <v/>
      </c>
      <c r="HA484" s="209" t="str">
        <f ca="1">IF($AE497*$AA484*'Customer Base'!$D$26*0.8&gt;5800,"",IF($AE497*$AA484&gt;$AA501,"",IF(($AA$484*HA$482*$AE$497)&lt;=$ED$474,((MOD($ED$474,($AA$484*HA$482*$AE$497)))),"")))</f>
        <v/>
      </c>
      <c r="HB484" s="209" t="str">
        <f ca="1">IF($AE497*$AA484*'Customer Base'!$D$26*0.8&gt;5800,"",IF($AE497*$AA484&gt;$AA501,"",IF(($AA$484*HB$482*$AE$497)&lt;=$ED$474,((MOD($ED$474,($AA$484*HB$482*$AE$497)))),"")))</f>
        <v/>
      </c>
      <c r="HC484" s="209" t="str">
        <f ca="1">IF($AE497*$AA484*'Customer Base'!$D$26*0.8&gt;5800,"",IF($AE497*$AA484&gt;$AA501,"",IF(($AA$484*HC$482*$AE$497)&lt;=$ED$474,((MOD($ED$474,($AA$484*HC$482*$AE$497)))),"")))</f>
        <v/>
      </c>
      <c r="HD484" s="209" t="str">
        <f ca="1">IF($AE497*$AA484*'Customer Base'!$D$26*0.8&gt;5800,"",IF($AE497*$AA484&gt;$AA501,"",IF(($AA$484*HD$482*$AE$497)&lt;=$ED$474,((MOD($ED$474,($AA$484*HD$482*$AE$497)))),"")))</f>
        <v/>
      </c>
      <c r="HE484" s="209" t="str">
        <f ca="1">IF($AE497*$AA484*'Customer Base'!$D$26*0.8&gt;5800,"",IF($AE497*$AA484&gt;$AA501,"",IF(($AA$484*HE$482*$AE$497)&lt;=$ED$474,((MOD($ED$474,($AA$484*HE$482*$AE$497)))),"")))</f>
        <v/>
      </c>
      <c r="HF484" s="209" t="str">
        <f ca="1">IF($AE497*$AA484*'Customer Base'!$D$26*0.8&gt;5800,"",IF($AE497*$AA484&gt;$AA501,"",IF(($AA$484*HF$482*$AE$497)&lt;=$ED$474,((MOD($ED$474,($AA$484*HF$482*$AE$497)))),"")))</f>
        <v/>
      </c>
      <c r="HG484" s="209" t="str">
        <f ca="1">IF($AE497*$AA484*'Customer Base'!$D$26*0.8&gt;5800,"",IF($AE497*$AA484&gt;$AA501,"",IF(($AA$484*HG$482*$AE$497)&lt;=$ED$474,((MOD($ED$474,($AA$484*HG$482*$AE$497)))),"")))</f>
        <v/>
      </c>
      <c r="HH484" s="209" t="str">
        <f ca="1">IF($AE497*$AA484*'Customer Base'!$D$26*0.8&gt;5800,"",IF($AE497*$AA484&gt;$AA501,"",IF(($AA$484*HH$482*$AE$497)&lt;=$ED$474,((MOD($ED$474,($AA$484*HH$482*$AE$497)))),"")))</f>
        <v/>
      </c>
      <c r="HI484" s="209" t="str">
        <f ca="1">IF($AE497*$AA484*'Customer Base'!$D$26*0.8&gt;5800,"",IF($AE497*$AA484&gt;$AA501,"",IF(($AA$484*HI$482*$AE$497)&lt;=$ED$474,((MOD($ED$474,($AA$484*HI$482*$AE$497)))),"")))</f>
        <v/>
      </c>
      <c r="HJ484" s="209" t="str">
        <f ca="1">IF($AE497*$AA484*'Customer Base'!$D$26*0.8&gt;5800,"",IF($AE497*$AA484&gt;$AA501,"",IF(($AA$484*HJ$482*$AE$497)&lt;=$ED$474,((MOD($ED$474,($AA$484*HJ$482*$AE$497)))),"")))</f>
        <v/>
      </c>
      <c r="HK484" s="209" t="str">
        <f ca="1">IF($AE497*$AA484*'Customer Base'!$D$26*0.8&gt;5800,"",IF($AE497*$AA484&gt;$AA501,"",IF(($AA$484*HK$482*$AE$497)&lt;=$ED$474,((MOD($ED$474,($AA$484*HK$482*$AE$497)))),"")))</f>
        <v/>
      </c>
      <c r="HL484" s="209" t="str">
        <f ca="1">IF($AE497*$AA484*'Customer Base'!$D$26*0.8&gt;5800,"",IF($AE497*$AA484&gt;$AA501,"",IF(($AA$484*HL$482*$AE$497)&lt;=$ED$474,((MOD($ED$474,($AA$484*HL$482*$AE$497)))),"")))</f>
        <v/>
      </c>
      <c r="HM484" s="209" t="str">
        <f ca="1">IF($AE497*$AA484*'Customer Base'!$D$26*0.8&gt;5800,"",IF($AE497*$AA484&gt;$AA501,"",IF(($AA$484*HM$482*$AE$497)&lt;=$ED$474,((MOD($ED$474,($AA$484*HM$482*$AE$497)))),"")))</f>
        <v/>
      </c>
      <c r="HN484" s="209" t="str">
        <f ca="1">IF($AE497*$AA484*'Customer Base'!$D$26*0.8&gt;5800,"",IF($AE497*$AA484&gt;$AA501,"",IF(($AA$484*HN$482*$AE$497)&lt;=$ED$474,((MOD($ED$474,($AA$484*HN$482*$AE$497)))),"")))</f>
        <v/>
      </c>
      <c r="HO484" s="209" t="str">
        <f ca="1">IF($AE497*$AA484*'Customer Base'!$D$26*0.8&gt;5800,"",IF($AE497*$AA484&gt;$AA501,"",IF(($AA$484*HO$482*$AE$497)&lt;=$ED$474,((MOD($ED$474,($AA$484*HO$482*$AE$497)))),"")))</f>
        <v/>
      </c>
      <c r="HP484" s="209" t="str">
        <f ca="1">IF($AE497*$AA484*'Customer Base'!$D$26*0.8&gt;5800,"",IF($AE497*$AA484&gt;$AA501,"",IF(($AA$484*HP$482*$AE$497)&lt;=$ED$474,((MOD($ED$474,($AA$484*HP$482*$AE$497)))),"")))</f>
        <v/>
      </c>
      <c r="HQ484" s="209" t="str">
        <f ca="1">IF($AE497*$AA484*'Customer Base'!$D$26*0.8&gt;5800,"",IF($AE497*$AA484&gt;$AA501,"",IF(($AA$484*HQ$482*$AE$497)&lt;=$ED$474,((MOD($ED$474,($AA$484*HQ$482*$AE$497)))),"")))</f>
        <v/>
      </c>
      <c r="HR484" s="209" t="str">
        <f ca="1">IF($AE497*$AA484*'Customer Base'!$D$26*0.8&gt;5800,"",IF($AE497*$AA484&gt;$AA501,"",IF(($AA$484*HR$482*$AE$497)&lt;=$ED$474,((MOD($ED$474,($AA$484*HR$482*$AE$497)))),"")))</f>
        <v/>
      </c>
      <c r="HS484" s="209" t="str">
        <f ca="1">IF($AE497*$AA484*'Customer Base'!$D$26*0.8&gt;5800,"",IF($AE497*$AA484&gt;$AA501,"",IF(($AA$484*HS$482*$AE$497)&lt;=$ED$474,((MOD($ED$474,($AA$484*HS$482*$AE$497)))),"")))</f>
        <v/>
      </c>
      <c r="HT484" s="209" t="str">
        <f ca="1">IF($AE497*$AA484*'Customer Base'!$D$26*0.8&gt;5800,"",IF($AE497*$AA484&gt;$AA501,"",IF(($AA$484*HT$482*$AE$497)&lt;=$ED$474,((MOD($ED$474,($AA$484*HT$482*$AE$497)))),"")))</f>
        <v/>
      </c>
      <c r="HU484" s="209" t="str">
        <f ca="1">IF($AE497*$AA484*'Customer Base'!$D$26*0.8&gt;5800,"",IF($AE497*$AA484&gt;$AA501,"",IF(($AA$484*HU$482*$AE$497)&lt;=$ED$474,((MOD($ED$474,($AA$484*HU$482*$AE$497)))),"")))</f>
        <v/>
      </c>
      <c r="HV484" s="209" t="str">
        <f ca="1">IF($AE497*$AA484*'Customer Base'!$D$26*0.8&gt;5800,"",IF($AE497*$AA484&gt;$AA501,"",IF(($AA$484*HV$482*$AE$497)&lt;=$ED$474,((MOD($ED$474,($AA$484*HV$482*$AE$497)))),"")))</f>
        <v/>
      </c>
      <c r="HW484" s="209" t="str">
        <f ca="1">IF($AE497*$AA484*'Customer Base'!$D$26*0.8&gt;5800,"",IF($AE497*$AA484&gt;$AA501,"",IF(($AA$484*HW$482*$AE$497)&lt;=$ED$474,((MOD($ED$474,($AA$484*HW$482*$AE$497)))),"")))</f>
        <v/>
      </c>
      <c r="HX484" s="209" t="str">
        <f ca="1">IF($AE497*$AA484*'Customer Base'!$D$26*0.8&gt;5800,"",IF($AE497*$AA484&gt;$AA501,"",IF(($AA$484*HX$482*$AE$497)&lt;=$ED$474,((MOD($ED$474,($AA$484*HX$482*$AE$497)))),"")))</f>
        <v/>
      </c>
      <c r="HY484" s="209" t="str">
        <f ca="1">IF($AE497*$AA484*'Customer Base'!$D$26*0.8&gt;5800,"",IF($AE497*$AA484&gt;$AA501,"",IF(($AA$484*HY$482*$AE$497)&lt;=$ED$474,((MOD($ED$474,($AA$484*HY$482*$AE$497)))),"")))</f>
        <v/>
      </c>
      <c r="HZ484" s="209" t="str">
        <f ca="1">IF($AE497*$AA484*'Customer Base'!$D$26*0.8&gt;5800,"",IF($AE497*$AA484&gt;$AA501,"",IF(($AA$484*HZ$482*$AE$497)&lt;=$ED$474,((MOD($ED$474,($AA$484*HZ$482*$AE$497)))),"")))</f>
        <v/>
      </c>
      <c r="IA484" s="209" t="str">
        <f ca="1">IF($AE497*$AA484*'Customer Base'!$D$26*0.8&gt;5800,"",IF($AE497*$AA484&gt;$AA501,"",IF(($AA$484*IA$482*$AE$497)&lt;=$ED$474,((MOD($ED$474,($AA$484*IA$482*$AE$497)))),"")))</f>
        <v/>
      </c>
      <c r="IB484" s="209" t="str">
        <f ca="1">IF($AE497*$AA484*'Customer Base'!$D$26*0.8&gt;5800,"",IF($AE497*$AA484&gt;$AA501,"",IF(($AA$484*IB$482*$AE$497)&lt;=$ED$474,((MOD($ED$474,($AA$484*IB$482*$AE$497)))),"")))</f>
        <v/>
      </c>
      <c r="IC484" s="209" t="str">
        <f ca="1">IF($AE497*$AA484*'Customer Base'!$D$26*0.8&gt;5800,"",IF($AE497*$AA484&gt;$AA501,"",IF(($AA$484*IC$482*$AE$497)&lt;=$ED$474,((MOD($ED$474,($AA$484*IC$482*$AE$497)))),"")))</f>
        <v/>
      </c>
      <c r="ID484" s="209" t="str">
        <f ca="1">IF($AE497*$AA484*'Customer Base'!$D$26*0.8&gt;5800,"",IF($AE497*$AA484&gt;$AA501,"",IF(($AA$484*ID$482*$AE$497)&lt;=$ED$474,((MOD($ED$474,($AA$484*ID$482*$AE$497)))),"")))</f>
        <v/>
      </c>
      <c r="IE484" s="209" t="str">
        <f ca="1">IF($AE497*$AA484*'Customer Base'!$D$26*0.8&gt;5800,"",IF($AE497*$AA484&gt;$AA501,"",IF(($AA$484*IE$482*$AE$497)&lt;=$ED$474,((MOD($ED$474,($AA$484*IE$482*$AE$497)))),"")))</f>
        <v/>
      </c>
      <c r="IF484" s="209" t="str">
        <f ca="1">IF($AE497*$AA484*'Customer Base'!$D$26*0.8&gt;5800,"",IF($AE497*$AA484&gt;$AA501,"",IF(($AA$484*IF$482*$AE$497)&lt;=$ED$474,((MOD($ED$474,($AA$484*IF$482*$AE$497)))),"")))</f>
        <v/>
      </c>
      <c r="IG484" s="209" t="str">
        <f ca="1">IF($AE497*$AA484*'Customer Base'!$D$26*0.8&gt;5800,"",IF($AE497*$AA484&gt;$AA501,"",IF(($AA$484*IG$482*$AE$497)&lt;=$ED$474,((MOD($ED$474,($AA$484*IG$482*$AE$497)))),"")))</f>
        <v/>
      </c>
      <c r="IH484" s="209" t="str">
        <f ca="1">IF($AE497*$AA484*'Customer Base'!$D$26*0.8&gt;5800,"",IF($AE497*$AA484&gt;$AA501,"",IF(($AA$484*IH$482*$AE$497)&lt;=$ED$474,((MOD($ED$474,($AA$484*IH$482*$AE$497)))),"")))</f>
        <v/>
      </c>
      <c r="II484" s="209" t="str">
        <f ca="1">IF($AE497*$AA484*'Customer Base'!$D$26*0.8&gt;5800,"",IF($AE497*$AA484&gt;$AA501,"",IF(($AA$484*II$482*$AE$497)&lt;=$ED$474,((MOD($ED$474,($AA$484*II$482*$AE$497)))),"")))</f>
        <v/>
      </c>
      <c r="IK484" s="209" t="str" cm="1">
        <f t="array" aca="1" ref="IK484" ca="1">IFERROR(LOOKUP(2,1/(EN484:II484&lt;&gt;""),EN$482:II$482),"")</f>
        <v/>
      </c>
      <c r="IL484" s="311" t="str" cm="1">
        <f t="array" aca="1" ref="IL484" ca="1">IF(IK$474=IK484,LOOKUP(2,1/(EN484:II484&lt;&gt;""),EN484:II484),"")</f>
        <v/>
      </c>
      <c r="IM484" s="311" t="str">
        <f ca="1">IF(IL484=IL$474,1,"")</f>
        <v/>
      </c>
      <c r="IN484" s="311"/>
    </row>
    <row r="485" spans="2:248" ht="17">
      <c r="B485" s="206" t="s">
        <v>888</v>
      </c>
      <c r="C485" s="207" t="s">
        <v>1347</v>
      </c>
      <c r="D485" s="207" t="s">
        <v>1348</v>
      </c>
      <c r="F485" s="102" t="str">
        <f t="shared" si="15"/>
        <v>P</v>
      </c>
      <c r="AA485" s="209">
        <v>4</v>
      </c>
      <c r="AB485" s="311" t="s">
        <v>2687</v>
      </c>
      <c r="AC485" s="209">
        <f ca="1">IFERROR(MOD(AD$493,AA485),"")</f>
        <v>2.25</v>
      </c>
      <c r="AD485" s="209" t="str">
        <f ca="1">IF(OR(AD489=1,AD489=""),"",IF(AC485=0,AA485,IF(AND(AC485&lt;&gt;0,AC484&lt;&gt;0,AC483&lt;&gt;0),AA485,IF(AND(AC485&lt;&gt;0,AC484&lt;&gt;0,AC483=0),AA485,""))))</f>
        <v/>
      </c>
      <c r="AE485" s="209" t="str">
        <f ca="1">IFERROR(ROUNDDOWN(AD$493/AD485,0),"")</f>
        <v/>
      </c>
      <c r="AF485" s="209">
        <f ca="1">IF($AE497*$AA485*'Customer Base'!$D$26*0.8&gt;5800,"",IF($AE497*$AA485&gt;$AA501,"",IF(($AA$485*AF$482*$AE$497)&lt;=$AA$501,((MOD($AA$501,($AA$485*AF$482*$AE$497)))),"")))</f>
        <v>1</v>
      </c>
      <c r="AG485" s="209" t="str">
        <f ca="1">IF($AE497*$AA485*'Customer Base'!$D$26*0.8&gt;5800,"",IF($AE497*$AA485&gt;$AA501,"",IF(($AA$485*AG$482*$AE$497)&lt;=$AA$501,((MOD($AA$501,($AA$485*AG$482*$AE$497)))),"")))</f>
        <v/>
      </c>
      <c r="AH485" s="209" t="str">
        <f ca="1">IF($AE497*$AA485*'Customer Base'!$D$26*0.8&gt;5800,"",IF($AE497*$AA485&gt;$AA501,"",IF(($AA$485*AH$482*$AE$497)&lt;=$AA$501,((MOD($AA$501,($AA$485*AH$482*$AE$497)))),"")))</f>
        <v/>
      </c>
      <c r="AI485" s="209" t="str">
        <f ca="1">IF($AE497*$AA485*'Customer Base'!$D$26*0.8&gt;5800,"",IF($AE497*$AA485&gt;$AA501,"",IF(($AA$485*AI$482*$AE$497)&lt;=$AA$501,((MOD($AA$501,($AA$485*AI$482*$AE$497)))),"")))</f>
        <v/>
      </c>
      <c r="AJ485" s="209" t="str">
        <f ca="1">IF($AE497*$AA485*'Customer Base'!$D$26*0.8&gt;5800,"",IF($AE497*$AA485&gt;$AA501,"",IF(($AA$485*AJ$482*$AE$497)&lt;=$AA$501,((MOD($AA$501,($AA$485*AJ$482*$AE$497)))),"")))</f>
        <v/>
      </c>
      <c r="AK485" s="209" t="str">
        <f ca="1">IF($AE497*$AA485*'Customer Base'!$D$26*0.8&gt;5800,"",IF($AE497*$AA485&gt;$AA501,"",IF(($AA$485*AK$482*$AE$497)&lt;=$AA$501,((MOD($AA$501,($AA$485*AK$482*$AE$497)))),"")))</f>
        <v/>
      </c>
      <c r="AL485" s="209" t="str">
        <f ca="1">IF($AE497*$AA485*'Customer Base'!$D$26*0.8&gt;5800,"",IF($AE497*$AA485&gt;$AA501,"",IF(($AA$485*AL$482*$AE$497)&lt;=$AA$501,((MOD($AA$501,($AA$485*AL$482*$AE$497)))),"")))</f>
        <v/>
      </c>
      <c r="AM485" s="209" t="str">
        <f ca="1">IF($AE497*$AA485*'Customer Base'!$D$26*0.8&gt;5800,"",IF($AE497*$AA485&gt;$AA501,"",IF(($AA$485*AM$482*$AE$497)&lt;=$AA$501,((MOD($AA$501,($AA$485*AM$482*$AE$497)))),"")))</f>
        <v/>
      </c>
      <c r="AN485" s="209" t="str">
        <f ca="1">IF($AE497*$AA485*'Customer Base'!$D$26*0.8&gt;5800,"",IF($AE497*$AA485&gt;$AA501,"",IF(($AA$485*AN$482*$AE$497)&lt;=$AA$501,((MOD($AA$501,($AA$485*AN$482*$AE$497)))),"")))</f>
        <v/>
      </c>
      <c r="AO485" s="209" t="str">
        <f ca="1">IF($AE497*$AA485*'Customer Base'!$D$26*0.8&gt;5800,"",IF($AE497*$AA485&gt;$AA501,"",IF(($AA$485*AO$482*$AE$497)&lt;=$AA$501,((MOD($AA$501,($AA$485*AO$482*$AE$497)))),"")))</f>
        <v/>
      </c>
      <c r="AP485" s="209" t="str">
        <f ca="1">IF($AE497*$AA485*'Customer Base'!$D$26*0.8&gt;5800,"",IF($AE497*$AA485&gt;$AA501,"",IF(($AA$485*AP$482*$AE$497)&lt;=$AA$501,((MOD($AA$501,($AA$485*AP$482*$AE$497)))),"")))</f>
        <v/>
      </c>
      <c r="AQ485" s="209" t="str">
        <f ca="1">IF($AE497*$AA485*'Customer Base'!$D$26*0.8&gt;5800,"",IF($AE497*$AA485&gt;$AA501,"",IF(($AA$485*AQ$482*$AE$497)&lt;=$AA$501,((MOD($AA$501,($AA$485*AQ$482*$AE$497)))),"")))</f>
        <v/>
      </c>
      <c r="AR485" s="209" t="str">
        <f ca="1">IF($AE497*$AA485*'Customer Base'!$D$26*0.8&gt;5800,"",IF($AE497*$AA485&gt;$AA501,"",IF(($AA$485*AR$482*$AE$497)&lt;=$AA$501,((MOD($AA$501,($AA$485*AR$482*$AE$497)))),"")))</f>
        <v/>
      </c>
      <c r="AS485" s="209" t="str">
        <f ca="1">IF($AE497*$AA485*'Customer Base'!$D$26*0.8&gt;5800,"",IF($AE497*$AA485&gt;$AA501,"",IF(($AA$485*AS$482*$AE$497)&lt;=$AA$501,((MOD($AA$501,($AA$485*AS$482*$AE$497)))),"")))</f>
        <v/>
      </c>
      <c r="AT485" s="209" t="str">
        <f ca="1">IF($AE497*$AA485*'Customer Base'!$D$26*0.8&gt;5800,"",IF($AE497*$AA485&gt;$AA501,"",IF(($AA$485*AT$482*$AE$497)&lt;=$AA$501,((MOD($AA$501,($AA$485*AT$482*$AE$497)))),"")))</f>
        <v/>
      </c>
      <c r="AU485" s="209" t="str">
        <f ca="1">IF($AE497*$AA485*'Customer Base'!$D$26*0.8&gt;5800,"",IF($AE497*$AA485&gt;$AA501,"",IF(($AA$485*AU$482*$AE$497)&lt;=$AA$501,((MOD($AA$501,($AA$485*AU$482*$AE$497)))),"")))</f>
        <v/>
      </c>
      <c r="AV485" s="209" t="str">
        <f ca="1">IF($AE497*$AA485*'Customer Base'!$D$26*0.8&gt;5800,"",IF($AE497*$AA485&gt;$AA501,"",IF(($AA$485*AV$482*$AE$497)&lt;=$AA$501,((MOD($AA$501,($AA$485*AV$482*$AE$497)))),"")))</f>
        <v/>
      </c>
      <c r="AW485" s="209" t="str">
        <f ca="1">IF($AE497*$AA485*'Customer Base'!$D$26*0.8&gt;5800,"",IF($AE497*$AA485&gt;$AA501,"",IF(($AA$485*AW$482*$AE$497)&lt;=$AA$501,((MOD($AA$501,($AA$485*AW$482*$AE$497)))),"")))</f>
        <v/>
      </c>
      <c r="AX485" s="209" t="str">
        <f ca="1">IF($AE497*$AA485*'Customer Base'!$D$26*0.8&gt;5800,"",IF($AE497*$AA485&gt;$AA501,"",IF(($AA$485*AX$482*$AE$497)&lt;=$AA$501,((MOD($AA$501,($AA$485*AX$482*$AE$497)))),"")))</f>
        <v/>
      </c>
      <c r="AY485" s="209" t="str">
        <f ca="1">IF($AE497*$AA485*'Customer Base'!$D$26*0.8&gt;5800,"",IF($AE497*$AA485&gt;$AA501,"",IF(($AA$485*AY$482*$AE$497)&lt;=$AA$501,((MOD($AA$501,($AA$485*AY$482*$AE$497)))),"")))</f>
        <v/>
      </c>
      <c r="AZ485" s="209" t="str">
        <f ca="1">IF($AE497*$AA485*'Customer Base'!$D$26*0.8&gt;5800,"",IF($AE497*$AA485&gt;$AA501,"",IF(($AA$485*AZ$482*$AE$497)&lt;=$AA$501,((MOD($AA$501,($AA$485*AZ$482*$AE$497)))),"")))</f>
        <v/>
      </c>
      <c r="BA485" s="209" t="str">
        <f ca="1">IF($AE497*$AA485*'Customer Base'!$D$26*0.8&gt;5800,"",IF($AE497*$AA485&gt;$AA501,"",IF(($AA$485*BA$482*$AE$497)&lt;=$AA$501,((MOD($AA$501,($AA$485*BA$482*$AE$497)))),"")))</f>
        <v/>
      </c>
      <c r="BB485" s="209" t="str">
        <f ca="1">IF($AE497*$AA485*'Customer Base'!$D$26*0.8&gt;5800,"",IF($AE497*$AA485&gt;$AA501,"",IF(($AA$485*BB$482*$AE$497)&lt;=$AA$501,((MOD($AA$501,($AA$485*BB$482*$AE$497)))),"")))</f>
        <v/>
      </c>
      <c r="BC485" s="209" t="str">
        <f ca="1">IF($AE497*$AA485*'Customer Base'!$D$26*0.8&gt;5800,"",IF($AE497*$AA485&gt;$AA501,"",IF(($AA$485*BC$482*$AE$497)&lt;=$AA$501,((MOD($AA$501,($AA$485*BC$482*$AE$497)))),"")))</f>
        <v/>
      </c>
      <c r="BD485" s="209" t="str">
        <f ca="1">IF($AE497*$AA485*'Customer Base'!$D$26*0.8&gt;5800,"",IF($AE497*$AA485&gt;$AA501,"",IF(($AA$485*BD$482*$AE$497)&lt;=$AA$501,((MOD($AA$501,($AA$485*BD$482*$AE$497)))),"")))</f>
        <v/>
      </c>
      <c r="BE485" s="209" t="str">
        <f ca="1">IF($AE497*$AA485*'Customer Base'!$D$26*0.8&gt;5800,"",IF($AE497*$AA485&gt;$AA501,"",IF(($AA$485*BE$482*$AE$497)&lt;=$AA$501,((MOD($AA$501,($AA$485*BE$482*$AE$497)))),"")))</f>
        <v/>
      </c>
      <c r="BF485" s="209" t="str">
        <f ca="1">IF($AE497*$AA485*'Customer Base'!$D$26*0.8&gt;5800,"",IF($AE497*$AA485&gt;$AA501,"",IF(($AA$485*BF$482*$AE$497)&lt;=$AA$501,((MOD($AA$501,($AA$485*BF$482*$AE$497)))),"")))</f>
        <v/>
      </c>
      <c r="BG485" s="209" t="str">
        <f ca="1">IF($AE497*$AA485*'Customer Base'!$D$26*0.8&gt;5800,"",IF($AE497*$AA485&gt;$AA501,"",IF(($AA$485*BG$482*$AE$497)&lt;=$AA$501,((MOD($AA$501,($AA$485*BG$482*$AE$497)))),"")))</f>
        <v/>
      </c>
      <c r="BH485" s="209" t="str">
        <f ca="1">IF($AE497*$AA485*'Customer Base'!$D$26*0.8&gt;5800,"",IF($AE497*$AA485&gt;$AA501,"",IF(($AA$485*BH$482*$AE$497)&lt;=$AA$501,((MOD($AA$501,($AA$485*BH$482*$AE$497)))),"")))</f>
        <v/>
      </c>
      <c r="BI485" s="209" t="str">
        <f ca="1">IF($AE497*$AA485*'Customer Base'!$D$26*0.8&gt;5800,"",IF($AE497*$AA485&gt;$AA501,"",IF(($AA$485*BI$482*$AE$497)&lt;=$AA$501,((MOD($AA$501,($AA$485*BI$482*$AE$497)))),"")))</f>
        <v/>
      </c>
      <c r="BJ485" s="209" t="str">
        <f ca="1">IF($AE497*$AA485*'Customer Base'!$D$26*0.8&gt;5800,"",IF($AE497*$AA485&gt;$AA501,"",IF(($AA$485*BJ$482*$AE$497)&lt;=$AA$501,((MOD($AA$501,($AA$485*BJ$482*$AE$497)))),"")))</f>
        <v/>
      </c>
      <c r="BK485" s="209" t="str">
        <f ca="1">IF($AE497*$AA485*'Customer Base'!$D$26*0.8&gt;5800,"",IF($AE497*$AA485&gt;$AA501,"",IF(($AA$485*BK$482*$AE$497)&lt;=$AA$501,((MOD($AA$501,($AA$485*BK$482*$AE$497)))),"")))</f>
        <v/>
      </c>
      <c r="BL485" s="209" t="str">
        <f ca="1">IF($AE497*$AA485*'Customer Base'!$D$26*0.8&gt;5800,"",IF($AE497*$AA485&gt;$AA501,"",IF(($AA$485*BL$482*$AE$497)&lt;=$AA$501,((MOD($AA$501,($AA$485*BL$482*$AE$497)))),"")))</f>
        <v/>
      </c>
      <c r="BM485" s="209" t="str">
        <f ca="1">IF($AE497*$AA485*'Customer Base'!$D$26*0.8&gt;5800,"",IF($AE497*$AA485&gt;$AA501,"",IF(($AA$485*BM$482*$AE$497)&lt;=$AA$501,((MOD($AA$501,($AA$485*BM$482*$AE$497)))),"")))</f>
        <v/>
      </c>
      <c r="BN485" s="209" t="str">
        <f ca="1">IF($AE497*$AA485*'Customer Base'!$D$26*0.8&gt;5800,"",IF($AE497*$AA485&gt;$AA501,"",IF(($AA$485*BN$482*$AE$497)&lt;=$AA$501,((MOD($AA$501,($AA$485*BN$482*$AE$497)))),"")))</f>
        <v/>
      </c>
      <c r="BO485" s="209" t="str">
        <f ca="1">IF($AE497*$AA485*'Customer Base'!$D$26*0.8&gt;5800,"",IF($AE497*$AA485&gt;$AA501,"",IF(($AA$485*BO$482*$AE$497)&lt;=$AA$501,((MOD($AA$501,($AA$485*BO$482*$AE$497)))),"")))</f>
        <v/>
      </c>
      <c r="BP485" s="209" t="str">
        <f ca="1">IF($AE497*$AA485*'Customer Base'!$D$26*0.8&gt;5800,"",IF($AE497*$AA485&gt;$AA501,"",IF(($AA$485*BP$482*$AE$497)&lt;=$AA$501,((MOD($AA$501,($AA$485*BP$482*$AE$497)))),"")))</f>
        <v/>
      </c>
      <c r="BQ485" s="209" t="str">
        <f ca="1">IF($AE497*$AA485*'Customer Base'!$D$26*0.8&gt;5800,"",IF($AE497*$AA485&gt;$AA501,"",IF(($AA$485*BQ$482*$AE$497)&lt;=$AA$501,((MOD($AA$501,($AA$485*BQ$482*$AE$497)))),"")))</f>
        <v/>
      </c>
      <c r="BR485" s="209" t="str">
        <f ca="1">IF($AE497*$AA485*'Customer Base'!$D$26*0.8&gt;5800,"",IF($AE497*$AA485&gt;$AA501,"",IF(($AA$485*BR$482*$AE$497)&lt;=$AA$501,((MOD($AA$501,($AA$485*BR$482*$AE$497)))),"")))</f>
        <v/>
      </c>
      <c r="BS485" s="209" t="str">
        <f ca="1">IF($AE497*$AA485*'Customer Base'!$D$26*0.8&gt;5800,"",IF($AE497*$AA485&gt;$AA501,"",IF(($AA$485*BS$482*$AE$497)&lt;=$AA$501,((MOD($AA$501,($AA$485*BS$482*$AE$497)))),"")))</f>
        <v/>
      </c>
      <c r="BT485" s="209" t="str">
        <f ca="1">IF($AE497*$AA485*'Customer Base'!$D$26*0.8&gt;5800,"",IF($AE497*$AA485&gt;$AA501,"",IF(($AA$485*BT$482*$AE$497)&lt;=$AA$501,((MOD($AA$501,($AA$485*BT$482*$AE$497)))),"")))</f>
        <v/>
      </c>
      <c r="BU485" s="209" t="str">
        <f ca="1">IF($AE497*$AA485*'Customer Base'!$D$26*0.8&gt;5800,"",IF($AE497*$AA485&gt;$AA501,"",IF(($AA$485*BU$482*$AE$497)&lt;=$AA$501,((MOD($AA$501,($AA$485*BU$482*$AE$497)))),"")))</f>
        <v/>
      </c>
      <c r="BV485" s="209" t="str">
        <f ca="1">IF($AE497*$AA485*'Customer Base'!$D$26*0.8&gt;5800,"",IF($AE497*$AA485&gt;$AA501,"",IF(($AA$485*BV$482*$AE$497)&lt;=$AA$501,((MOD($AA$501,($AA$485*BV$482*$AE$497)))),"")))</f>
        <v/>
      </c>
      <c r="BW485" s="209" t="str">
        <f ca="1">IF($AE497*$AA485*'Customer Base'!$D$26*0.8&gt;5800,"",IF($AE497*$AA485&gt;$AA501,"",IF(($AA$485*BW$482*$AE$497)&lt;=$AA$501,((MOD($AA$501,($AA$485*BW$482*$AE$497)))),"")))</f>
        <v/>
      </c>
      <c r="BX485" s="209" t="str">
        <f ca="1">IF($AE497*$AA485*'Customer Base'!$D$26*0.8&gt;5800,"",IF($AE497*$AA485&gt;$AA501,"",IF(($AA$485*BX$482*$AE$497)&lt;=$AA$501,((MOD($AA$501,($AA$485*BX$482*$AE$497)))),"")))</f>
        <v/>
      </c>
      <c r="BY485" s="209" t="str">
        <f ca="1">IF($AE497*$AA485*'Customer Base'!$D$26*0.8&gt;5800,"",IF($AE497*$AA485&gt;$AA501,"",IF(($AA$485*BY$482*$AE$497)&lt;=$AA$501,((MOD($AA$501,($AA$485*BY$482*$AE$497)))),"")))</f>
        <v/>
      </c>
      <c r="BZ485" s="209" t="str">
        <f ca="1">IF($AE497*$AA485*'Customer Base'!$D$26*0.8&gt;5800,"",IF($AE497*$AA485&gt;$AA501,"",IF(($AA$485*BZ$482*$AE$497)&lt;=$AA$501,((MOD($AA$501,($AA$485*BZ$482*$AE$497)))),"")))</f>
        <v/>
      </c>
      <c r="CA485" s="209" t="str">
        <f ca="1">IF($AE497*$AA485*'Customer Base'!$D$26*0.8&gt;5800,"",IF($AE497*$AA485&gt;$AA501,"",IF(($AA$485*CA$482*$AE$497)&lt;=$AA$501,((MOD($AA$501,($AA$485*CA$482*$AE$497)))),"")))</f>
        <v/>
      </c>
      <c r="CB485" s="209" t="str">
        <f ca="1">IF($AE497*$AA485*'Customer Base'!$D$26*0.8&gt;5800,"",IF($AE497*$AA485&gt;$AA501,"",IF(($AA$485*CB$482*$AE$497)&lt;=$AA$501,((MOD($AA$501,($AA$485*CB$482*$AE$497)))),"")))</f>
        <v/>
      </c>
      <c r="CC485" s="209" t="str">
        <f ca="1">IF($AE497*$AA485*'Customer Base'!$D$26*0.8&gt;5800,"",IF($AE497*$AA485&gt;$AA501,"",IF(($AA$485*CC$482*$AE$497)&lt;=$AA$501,((MOD($AA$501,($AA$485*CC$482*$AE$497)))),"")))</f>
        <v/>
      </c>
      <c r="CD485" s="209" t="str">
        <f ca="1">IF($AE497*$AA485*'Customer Base'!$D$26*0.8&gt;5800,"",IF($AE497*$AA485&gt;$AA501,"",IF(($AA$485*CD$482*$AE$497)&lt;=$AA$501,((MOD($AA$501,($AA$485*CD$482*$AE$497)))),"")))</f>
        <v/>
      </c>
      <c r="CE485" s="209" t="str">
        <f ca="1">IF($AE497*$AA485*'Customer Base'!$D$26*0.8&gt;5800,"",IF($AE497*$AA485&gt;$AA501,"",IF(($AA$485*CE$482*$AE$497)&lt;=$AA$501,((MOD($AA$501,($AA$485*CE$482*$AE$497)))),"")))</f>
        <v/>
      </c>
      <c r="CF485" s="209" t="str">
        <f ca="1">IF($AE497*$AA485*'Customer Base'!$D$26*0.8&gt;5800,"",IF($AE497*$AA485&gt;$AA501,"",IF(($AA$485*CF$482*$AE$497)&lt;=$AA$501,((MOD($AA$501,($AA$485*CF$482*$AE$497)))),"")))</f>
        <v/>
      </c>
      <c r="CG485" s="209" t="str">
        <f ca="1">IF($AE497*$AA485*'Customer Base'!$D$26*0.8&gt;5800,"",IF($AE497*$AA485&gt;$AA501,"",IF(($AA$485*CG$482*$AE$497)&lt;=$AA$501,((MOD($AA$501,($AA$485*CG$482*$AE$497)))),"")))</f>
        <v/>
      </c>
      <c r="CH485" s="209" t="str">
        <f ca="1">IF($AE497*$AA485*'Customer Base'!$D$26*0.8&gt;5800,"",IF($AE497*$AA485&gt;$AA501,"",IF(($AA$485*CH$482*$AE$497)&lt;=$AA$501,((MOD($AA$501,($AA$485*CH$482*$AE$497)))),"")))</f>
        <v/>
      </c>
      <c r="CI485" s="209" t="str">
        <f ca="1">IF($AE497*$AA485*'Customer Base'!$D$26*0.8&gt;5800,"",IF($AE497*$AA485&gt;$AA501,"",IF(($AA$485*CI$482*$AE$497)&lt;=$AA$501,((MOD($AA$501,($AA$485*CI$482*$AE$497)))),"")))</f>
        <v/>
      </c>
      <c r="CJ485" s="209" t="str">
        <f ca="1">IF($AE497*$AA485*'Customer Base'!$D$26*0.8&gt;5800,"",IF($AE497*$AA485&gt;$AA501,"",IF(($AA$485*CJ$482*$AE$497)&lt;=$AA$501,((MOD($AA$501,($AA$485*CJ$482*$AE$497)))),"")))</f>
        <v/>
      </c>
      <c r="CK485" s="209" t="str">
        <f ca="1">IF($AE497*$AA485*'Customer Base'!$D$26*0.8&gt;5800,"",IF($AE497*$AA485&gt;$AA501,"",IF(($AA$485*CK$482*$AE$497)&lt;=$AA$501,((MOD($AA$501,($AA$485*CK$482*$AE$497)))),"")))</f>
        <v/>
      </c>
      <c r="CL485" s="209" t="str">
        <f ca="1">IF($AE497*$AA485*'Customer Base'!$D$26*0.8&gt;5800,"",IF($AE497*$AA485&gt;$AA501,"",IF(($AA$485*CL$482*$AE$497)&lt;=$AA$501,((MOD($AA$501,($AA$485*CL$482*$AE$497)))),"")))</f>
        <v/>
      </c>
      <c r="CM485" s="209" t="str">
        <f ca="1">IF($AE497*$AA485*'Customer Base'!$D$26*0.8&gt;5800,"",IF($AE497*$AA485&gt;$AA501,"",IF(($AA$485*CM$482*$AE$497)&lt;=$AA$501,((MOD($AA$501,($AA$485*CM$482*$AE$497)))),"")))</f>
        <v/>
      </c>
      <c r="CN485" s="209" t="str">
        <f ca="1">IF($AE497*$AA485*'Customer Base'!$D$26*0.8&gt;5800,"",IF($AE497*$AA485&gt;$AA501,"",IF(($AA$485*CN$482*$AE$497)&lt;=$AA$501,((MOD($AA$501,($AA$485*CN$482*$AE$497)))),"")))</f>
        <v/>
      </c>
      <c r="CO485" s="209" t="str">
        <f ca="1">IF($AE497*$AA485*'Customer Base'!$D$26*0.8&gt;5800,"",IF($AE497*$AA485&gt;$AA501,"",IF(($AA$485*CO$482*$AE$497)&lt;=$AA$501,((MOD($AA$501,($AA$485*CO$482*$AE$497)))),"")))</f>
        <v/>
      </c>
      <c r="CP485" s="209" t="str">
        <f ca="1">IF($AE497*$AA485*'Customer Base'!$D$26*0.8&gt;5800,"",IF($AE497*$AA485&gt;$AA501,"",IF(($AA$485*CP$482*$AE$497)&lt;=$AA$501,((MOD($AA$501,($AA$485*CP$482*$AE$497)))),"")))</f>
        <v/>
      </c>
      <c r="CQ485" s="209" t="str">
        <f ca="1">IF($AE497*$AA485*'Customer Base'!$D$26*0.8&gt;5800,"",IF($AE497*$AA485&gt;$AA501,"",IF(($AA$485*CQ$482*$AE$497)&lt;=$AA$501,((MOD($AA$501,($AA$485*CQ$482*$AE$497)))),"")))</f>
        <v/>
      </c>
      <c r="CR485" s="209" t="str">
        <f ca="1">IF($AE497*$AA485*'Customer Base'!$D$26*0.8&gt;5800,"",IF($AE497*$AA485&gt;$AA501,"",IF(($AA$485*CR$482*$AE$497)&lt;=$AA$501,((MOD($AA$501,($AA$485*CR$482*$AE$497)))),"")))</f>
        <v/>
      </c>
      <c r="CS485" s="209" t="str">
        <f ca="1">IF($AE497*$AA485*'Customer Base'!$D$26*0.8&gt;5800,"",IF($AE497*$AA485&gt;$AA501,"",IF(($AA$485*CS$482*$AE$497)&lt;=$AA$501,((MOD($AA$501,($AA$485*CS$482*$AE$497)))),"")))</f>
        <v/>
      </c>
      <c r="CT485" s="209" t="str">
        <f ca="1">IF($AE497*$AA485*'Customer Base'!$D$26*0.8&gt;5800,"",IF($AE497*$AA485&gt;$AA501,"",IF(($AA$485*CT$482*$AE$497)&lt;=$AA$501,((MOD($AA$501,($AA$485*CT$482*$AE$497)))),"")))</f>
        <v/>
      </c>
      <c r="CU485" s="209" t="str">
        <f ca="1">IF($AE497*$AA485*'Customer Base'!$D$26*0.8&gt;5800,"",IF($AE497*$AA485&gt;$AA501,"",IF(($AA$485*CU$482*$AE$497)&lt;=$AA$501,((MOD($AA$501,($AA$485*CU$482*$AE$497)))),"")))</f>
        <v/>
      </c>
      <c r="CV485" s="209" t="str">
        <f ca="1">IF($AE497*$AA485*'Customer Base'!$D$26*0.8&gt;5800,"",IF($AE497*$AA485&gt;$AA501,"",IF(($AA$485*CV$482*$AE$497)&lt;=$AA$501,((MOD($AA$501,($AA$485*CV$482*$AE$497)))),"")))</f>
        <v/>
      </c>
      <c r="CW485" s="209" t="str">
        <f ca="1">IF($AE497*$AA485*'Customer Base'!$D$26*0.8&gt;5800,"",IF($AE497*$AA485&gt;$AA501,"",IF(($AA$485*CW$482*$AE$497)&lt;=$AA$501,((MOD($AA$501,($AA$485*CW$482*$AE$497)))),"")))</f>
        <v/>
      </c>
      <c r="CX485" s="209" t="str">
        <f ca="1">IF($AE497*$AA485*'Customer Base'!$D$26*0.8&gt;5800,"",IF($AE497*$AA485&gt;$AA501,"",IF(($AA$485*CX$482*$AE$497)&lt;=$AA$501,((MOD($AA$501,($AA$485*CX$482*$AE$497)))),"")))</f>
        <v/>
      </c>
      <c r="CY485" s="209" t="str">
        <f ca="1">IF($AE497*$AA485*'Customer Base'!$D$26*0.8&gt;5800,"",IF($AE497*$AA485&gt;$AA501,"",IF(($AA$485*CY$482*$AE$497)&lt;=$AA$501,((MOD($AA$501,($AA$485*CY$482*$AE$497)))),"")))</f>
        <v/>
      </c>
      <c r="CZ485" s="209" t="str">
        <f ca="1">IF($AE497*$AA485*'Customer Base'!$D$26*0.8&gt;5800,"",IF($AE497*$AA485&gt;$AA501,"",IF(($AA$485*CZ$482*$AE$497)&lt;=$AA$501,((MOD($AA$501,($AA$485*CZ$482*$AE$497)))),"")))</f>
        <v/>
      </c>
      <c r="DA485" s="209" t="str">
        <f ca="1">IF($AE497*$AA485*'Customer Base'!$D$26*0.8&gt;5800,"",IF($AE497*$AA485&gt;$AA501,"",IF(($AA$485*DA$482*$AE$497)&lt;=$AA$501,((MOD($AA$501,($AA$485*DA$482*$AE$497)))),"")))</f>
        <v/>
      </c>
      <c r="DB485" s="209" t="str">
        <f ca="1">IF($AE497*$AA485*'Customer Base'!$D$26*0.8&gt;5800,"",IF($AE497*$AA485&gt;$AA501,"",IF(($AA$485*DB$482*$AE$497)&lt;=$AA$501,((MOD($AA$501,($AA$485*DB$482*$AE$497)))),"")))</f>
        <v/>
      </c>
      <c r="DC485" s="209" t="str">
        <f ca="1">IF($AE497*$AA485*'Customer Base'!$D$26*0.8&gt;5800,"",IF($AE497*$AA485&gt;$AA501,"",IF(($AA$485*DC$482*$AE$497)&lt;=$AA$501,((MOD($AA$501,($AA$485*DC$482*$AE$497)))),"")))</f>
        <v/>
      </c>
      <c r="DD485" s="209" t="str">
        <f ca="1">IF($AE497*$AA485*'Customer Base'!$D$26*0.8&gt;5800,"",IF($AE497*$AA485&gt;$AA501,"",IF(($AA$485*DD$482*$AE$497)&lt;=$AA$501,((MOD($AA$501,($AA$485*DD$482*$AE$497)))),"")))</f>
        <v/>
      </c>
      <c r="DE485" s="209" t="str">
        <f ca="1">IF($AE497*$AA485*'Customer Base'!$D$26*0.8&gt;5800,"",IF($AE497*$AA485&gt;$AA501,"",IF(($AA$485*DE$482*$AE$497)&lt;=$AA$501,((MOD($AA$501,($AA$485*DE$482*$AE$497)))),"")))</f>
        <v/>
      </c>
      <c r="DF485" s="209" t="str">
        <f ca="1">IF($AE497*$AA485*'Customer Base'!$D$26*0.8&gt;5800,"",IF($AE497*$AA485&gt;$AA501,"",IF(($AA$485*DF$482*$AE$497)&lt;=$AA$501,((MOD($AA$501,($AA$485*DF$482*$AE$497)))),"")))</f>
        <v/>
      </c>
      <c r="DG485" s="209" t="str">
        <f ca="1">IF($AE497*$AA485*'Customer Base'!$D$26*0.8&gt;5800,"",IF($AE497*$AA485&gt;$AA501,"",IF(($AA$485*DG$482*$AE$497)&lt;=$AA$501,((MOD($AA$501,($AA$485*DG$482*$AE$497)))),"")))</f>
        <v/>
      </c>
      <c r="DH485" s="209" t="str">
        <f ca="1">IF($AE497*$AA485*'Customer Base'!$D$26*0.8&gt;5800,"",IF($AE497*$AA485&gt;$AA501,"",IF(($AA$485*DH$482*$AE$497)&lt;=$AA$501,((MOD($AA$501,($AA$485*DH$482*$AE$497)))),"")))</f>
        <v/>
      </c>
      <c r="DI485" s="209" t="str">
        <f ca="1">IF($AE497*$AA485*'Customer Base'!$D$26*0.8&gt;5800,"",IF($AE497*$AA485&gt;$AA501,"",IF(($AA$485*DI$482*$AE$497)&lt;=$AA$501,((MOD($AA$501,($AA$485*DI$482*$AE$497)))),"")))</f>
        <v/>
      </c>
      <c r="DJ485" s="209" t="str">
        <f ca="1">IF($AE497*$AA485*'Customer Base'!$D$26*0.8&gt;5800,"",IF($AE497*$AA485&gt;$AA501,"",IF(($AA$485*DJ$482*$AE$497)&lt;=$AA$501,((MOD($AA$501,($AA$485*DJ$482*$AE$497)))),"")))</f>
        <v/>
      </c>
      <c r="DK485" s="209" t="str">
        <f ca="1">IF($AE497*$AA485*'Customer Base'!$D$26*0.8&gt;5800,"",IF($AE497*$AA485&gt;$AA501,"",IF(($AA$485*DK$482*$AE$497)&lt;=$AA$501,((MOD($AA$501,($AA$485*DK$482*$AE$497)))),"")))</f>
        <v/>
      </c>
      <c r="DL485" s="209" t="str">
        <f ca="1">IF($AE497*$AA485*'Customer Base'!$D$26*0.8&gt;5800,"",IF($AE497*$AA485&gt;$AA501,"",IF(($AA$485*DL$482*$AE$497)&lt;=$AA$501,((MOD($AA$501,($AA$485*DL$482*$AE$497)))),"")))</f>
        <v/>
      </c>
      <c r="DM485" s="209" t="str">
        <f ca="1">IF($AE497*$AA485*'Customer Base'!$D$26*0.8&gt;5800,"",IF($AE497*$AA485&gt;$AA501,"",IF(($AA$485*DM$482*$AE$497)&lt;=$AA$501,((MOD($AA$501,($AA$485*DM$482*$AE$497)))),"")))</f>
        <v/>
      </c>
      <c r="DN485" s="209" t="str">
        <f ca="1">IF($AE497*$AA485*'Customer Base'!$D$26*0.8&gt;5800,"",IF($AE497*$AA485&gt;$AA501,"",IF(($AA$485*DN$482*$AE$497)&lt;=$AA$501,((MOD($AA$501,($AA$485*DN$482*$AE$497)))),"")))</f>
        <v/>
      </c>
      <c r="DO485" s="209" t="str">
        <f ca="1">IF($AE497*$AA485*'Customer Base'!$D$26*0.8&gt;5800,"",IF($AE497*$AA485&gt;$AA501,"",IF(($AA$485*DO$482*$AE$497)&lt;=$AA$501,((MOD($AA$501,($AA$485*DO$482*$AE$497)))),"")))</f>
        <v/>
      </c>
      <c r="DP485" s="209" t="str">
        <f ca="1">IF($AE497*$AA485*'Customer Base'!$D$26*0.8&gt;5800,"",IF($AE497*$AA485&gt;$AA501,"",IF(($AA$485*DP$482*$AE$497)&lt;=$AA$501,((MOD($AA$501,($AA$485*DP$482*$AE$497)))),"")))</f>
        <v/>
      </c>
      <c r="DQ485" s="209" t="str">
        <f ca="1">IF($AE497*$AA485*'Customer Base'!$D$26*0.8&gt;5800,"",IF($AE497*$AA485&gt;$AA501,"",IF(($AA$485*DQ$482*$AE$497)&lt;=$AA$501,((MOD($AA$501,($AA$485*DQ$482*$AE$497)))),"")))</f>
        <v/>
      </c>
      <c r="DR485" s="209" t="str">
        <f ca="1">IF($AE497*$AA485*'Customer Base'!$D$26*0.8&gt;5800,"",IF($AE497*$AA485&gt;$AA501,"",IF(($AA$485*DR$482*$AE$497)&lt;=$AA$501,((MOD($AA$501,($AA$485*DR$482*$AE$497)))),"")))</f>
        <v/>
      </c>
      <c r="DS485" s="209" t="str">
        <f ca="1">IF($AE497*$AA485*'Customer Base'!$D$26*0.8&gt;5800,"",IF($AE497*$AA485&gt;$AA501,"",IF(($AA$485*DS$482*$AE$497)&lt;=$AA$501,((MOD($AA$501,($AA$485*DS$482*$AE$497)))),"")))</f>
        <v/>
      </c>
      <c r="DT485" s="209" t="str">
        <f ca="1">IF($AE497*$AA485*'Customer Base'!$D$26*0.8&gt;5800,"",IF($AE497*$AA485&gt;$AA501,"",IF(($AA$485*DT$482*$AE$497)&lt;=$AA$501,((MOD($AA$501,($AA$485*DT$482*$AE$497)))),"")))</f>
        <v/>
      </c>
      <c r="DU485" s="209" t="str">
        <f ca="1">IF($AE497*$AA485*'Customer Base'!$D$26*0.8&gt;5800,"",IF($AE497*$AA485&gt;$AA501,"",IF(($AA$485*DU$482*$AE$497)&lt;=$AA$501,((MOD($AA$501,($AA$485*DU$482*$AE$497)))),"")))</f>
        <v/>
      </c>
      <c r="DV485" s="209" t="str">
        <f ca="1">IF($AE497*$AA485*'Customer Base'!$D$26*0.8&gt;5800,"",IF($AE497*$AA485&gt;$AA501,"",IF(($AA$485*DV$482*$AE$497)&lt;=$AA$501,((MOD($AA$501,($AA$485*DV$482*$AE$497)))),"")))</f>
        <v/>
      </c>
      <c r="DW485" s="209" t="str">
        <f ca="1">IF($AE497*$AA485*'Customer Base'!$D$26*0.8&gt;5800,"",IF($AE497*$AA485&gt;$AA501,"",IF(($AA$485*DW$482*$AE$497)&lt;=$AA$501,((MOD($AA$501,($AA$485*DW$482*$AE$497)))),"")))</f>
        <v/>
      </c>
      <c r="DX485" s="209" t="str">
        <f ca="1">IF($AE497*$AA485*'Customer Base'!$D$26*0.8&gt;5800,"",IF($AE497*$AA485&gt;$AA501,"",IF(($AA$485*DX$482*$AE$497)&lt;=$AA$501,((MOD($AA$501,($AA$485*DX$482*$AE$497)))),"")))</f>
        <v/>
      </c>
      <c r="DY485" s="209" t="str">
        <f ca="1">IF($AE497*$AA485*'Customer Base'!$D$26*0.8&gt;5800,"",IF($AE497*$AA485&gt;$AA501,"",IF(($AA$485*DY$482*$AE$497)&lt;=$AA$501,((MOD($AA$501,($AA$485*DY$482*$AE$497)))),"")))</f>
        <v/>
      </c>
      <c r="DZ485" s="209" t="str">
        <f ca="1">IF($AE497*$AA485*'Customer Base'!$D$26*0.8&gt;5800,"",IF($AE497*$AA485&gt;$AA501,"",IF(($AA$485*DZ$482*$AE$497)&lt;=$AA$501,((MOD($AA$501,($AA$485*DZ$482*$AE$497)))),"")))</f>
        <v/>
      </c>
      <c r="EA485" s="209" t="str">
        <f ca="1">IF($AE497*$AA485*'Customer Base'!$D$26*0.8&gt;5800,"",IF($AE497*$AA485&gt;$AA501,"",IF(($AA$485*EA$482*$AE$497)&lt;=$AA$501,((MOD($AA$501,($AA$485*EA$482*$AE$497)))),"")))</f>
        <v/>
      </c>
      <c r="EC485" s="209" cm="1">
        <f t="array" aca="1" ref="EC485" ca="1">IFERROR(LOOKUP(2,1/(AF485:EA485&lt;&gt;""),AF$482:EA$482),"")</f>
        <v>1</v>
      </c>
      <c r="ED485" s="311" cm="1">
        <f t="array" aca="1" ref="ED485" ca="1">IF(EC$474=EC485,LOOKUP(2,1/(AF485:EA485&lt;&gt;""),AF485:EA485),"")</f>
        <v>1</v>
      </c>
      <c r="EE485" s="311">
        <f ca="1">IF(ED485=ED$474,1,"")</f>
        <v>1</v>
      </c>
      <c r="EF485" s="311"/>
      <c r="EG485" s="311"/>
      <c r="EH485" s="311"/>
      <c r="EI485" s="209">
        <v>4</v>
      </c>
      <c r="EJ485" s="311" t="s">
        <v>2687</v>
      </c>
      <c r="EK485" s="209">
        <f>IFERROR(MOD(EL$495,EI485),"")</f>
        <v>0</v>
      </c>
      <c r="EL485" s="209" t="str">
        <f>IF(OR(EL489=1,EL489=""),"",IF(EK485=0,EI485,IF(AND(EK485&lt;&gt;0,EK484&lt;&gt;0,EK483&lt;&gt;0),EI485,IF(AND(EK485&lt;&gt;0,EK484&lt;&gt;0,EK483=0),EI485,""))))</f>
        <v/>
      </c>
      <c r="EM485" s="209" t="str">
        <f>IFERROR(ROUNDDOWN(EL$495/EL485,0),"")</f>
        <v/>
      </c>
      <c r="EN485" s="209" t="str">
        <f ca="1">IF($AE497*$AA485*'Customer Base'!$D$26*0.8&gt;5800,"",IF($AE497*$AA485&gt;$AA501,"",IF(($AA$485*EN$482*$AE$497)&lt;=$ED$474,((MOD($ED$474,($AA$485*EN$482*$AE$497)))),"")))</f>
        <v/>
      </c>
      <c r="EO485" s="209" t="str">
        <f ca="1">IF($AE497*$AA485*'Customer Base'!$D$26*0.8&gt;5800,"",IF($AE497*$AA485&gt;$AA501,"",IF(($AA$485*EO$482*$AE$497)&lt;=$ED$474,((MOD($ED$474,($AA$485*EO$482*$AE$497)))),"")))</f>
        <v/>
      </c>
      <c r="EP485" s="209" t="str">
        <f ca="1">IF($AE497*$AA485*'Customer Base'!$D$26*0.8&gt;5800,"",IF($AE497*$AA485&gt;$AA501,"",IF(($AA$485*EP$482*$AE$497)&lt;=$ED$474,((MOD($ED$474,($AA$485*EP$482*$AE$497)))),"")))</f>
        <v/>
      </c>
      <c r="EQ485" s="209" t="str">
        <f ca="1">IF($AE497*$AA485*'Customer Base'!$D$26*0.8&gt;5800,"",IF($AE497*$AA485&gt;$AA501,"",IF(($AA$485*EQ$482*$AE$497)&lt;=$ED$474,((MOD($ED$474,($AA$485*EQ$482*$AE$497)))),"")))</f>
        <v/>
      </c>
      <c r="ER485" s="209" t="str">
        <f ca="1">IF($AE497*$AA485*'Customer Base'!$D$26*0.8&gt;5800,"",IF($AE497*$AA485&gt;$AA501,"",IF(($AA$485*ER$482*$AE$497)&lt;=$ED$474,((MOD($ED$474,($AA$485*ER$482*$AE$497)))),"")))</f>
        <v/>
      </c>
      <c r="ES485" s="209" t="str">
        <f ca="1">IF($AE497*$AA485*'Customer Base'!$D$26*0.8&gt;5800,"",IF($AE497*$AA485&gt;$AA501,"",IF(($AA$485*ES$482*$AE$497)&lt;=$ED$474,((MOD($ED$474,($AA$485*ES$482*$AE$497)))),"")))</f>
        <v/>
      </c>
      <c r="ET485" s="209" t="str">
        <f ca="1">IF($AE497*$AA485*'Customer Base'!$D$26*0.8&gt;5800,"",IF($AE497*$AA485&gt;$AA501,"",IF(($AA$485*ET$482*$AE$497)&lt;=$ED$474,((MOD($ED$474,($AA$485*ET$482*$AE$497)))),"")))</f>
        <v/>
      </c>
      <c r="EU485" s="209" t="str">
        <f ca="1">IF($AE497*$AA485*'Customer Base'!$D$26*0.8&gt;5800,"",IF($AE497*$AA485&gt;$AA501,"",IF(($AA$485*EU$482*$AE$497)&lt;=$ED$474,((MOD($ED$474,($AA$485*EU$482*$AE$497)))),"")))</f>
        <v/>
      </c>
      <c r="EV485" s="209" t="str">
        <f ca="1">IF($AE497*$AA485*'Customer Base'!$D$26*0.8&gt;5800,"",IF($AE497*$AA485&gt;$AA501,"",IF(($AA$485*EV$482*$AE$497)&lt;=$ED$474,((MOD($ED$474,($AA$485*EV$482*$AE$497)))),"")))</f>
        <v/>
      </c>
      <c r="EW485" s="209" t="str">
        <f ca="1">IF($AE497*$AA485*'Customer Base'!$D$26*0.8&gt;5800,"",IF($AE497*$AA485&gt;$AA501,"",IF(($AA$485*EW$482*$AE$497)&lt;=$ED$474,((MOD($ED$474,($AA$485*EW$482*$AE$497)))),"")))</f>
        <v/>
      </c>
      <c r="EX485" s="209" t="str">
        <f ca="1">IF($AE497*$AA485*'Customer Base'!$D$26*0.8&gt;5800,"",IF($AE497*$AA485&gt;$AA501,"",IF(($AA$485*EX$482*$AE$497)&lt;=$ED$474,((MOD($ED$474,($AA$485*EX$482*$AE$497)))),"")))</f>
        <v/>
      </c>
      <c r="EY485" s="209" t="str">
        <f ca="1">IF($AE497*$AA485*'Customer Base'!$D$26*0.8&gt;5800,"",IF($AE497*$AA485&gt;$AA501,"",IF(($AA$485*EY$482*$AE$497)&lt;=$ED$474,((MOD($ED$474,($AA$485*EY$482*$AE$497)))),"")))</f>
        <v/>
      </c>
      <c r="EZ485" s="209" t="str">
        <f ca="1">IF($AE497*$AA485*'Customer Base'!$D$26*0.8&gt;5800,"",IF($AE497*$AA485&gt;$AA501,"",IF(($AA$485*EZ$482*$AE$497)&lt;=$ED$474,((MOD($ED$474,($AA$485*EZ$482*$AE$497)))),"")))</f>
        <v/>
      </c>
      <c r="FA485" s="209" t="str">
        <f ca="1">IF($AE497*$AA485*'Customer Base'!$D$26*0.8&gt;5800,"",IF($AE497*$AA485&gt;$AA501,"",IF(($AA$485*FA$482*$AE$497)&lt;=$ED$474,((MOD($ED$474,($AA$485*FA$482*$AE$497)))),"")))</f>
        <v/>
      </c>
      <c r="FB485" s="209" t="str">
        <f ca="1">IF($AE497*$AA485*'Customer Base'!$D$26*0.8&gt;5800,"",IF($AE497*$AA485&gt;$AA501,"",IF(($AA$485*FB$482*$AE$497)&lt;=$ED$474,((MOD($ED$474,($AA$485*FB$482*$AE$497)))),"")))</f>
        <v/>
      </c>
      <c r="FC485" s="209" t="str">
        <f ca="1">IF($AE497*$AA485*'Customer Base'!$D$26*0.8&gt;5800,"",IF($AE497*$AA485&gt;$AA501,"",IF(($AA$485*FC$482*$AE$497)&lt;=$ED$474,((MOD($ED$474,($AA$485*FC$482*$AE$497)))),"")))</f>
        <v/>
      </c>
      <c r="FD485" s="209" t="str">
        <f ca="1">IF($AE497*$AA485*'Customer Base'!$D$26*0.8&gt;5800,"",IF($AE497*$AA485&gt;$AA501,"",IF(($AA$485*FD$482*$AE$497)&lt;=$ED$474,((MOD($ED$474,($AA$485*FD$482*$AE$497)))),"")))</f>
        <v/>
      </c>
      <c r="FE485" s="209" t="str">
        <f ca="1">IF($AE497*$AA485*'Customer Base'!$D$26*0.8&gt;5800,"",IF($AE497*$AA485&gt;$AA501,"",IF(($AA$485*FE$482*$AE$497)&lt;=$ED$474,((MOD($ED$474,($AA$485*FE$482*$AE$497)))),"")))</f>
        <v/>
      </c>
      <c r="FF485" s="209" t="str">
        <f ca="1">IF($AE497*$AA485*'Customer Base'!$D$26*0.8&gt;5800,"",IF($AE497*$AA485&gt;$AA501,"",IF(($AA$485*FF$482*$AE$497)&lt;=$ED$474,((MOD($ED$474,($AA$485*FF$482*$AE$497)))),"")))</f>
        <v/>
      </c>
      <c r="FG485" s="209" t="str">
        <f ca="1">IF($AE497*$AA485*'Customer Base'!$D$26*0.8&gt;5800,"",IF($AE497*$AA485&gt;$AA501,"",IF(($AA$485*FG$482*$AE$497)&lt;=$ED$474,((MOD($ED$474,($AA$485*FG$482*$AE$497)))),"")))</f>
        <v/>
      </c>
      <c r="FH485" s="209" t="str">
        <f ca="1">IF($AE497*$AA485*'Customer Base'!$D$26*0.8&gt;5800,"",IF($AE497*$AA485&gt;$AA501,"",IF(($AA$485*FH$482*$AE$497)&lt;=$ED$474,((MOD($ED$474,($AA$485*FH$482*$AE$497)))),"")))</f>
        <v/>
      </c>
      <c r="FI485" s="209" t="str">
        <f ca="1">IF($AE497*$AA485*'Customer Base'!$D$26*0.8&gt;5800,"",IF($AE497*$AA485&gt;$AA501,"",IF(($AA$485*FI$482*$AE$497)&lt;=$ED$474,((MOD($ED$474,($AA$485*FI$482*$AE$497)))),"")))</f>
        <v/>
      </c>
      <c r="FJ485" s="209" t="str">
        <f ca="1">IF($AE497*$AA485*'Customer Base'!$D$26*0.8&gt;5800,"",IF($AE497*$AA485&gt;$AA501,"",IF(($AA$485*FJ$482*$AE$497)&lt;=$ED$474,((MOD($ED$474,($AA$485*FJ$482*$AE$497)))),"")))</f>
        <v/>
      </c>
      <c r="FK485" s="209" t="str">
        <f ca="1">IF($AE497*$AA485*'Customer Base'!$D$26*0.8&gt;5800,"",IF($AE497*$AA485&gt;$AA501,"",IF(($AA$485*FK$482*$AE$497)&lt;=$ED$474,((MOD($ED$474,($AA$485*FK$482*$AE$497)))),"")))</f>
        <v/>
      </c>
      <c r="FL485" s="209" t="str">
        <f ca="1">IF($AE497*$AA485*'Customer Base'!$D$26*0.8&gt;5800,"",IF($AE497*$AA485&gt;$AA501,"",IF(($AA$485*FL$482*$AE$497)&lt;=$ED$474,((MOD($ED$474,($AA$485*FL$482*$AE$497)))),"")))</f>
        <v/>
      </c>
      <c r="FM485" s="209" t="str">
        <f ca="1">IF($AE497*$AA485*'Customer Base'!$D$26*0.8&gt;5800,"",IF($AE497*$AA485&gt;$AA501,"",IF(($AA$485*FM$482*$AE$497)&lt;=$ED$474,((MOD($ED$474,($AA$485*FM$482*$AE$497)))),"")))</f>
        <v/>
      </c>
      <c r="FN485" s="209" t="str">
        <f ca="1">IF($AE497*$AA485*'Customer Base'!$D$26*0.8&gt;5800,"",IF($AE497*$AA485&gt;$AA501,"",IF(($AA$485*FN$482*$AE$497)&lt;=$ED$474,((MOD($ED$474,($AA$485*FN$482*$AE$497)))),"")))</f>
        <v/>
      </c>
      <c r="FO485" s="209" t="str">
        <f ca="1">IF($AE497*$AA485*'Customer Base'!$D$26*0.8&gt;5800,"",IF($AE497*$AA485&gt;$AA501,"",IF(($AA$485*FO$482*$AE$497)&lt;=$ED$474,((MOD($ED$474,($AA$485*FO$482*$AE$497)))),"")))</f>
        <v/>
      </c>
      <c r="FP485" s="209" t="str">
        <f ca="1">IF($AE497*$AA485*'Customer Base'!$D$26*0.8&gt;5800,"",IF($AE497*$AA485&gt;$AA501,"",IF(($AA$485*FP$482*$AE$497)&lt;=$ED$474,((MOD($ED$474,($AA$485*FP$482*$AE$497)))),"")))</f>
        <v/>
      </c>
      <c r="FQ485" s="209" t="str">
        <f ca="1">IF($AE497*$AA485*'Customer Base'!$D$26*0.8&gt;5800,"",IF($AE497*$AA485&gt;$AA501,"",IF(($AA$485*FQ$482*$AE$497)&lt;=$ED$474,((MOD($ED$474,($AA$485*FQ$482*$AE$497)))),"")))</f>
        <v/>
      </c>
      <c r="FR485" s="209" t="str">
        <f ca="1">IF($AE497*$AA485*'Customer Base'!$D$26*0.8&gt;5800,"",IF($AE497*$AA485&gt;$AA501,"",IF(($AA$485*FR$482*$AE$497)&lt;=$ED$474,((MOD($ED$474,($AA$485*FR$482*$AE$497)))),"")))</f>
        <v/>
      </c>
      <c r="FS485" s="209" t="str">
        <f ca="1">IF($AE497*$AA485*'Customer Base'!$D$26*0.8&gt;5800,"",IF($AE497*$AA485&gt;$AA501,"",IF(($AA$485*FS$482*$AE$497)&lt;=$ED$474,((MOD($ED$474,($AA$485*FS$482*$AE$497)))),"")))</f>
        <v/>
      </c>
      <c r="FT485" s="209" t="str">
        <f ca="1">IF($AE497*$AA485*'Customer Base'!$D$26*0.8&gt;5800,"",IF($AE497*$AA485&gt;$AA501,"",IF(($AA$485*FT$482*$AE$497)&lt;=$ED$474,((MOD($ED$474,($AA$485*FT$482*$AE$497)))),"")))</f>
        <v/>
      </c>
      <c r="FU485" s="209" t="str">
        <f ca="1">IF($AE497*$AA485*'Customer Base'!$D$26*0.8&gt;5800,"",IF($AE497*$AA485&gt;$AA501,"",IF(($AA$485*FU$482*$AE$497)&lt;=$ED$474,((MOD($ED$474,($AA$485*FU$482*$AE$497)))),"")))</f>
        <v/>
      </c>
      <c r="FV485" s="209" t="str">
        <f ca="1">IF($AE497*$AA485*'Customer Base'!$D$26*0.8&gt;5800,"",IF($AE497*$AA485&gt;$AA501,"",IF(($AA$485*FV$482*$AE$497)&lt;=$ED$474,((MOD($ED$474,($AA$485*FV$482*$AE$497)))),"")))</f>
        <v/>
      </c>
      <c r="FW485" s="209" t="str">
        <f ca="1">IF($AE497*$AA485*'Customer Base'!$D$26*0.8&gt;5800,"",IF($AE497*$AA485&gt;$AA501,"",IF(($AA$485*FW$482*$AE$497)&lt;=$ED$474,((MOD($ED$474,($AA$485*FW$482*$AE$497)))),"")))</f>
        <v/>
      </c>
      <c r="FX485" s="209" t="str">
        <f ca="1">IF($AE497*$AA485*'Customer Base'!$D$26*0.8&gt;5800,"",IF($AE497*$AA485&gt;$AA501,"",IF(($AA$485*FX$482*$AE$497)&lt;=$ED$474,((MOD($ED$474,($AA$485*FX$482*$AE$497)))),"")))</f>
        <v/>
      </c>
      <c r="FY485" s="209" t="str">
        <f ca="1">IF($AE497*$AA485*'Customer Base'!$D$26*0.8&gt;5800,"",IF($AE497*$AA485&gt;$AA501,"",IF(($AA$485*FY$482*$AE$497)&lt;=$ED$474,((MOD($ED$474,($AA$485*FY$482*$AE$497)))),"")))</f>
        <v/>
      </c>
      <c r="FZ485" s="209" t="str">
        <f ca="1">IF($AE497*$AA485*'Customer Base'!$D$26*0.8&gt;5800,"",IF($AE497*$AA485&gt;$AA501,"",IF(($AA$485*FZ$482*$AE$497)&lt;=$ED$474,((MOD($ED$474,($AA$485*FZ$482*$AE$497)))),"")))</f>
        <v/>
      </c>
      <c r="GA485" s="209" t="str">
        <f ca="1">IF($AE497*$AA485*'Customer Base'!$D$26*0.8&gt;5800,"",IF($AE497*$AA485&gt;$AA501,"",IF(($AA$485*GA$482*$AE$497)&lt;=$ED$474,((MOD($ED$474,($AA$485*GA$482*$AE$497)))),"")))</f>
        <v/>
      </c>
      <c r="GB485" s="209" t="str">
        <f ca="1">IF($AE497*$AA485*'Customer Base'!$D$26*0.8&gt;5800,"",IF($AE497*$AA485&gt;$AA501,"",IF(($AA$485*GB$482*$AE$497)&lt;=$ED$474,((MOD($ED$474,($AA$485*GB$482*$AE$497)))),"")))</f>
        <v/>
      </c>
      <c r="GC485" s="209" t="str">
        <f ca="1">IF($AE497*$AA485*'Customer Base'!$D$26*0.8&gt;5800,"",IF($AE497*$AA485&gt;$AA501,"",IF(($AA$485*GC$482*$AE$497)&lt;=$ED$474,((MOD($ED$474,($AA$485*GC$482*$AE$497)))),"")))</f>
        <v/>
      </c>
      <c r="GD485" s="209" t="str">
        <f ca="1">IF($AE497*$AA485*'Customer Base'!$D$26*0.8&gt;5800,"",IF($AE497*$AA485&gt;$AA501,"",IF(($AA$485*GD$482*$AE$497)&lt;=$ED$474,((MOD($ED$474,($AA$485*GD$482*$AE$497)))),"")))</f>
        <v/>
      </c>
      <c r="GE485" s="209" t="str">
        <f ca="1">IF($AE497*$AA485*'Customer Base'!$D$26*0.8&gt;5800,"",IF($AE497*$AA485&gt;$AA501,"",IF(($AA$485*GE$482*$AE$497)&lt;=$ED$474,((MOD($ED$474,($AA$485*GE$482*$AE$497)))),"")))</f>
        <v/>
      </c>
      <c r="GF485" s="209" t="str">
        <f ca="1">IF($AE497*$AA485*'Customer Base'!$D$26*0.8&gt;5800,"",IF($AE497*$AA485&gt;$AA501,"",IF(($AA$485*GF$482*$AE$497)&lt;=$ED$474,((MOD($ED$474,($AA$485*GF$482*$AE$497)))),"")))</f>
        <v/>
      </c>
      <c r="GG485" s="209" t="str">
        <f ca="1">IF($AE497*$AA485*'Customer Base'!$D$26*0.8&gt;5800,"",IF($AE497*$AA485&gt;$AA501,"",IF(($AA$485*GG$482*$AE$497)&lt;=$ED$474,((MOD($ED$474,($AA$485*GG$482*$AE$497)))),"")))</f>
        <v/>
      </c>
      <c r="GH485" s="209" t="str">
        <f ca="1">IF($AE497*$AA485*'Customer Base'!$D$26*0.8&gt;5800,"",IF($AE497*$AA485&gt;$AA501,"",IF(($AA$485*GH$482*$AE$497)&lt;=$ED$474,((MOD($ED$474,($AA$485*GH$482*$AE$497)))),"")))</f>
        <v/>
      </c>
      <c r="GI485" s="209" t="str">
        <f ca="1">IF($AE497*$AA485*'Customer Base'!$D$26*0.8&gt;5800,"",IF($AE497*$AA485&gt;$AA501,"",IF(($AA$485*GI$482*$AE$497)&lt;=$ED$474,((MOD($ED$474,($AA$485*GI$482*$AE$497)))),"")))</f>
        <v/>
      </c>
      <c r="GJ485" s="209" t="str">
        <f ca="1">IF($AE497*$AA485*'Customer Base'!$D$26*0.8&gt;5800,"",IF($AE497*$AA485&gt;$AA501,"",IF(($AA$485*GJ$482*$AE$497)&lt;=$ED$474,((MOD($ED$474,($AA$485*GJ$482*$AE$497)))),"")))</f>
        <v/>
      </c>
      <c r="GK485" s="209" t="str">
        <f ca="1">IF($AE497*$AA485*'Customer Base'!$D$26*0.8&gt;5800,"",IF($AE497*$AA485&gt;$AA501,"",IF(($AA$485*GK$482*$AE$497)&lt;=$ED$474,((MOD($ED$474,($AA$485*GK$482*$AE$497)))),"")))</f>
        <v/>
      </c>
      <c r="GL485" s="209" t="str">
        <f ca="1">IF($AE497*$AA485*'Customer Base'!$D$26*0.8&gt;5800,"",IF($AE497*$AA485&gt;$AA501,"",IF(($AA$485*GL$482*$AE$497)&lt;=$ED$474,((MOD($ED$474,($AA$485*GL$482*$AE$497)))),"")))</f>
        <v/>
      </c>
      <c r="GM485" s="209" t="str">
        <f ca="1">IF($AE497*$AA485*'Customer Base'!$D$26*0.8&gt;5800,"",IF($AE497*$AA485&gt;$AA501,"",IF(($AA$485*GM$482*$AE$497)&lt;=$ED$474,((MOD($ED$474,($AA$485*GM$482*$AE$497)))),"")))</f>
        <v/>
      </c>
      <c r="GN485" s="209" t="str">
        <f ca="1">IF($AE497*$AA485*'Customer Base'!$D$26*0.8&gt;5800,"",IF($AE497*$AA485&gt;$AA501,"",IF(($AA$485*GN$482*$AE$497)&lt;=$ED$474,((MOD($ED$474,($AA$485*GN$482*$AE$497)))),"")))</f>
        <v/>
      </c>
      <c r="GO485" s="209" t="str">
        <f ca="1">IF($AE497*$AA485*'Customer Base'!$D$26*0.8&gt;5800,"",IF($AE497*$AA485&gt;$AA501,"",IF(($AA$485*GO$482*$AE$497)&lt;=$ED$474,((MOD($ED$474,($AA$485*GO$482*$AE$497)))),"")))</f>
        <v/>
      </c>
      <c r="GP485" s="209" t="str">
        <f ca="1">IF($AE497*$AA485*'Customer Base'!$D$26*0.8&gt;5800,"",IF($AE497*$AA485&gt;$AA501,"",IF(($AA$485*GP$482*$AE$497)&lt;=$ED$474,((MOD($ED$474,($AA$485*GP$482*$AE$497)))),"")))</f>
        <v/>
      </c>
      <c r="GQ485" s="209" t="str">
        <f ca="1">IF($AE497*$AA485*'Customer Base'!$D$26*0.8&gt;5800,"",IF($AE497*$AA485&gt;$AA501,"",IF(($AA$485*GQ$482*$AE$497)&lt;=$ED$474,((MOD($ED$474,($AA$485*GQ$482*$AE$497)))),"")))</f>
        <v/>
      </c>
      <c r="GR485" s="209" t="str">
        <f ca="1">IF($AE497*$AA485*'Customer Base'!$D$26*0.8&gt;5800,"",IF($AE497*$AA485&gt;$AA501,"",IF(($AA$485*GR$482*$AE$497)&lt;=$ED$474,((MOD($ED$474,($AA$485*GR$482*$AE$497)))),"")))</f>
        <v/>
      </c>
      <c r="GS485" s="209" t="str">
        <f ca="1">IF($AE497*$AA485*'Customer Base'!$D$26*0.8&gt;5800,"",IF($AE497*$AA485&gt;$AA501,"",IF(($AA$485*GS$482*$AE$497)&lt;=$ED$474,((MOD($ED$474,($AA$485*GS$482*$AE$497)))),"")))</f>
        <v/>
      </c>
      <c r="GT485" s="209" t="str">
        <f ca="1">IF($AE497*$AA485*'Customer Base'!$D$26*0.8&gt;5800,"",IF($AE497*$AA485&gt;$AA501,"",IF(($AA$485*GT$482*$AE$497)&lt;=$ED$474,((MOD($ED$474,($AA$485*GT$482*$AE$497)))),"")))</f>
        <v/>
      </c>
      <c r="GU485" s="209" t="str">
        <f ca="1">IF($AE497*$AA485*'Customer Base'!$D$26*0.8&gt;5800,"",IF($AE497*$AA485&gt;$AA501,"",IF(($AA$485*GU$482*$AE$497)&lt;=$ED$474,((MOD($ED$474,($AA$485*GU$482*$AE$497)))),"")))</f>
        <v/>
      </c>
      <c r="GV485" s="209" t="str">
        <f ca="1">IF($AE497*$AA485*'Customer Base'!$D$26*0.8&gt;5800,"",IF($AE497*$AA485&gt;$AA501,"",IF(($AA$485*GV$482*$AE$497)&lt;=$ED$474,((MOD($ED$474,($AA$485*GV$482*$AE$497)))),"")))</f>
        <v/>
      </c>
      <c r="GW485" s="209" t="str">
        <f ca="1">IF($AE497*$AA485*'Customer Base'!$D$26*0.8&gt;5800,"",IF($AE497*$AA485&gt;$AA501,"",IF(($AA$485*GW$482*$AE$497)&lt;=$ED$474,((MOD($ED$474,($AA$485*GW$482*$AE$497)))),"")))</f>
        <v/>
      </c>
      <c r="GX485" s="209" t="str">
        <f ca="1">IF($AE497*$AA485*'Customer Base'!$D$26*0.8&gt;5800,"",IF($AE497*$AA485&gt;$AA501,"",IF(($AA$485*GX$482*$AE$497)&lt;=$ED$474,((MOD($ED$474,($AA$485*GX$482*$AE$497)))),"")))</f>
        <v/>
      </c>
      <c r="GY485" s="209" t="str">
        <f ca="1">IF($AE497*$AA485*'Customer Base'!$D$26*0.8&gt;5800,"",IF($AE497*$AA485&gt;$AA501,"",IF(($AA$485*GY$482*$AE$497)&lt;=$ED$474,((MOD($ED$474,($AA$485*GY$482*$AE$497)))),"")))</f>
        <v/>
      </c>
      <c r="GZ485" s="209" t="str">
        <f ca="1">IF($AE497*$AA485*'Customer Base'!$D$26*0.8&gt;5800,"",IF($AE497*$AA485&gt;$AA501,"",IF(($AA$485*GZ$482*$AE$497)&lt;=$ED$474,((MOD($ED$474,($AA$485*GZ$482*$AE$497)))),"")))</f>
        <v/>
      </c>
      <c r="HA485" s="209" t="str">
        <f ca="1">IF($AE497*$AA485*'Customer Base'!$D$26*0.8&gt;5800,"",IF($AE497*$AA485&gt;$AA501,"",IF(($AA$485*HA$482*$AE$497)&lt;=$ED$474,((MOD($ED$474,($AA$485*HA$482*$AE$497)))),"")))</f>
        <v/>
      </c>
      <c r="HB485" s="209" t="str">
        <f ca="1">IF($AE497*$AA485*'Customer Base'!$D$26*0.8&gt;5800,"",IF($AE497*$AA485&gt;$AA501,"",IF(($AA$485*HB$482*$AE$497)&lt;=$ED$474,((MOD($ED$474,($AA$485*HB$482*$AE$497)))),"")))</f>
        <v/>
      </c>
      <c r="HC485" s="209" t="str">
        <f ca="1">IF($AE497*$AA485*'Customer Base'!$D$26*0.8&gt;5800,"",IF($AE497*$AA485&gt;$AA501,"",IF(($AA$485*HC$482*$AE$497)&lt;=$ED$474,((MOD($ED$474,($AA$485*HC$482*$AE$497)))),"")))</f>
        <v/>
      </c>
      <c r="HD485" s="209" t="str">
        <f ca="1">IF($AE497*$AA485*'Customer Base'!$D$26*0.8&gt;5800,"",IF($AE497*$AA485&gt;$AA501,"",IF(($AA$485*HD$482*$AE$497)&lt;=$ED$474,((MOD($ED$474,($AA$485*HD$482*$AE$497)))),"")))</f>
        <v/>
      </c>
      <c r="HE485" s="209" t="str">
        <f ca="1">IF($AE497*$AA485*'Customer Base'!$D$26*0.8&gt;5800,"",IF($AE497*$AA485&gt;$AA501,"",IF(($AA$485*HE$482*$AE$497)&lt;=$ED$474,((MOD($ED$474,($AA$485*HE$482*$AE$497)))),"")))</f>
        <v/>
      </c>
      <c r="HF485" s="209" t="str">
        <f ca="1">IF($AE497*$AA485*'Customer Base'!$D$26*0.8&gt;5800,"",IF($AE497*$AA485&gt;$AA501,"",IF(($AA$485*HF$482*$AE$497)&lt;=$ED$474,((MOD($ED$474,($AA$485*HF$482*$AE$497)))),"")))</f>
        <v/>
      </c>
      <c r="HG485" s="209" t="str">
        <f ca="1">IF($AE497*$AA485*'Customer Base'!$D$26*0.8&gt;5800,"",IF($AE497*$AA485&gt;$AA501,"",IF(($AA$485*HG$482*$AE$497)&lt;=$ED$474,((MOD($ED$474,($AA$485*HG$482*$AE$497)))),"")))</f>
        <v/>
      </c>
      <c r="HH485" s="209" t="str">
        <f ca="1">IF($AE497*$AA485*'Customer Base'!$D$26*0.8&gt;5800,"",IF($AE497*$AA485&gt;$AA501,"",IF(($AA$485*HH$482*$AE$497)&lt;=$ED$474,((MOD($ED$474,($AA$485*HH$482*$AE$497)))),"")))</f>
        <v/>
      </c>
      <c r="HI485" s="209" t="str">
        <f ca="1">IF($AE497*$AA485*'Customer Base'!$D$26*0.8&gt;5800,"",IF($AE497*$AA485&gt;$AA501,"",IF(($AA$485*HI$482*$AE$497)&lt;=$ED$474,((MOD($ED$474,($AA$485*HI$482*$AE$497)))),"")))</f>
        <v/>
      </c>
      <c r="HJ485" s="209" t="str">
        <f ca="1">IF($AE497*$AA485*'Customer Base'!$D$26*0.8&gt;5800,"",IF($AE497*$AA485&gt;$AA501,"",IF(($AA$485*HJ$482*$AE$497)&lt;=$ED$474,((MOD($ED$474,($AA$485*HJ$482*$AE$497)))),"")))</f>
        <v/>
      </c>
      <c r="HK485" s="209" t="str">
        <f ca="1">IF($AE497*$AA485*'Customer Base'!$D$26*0.8&gt;5800,"",IF($AE497*$AA485&gt;$AA501,"",IF(($AA$485*HK$482*$AE$497)&lt;=$ED$474,((MOD($ED$474,($AA$485*HK$482*$AE$497)))),"")))</f>
        <v/>
      </c>
      <c r="HL485" s="209" t="str">
        <f ca="1">IF($AE497*$AA485*'Customer Base'!$D$26*0.8&gt;5800,"",IF($AE497*$AA485&gt;$AA501,"",IF(($AA$485*HL$482*$AE$497)&lt;=$ED$474,((MOD($ED$474,($AA$485*HL$482*$AE$497)))),"")))</f>
        <v/>
      </c>
      <c r="HM485" s="209" t="str">
        <f ca="1">IF($AE497*$AA485*'Customer Base'!$D$26*0.8&gt;5800,"",IF($AE497*$AA485&gt;$AA501,"",IF(($AA$485*HM$482*$AE$497)&lt;=$ED$474,((MOD($ED$474,($AA$485*HM$482*$AE$497)))),"")))</f>
        <v/>
      </c>
      <c r="HN485" s="209" t="str">
        <f ca="1">IF($AE497*$AA485*'Customer Base'!$D$26*0.8&gt;5800,"",IF($AE497*$AA485&gt;$AA501,"",IF(($AA$485*HN$482*$AE$497)&lt;=$ED$474,((MOD($ED$474,($AA$485*HN$482*$AE$497)))),"")))</f>
        <v/>
      </c>
      <c r="HO485" s="209" t="str">
        <f ca="1">IF($AE497*$AA485*'Customer Base'!$D$26*0.8&gt;5800,"",IF($AE497*$AA485&gt;$AA501,"",IF(($AA$485*HO$482*$AE$497)&lt;=$ED$474,((MOD($ED$474,($AA$485*HO$482*$AE$497)))),"")))</f>
        <v/>
      </c>
      <c r="HP485" s="209" t="str">
        <f ca="1">IF($AE497*$AA485*'Customer Base'!$D$26*0.8&gt;5800,"",IF($AE497*$AA485&gt;$AA501,"",IF(($AA$485*HP$482*$AE$497)&lt;=$ED$474,((MOD($ED$474,($AA$485*HP$482*$AE$497)))),"")))</f>
        <v/>
      </c>
      <c r="HQ485" s="209" t="str">
        <f ca="1">IF($AE497*$AA485*'Customer Base'!$D$26*0.8&gt;5800,"",IF($AE497*$AA485&gt;$AA501,"",IF(($AA$485*HQ$482*$AE$497)&lt;=$ED$474,((MOD($ED$474,($AA$485*HQ$482*$AE$497)))),"")))</f>
        <v/>
      </c>
      <c r="HR485" s="209" t="str">
        <f ca="1">IF($AE497*$AA485*'Customer Base'!$D$26*0.8&gt;5800,"",IF($AE497*$AA485&gt;$AA501,"",IF(($AA$485*HR$482*$AE$497)&lt;=$ED$474,((MOD($ED$474,($AA$485*HR$482*$AE$497)))),"")))</f>
        <v/>
      </c>
      <c r="HS485" s="209" t="str">
        <f ca="1">IF($AE497*$AA485*'Customer Base'!$D$26*0.8&gt;5800,"",IF($AE497*$AA485&gt;$AA501,"",IF(($AA$485*HS$482*$AE$497)&lt;=$ED$474,((MOD($ED$474,($AA$485*HS$482*$AE$497)))),"")))</f>
        <v/>
      </c>
      <c r="HT485" s="209" t="str">
        <f ca="1">IF($AE497*$AA485*'Customer Base'!$D$26*0.8&gt;5800,"",IF($AE497*$AA485&gt;$AA501,"",IF(($AA$485*HT$482*$AE$497)&lt;=$ED$474,((MOD($ED$474,($AA$485*HT$482*$AE$497)))),"")))</f>
        <v/>
      </c>
      <c r="HU485" s="209" t="str">
        <f ca="1">IF($AE497*$AA485*'Customer Base'!$D$26*0.8&gt;5800,"",IF($AE497*$AA485&gt;$AA501,"",IF(($AA$485*HU$482*$AE$497)&lt;=$ED$474,((MOD($ED$474,($AA$485*HU$482*$AE$497)))),"")))</f>
        <v/>
      </c>
      <c r="HV485" s="209" t="str">
        <f ca="1">IF($AE497*$AA485*'Customer Base'!$D$26*0.8&gt;5800,"",IF($AE497*$AA485&gt;$AA501,"",IF(($AA$485*HV$482*$AE$497)&lt;=$ED$474,((MOD($ED$474,($AA$485*HV$482*$AE$497)))),"")))</f>
        <v/>
      </c>
      <c r="HW485" s="209" t="str">
        <f ca="1">IF($AE497*$AA485*'Customer Base'!$D$26*0.8&gt;5800,"",IF($AE497*$AA485&gt;$AA501,"",IF(($AA$485*HW$482*$AE$497)&lt;=$ED$474,((MOD($ED$474,($AA$485*HW$482*$AE$497)))),"")))</f>
        <v/>
      </c>
      <c r="HX485" s="209" t="str">
        <f ca="1">IF($AE497*$AA485*'Customer Base'!$D$26*0.8&gt;5800,"",IF($AE497*$AA485&gt;$AA501,"",IF(($AA$485*HX$482*$AE$497)&lt;=$ED$474,((MOD($ED$474,($AA$485*HX$482*$AE$497)))),"")))</f>
        <v/>
      </c>
      <c r="HY485" s="209" t="str">
        <f ca="1">IF($AE497*$AA485*'Customer Base'!$D$26*0.8&gt;5800,"",IF($AE497*$AA485&gt;$AA501,"",IF(($AA$485*HY$482*$AE$497)&lt;=$ED$474,((MOD($ED$474,($AA$485*HY$482*$AE$497)))),"")))</f>
        <v/>
      </c>
      <c r="HZ485" s="209" t="str">
        <f ca="1">IF($AE497*$AA485*'Customer Base'!$D$26*0.8&gt;5800,"",IF($AE497*$AA485&gt;$AA501,"",IF(($AA$485*HZ$482*$AE$497)&lt;=$ED$474,((MOD($ED$474,($AA$485*HZ$482*$AE$497)))),"")))</f>
        <v/>
      </c>
      <c r="IA485" s="209" t="str">
        <f ca="1">IF($AE497*$AA485*'Customer Base'!$D$26*0.8&gt;5800,"",IF($AE497*$AA485&gt;$AA501,"",IF(($AA$485*IA$482*$AE$497)&lt;=$ED$474,((MOD($ED$474,($AA$485*IA$482*$AE$497)))),"")))</f>
        <v/>
      </c>
      <c r="IB485" s="209" t="str">
        <f ca="1">IF($AE497*$AA485*'Customer Base'!$D$26*0.8&gt;5800,"",IF($AE497*$AA485&gt;$AA501,"",IF(($AA$485*IB$482*$AE$497)&lt;=$ED$474,((MOD($ED$474,($AA$485*IB$482*$AE$497)))),"")))</f>
        <v/>
      </c>
      <c r="IC485" s="209" t="str">
        <f ca="1">IF($AE497*$AA485*'Customer Base'!$D$26*0.8&gt;5800,"",IF($AE497*$AA485&gt;$AA501,"",IF(($AA$485*IC$482*$AE$497)&lt;=$ED$474,((MOD($ED$474,($AA$485*IC$482*$AE$497)))),"")))</f>
        <v/>
      </c>
      <c r="ID485" s="209" t="str">
        <f ca="1">IF($AE497*$AA485*'Customer Base'!$D$26*0.8&gt;5800,"",IF($AE497*$AA485&gt;$AA501,"",IF(($AA$485*ID$482*$AE$497)&lt;=$ED$474,((MOD($ED$474,($AA$485*ID$482*$AE$497)))),"")))</f>
        <v/>
      </c>
      <c r="IE485" s="209" t="str">
        <f ca="1">IF($AE497*$AA485*'Customer Base'!$D$26*0.8&gt;5800,"",IF($AE497*$AA485&gt;$AA501,"",IF(($AA$485*IE$482*$AE$497)&lt;=$ED$474,((MOD($ED$474,($AA$485*IE$482*$AE$497)))),"")))</f>
        <v/>
      </c>
      <c r="IF485" s="209" t="str">
        <f ca="1">IF($AE497*$AA485*'Customer Base'!$D$26*0.8&gt;5800,"",IF($AE497*$AA485&gt;$AA501,"",IF(($AA$485*IF$482*$AE$497)&lt;=$ED$474,((MOD($ED$474,($AA$485*IF$482*$AE$497)))),"")))</f>
        <v/>
      </c>
      <c r="IG485" s="209" t="str">
        <f ca="1">IF($AE497*$AA485*'Customer Base'!$D$26*0.8&gt;5800,"",IF($AE497*$AA485&gt;$AA501,"",IF(($AA$485*IG$482*$AE$497)&lt;=$ED$474,((MOD($ED$474,($AA$485*IG$482*$AE$497)))),"")))</f>
        <v/>
      </c>
      <c r="IH485" s="209" t="str">
        <f ca="1">IF($AE497*$AA485*'Customer Base'!$D$26*0.8&gt;5800,"",IF($AE497*$AA485&gt;$AA501,"",IF(($AA$485*IH$482*$AE$497)&lt;=$ED$474,((MOD($ED$474,($AA$485*IH$482*$AE$497)))),"")))</f>
        <v/>
      </c>
      <c r="II485" s="209" t="str">
        <f ca="1">IF($AE497*$AA485*'Customer Base'!$D$26*0.8&gt;5800,"",IF($AE497*$AA485&gt;$AA501,"",IF(($AA$485*II$482*$AE$497)&lt;=$ED$474,((MOD($ED$474,($AA$485*II$482*$AE$497)))),"")))</f>
        <v/>
      </c>
      <c r="IK485" s="209" t="str" cm="1">
        <f t="array" aca="1" ref="IK485" ca="1">IFERROR(LOOKUP(2,1/(EN485:II485&lt;&gt;""),EN$482:II$482),"")</f>
        <v/>
      </c>
      <c r="IL485" s="311" t="str" cm="1">
        <f t="array" aca="1" ref="IL485" ca="1">IF(IK$474=IK485,LOOKUP(2,1/(EN485:II485&lt;&gt;""),EN485:II485),"")</f>
        <v/>
      </c>
      <c r="IM485" s="311" t="str">
        <f ca="1">IF(IL485=IL$474,1,"")</f>
        <v/>
      </c>
      <c r="IN485" s="311"/>
    </row>
    <row r="486" spans="2:248" ht="17" customHeight="1">
      <c r="B486" s="206" t="s">
        <v>1349</v>
      </c>
      <c r="C486" s="207" t="s">
        <v>389</v>
      </c>
      <c r="D486" s="207" t="s">
        <v>954</v>
      </c>
      <c r="E486" s="210" t="s">
        <v>1350</v>
      </c>
      <c r="F486" s="102" t="str">
        <f t="shared" si="15"/>
        <v>E</v>
      </c>
      <c r="EE486" s="311"/>
      <c r="EF486" s="311"/>
      <c r="EG486" s="311"/>
      <c r="EH486" s="311"/>
      <c r="IM486" s="311"/>
      <c r="IN486" s="311"/>
    </row>
    <row r="487" spans="2:248" ht="17">
      <c r="B487" s="206" t="s">
        <v>1351</v>
      </c>
      <c r="C487" s="207" t="s">
        <v>51</v>
      </c>
      <c r="D487" s="207" t="s">
        <v>51</v>
      </c>
      <c r="E487" s="210" t="s">
        <v>1328</v>
      </c>
      <c r="F487" s="102" t="str">
        <f t="shared" si="15"/>
        <v>T-FH</v>
      </c>
      <c r="EE487" s="311"/>
      <c r="EF487" s="311"/>
      <c r="EG487" s="311"/>
      <c r="EH487" s="311"/>
      <c r="IM487" s="311"/>
      <c r="IN487" s="311"/>
    </row>
    <row r="488" spans="2:248" ht="17">
      <c r="B488" s="206" t="s">
        <v>1352</v>
      </c>
      <c r="C488" s="207" t="s">
        <v>51</v>
      </c>
      <c r="D488" s="207" t="s">
        <v>51</v>
      </c>
      <c r="E488" s="210" t="s">
        <v>1328</v>
      </c>
      <c r="F488" s="102" t="str">
        <f t="shared" si="15"/>
        <v>T-FH</v>
      </c>
      <c r="Z488" s="209" t="s">
        <v>2694</v>
      </c>
      <c r="AB488" s="209" t="s">
        <v>2689</v>
      </c>
      <c r="AC488" s="209" t="s">
        <v>2692</v>
      </c>
      <c r="AD488" s="209" t="s">
        <v>2688</v>
      </c>
      <c r="AE488" s="209" t="s">
        <v>799</v>
      </c>
      <c r="AF488" s="209">
        <v>1</v>
      </c>
      <c r="AG488" s="209">
        <v>2</v>
      </c>
      <c r="AH488" s="209">
        <v>3</v>
      </c>
      <c r="AI488" s="209">
        <v>4</v>
      </c>
      <c r="AJ488" s="209">
        <v>5</v>
      </c>
      <c r="AK488" s="209">
        <v>6</v>
      </c>
      <c r="AL488" s="209">
        <v>7</v>
      </c>
      <c r="AM488" s="209">
        <v>8</v>
      </c>
      <c r="AN488" s="209">
        <v>9</v>
      </c>
      <c r="AO488" s="209">
        <v>10</v>
      </c>
      <c r="AP488" s="209">
        <v>11</v>
      </c>
      <c r="AQ488" s="209">
        <v>12</v>
      </c>
      <c r="AR488" s="209">
        <v>13</v>
      </c>
      <c r="AS488" s="209">
        <v>14</v>
      </c>
      <c r="AT488" s="209">
        <v>15</v>
      </c>
      <c r="AU488" s="209">
        <v>16</v>
      </c>
      <c r="AV488" s="209">
        <v>17</v>
      </c>
      <c r="AW488" s="209">
        <v>18</v>
      </c>
      <c r="AX488" s="209">
        <v>19</v>
      </c>
      <c r="AY488" s="209">
        <v>20</v>
      </c>
      <c r="AZ488" s="209">
        <v>21</v>
      </c>
      <c r="BA488" s="209">
        <v>22</v>
      </c>
      <c r="BB488" s="209">
        <v>23</v>
      </c>
      <c r="BC488" s="209">
        <v>24</v>
      </c>
      <c r="BD488" s="209">
        <v>25</v>
      </c>
      <c r="BE488" s="209">
        <v>26</v>
      </c>
      <c r="BF488" s="209">
        <v>27</v>
      </c>
      <c r="BG488" s="209">
        <v>28</v>
      </c>
      <c r="BH488" s="209">
        <v>29</v>
      </c>
      <c r="BI488" s="209">
        <v>30</v>
      </c>
      <c r="BJ488" s="209">
        <v>31</v>
      </c>
      <c r="BK488" s="209">
        <v>32</v>
      </c>
      <c r="BL488" s="209">
        <v>33</v>
      </c>
      <c r="BM488" s="209">
        <v>34</v>
      </c>
      <c r="BN488" s="209">
        <v>35</v>
      </c>
      <c r="BO488" s="209">
        <v>36</v>
      </c>
      <c r="BP488" s="209">
        <v>37</v>
      </c>
      <c r="BQ488" s="209">
        <v>38</v>
      </c>
      <c r="BR488" s="209">
        <v>39</v>
      </c>
      <c r="BS488" s="209">
        <v>40</v>
      </c>
      <c r="BT488" s="209">
        <v>41</v>
      </c>
      <c r="BU488" s="209">
        <v>42</v>
      </c>
      <c r="BV488" s="209">
        <v>43</v>
      </c>
      <c r="BW488" s="209">
        <v>44</v>
      </c>
      <c r="BX488" s="209">
        <v>45</v>
      </c>
      <c r="BY488" s="209">
        <v>46</v>
      </c>
      <c r="BZ488" s="209">
        <v>47</v>
      </c>
      <c r="CA488" s="209">
        <v>48</v>
      </c>
      <c r="CB488" s="209">
        <v>49</v>
      </c>
      <c r="CC488" s="209">
        <v>50</v>
      </c>
      <c r="CD488" s="209">
        <v>51</v>
      </c>
      <c r="CE488" s="209">
        <v>52</v>
      </c>
      <c r="CF488" s="209">
        <v>53</v>
      </c>
      <c r="CG488" s="209">
        <v>54</v>
      </c>
      <c r="CH488" s="209">
        <v>55</v>
      </c>
      <c r="CI488" s="209">
        <v>56</v>
      </c>
      <c r="CJ488" s="209">
        <v>57</v>
      </c>
      <c r="CK488" s="209">
        <v>58</v>
      </c>
      <c r="CL488" s="209">
        <v>59</v>
      </c>
      <c r="CM488" s="209">
        <v>60</v>
      </c>
      <c r="CN488" s="209">
        <v>61</v>
      </c>
      <c r="CO488" s="209">
        <v>62</v>
      </c>
      <c r="CP488" s="209">
        <v>63</v>
      </c>
      <c r="CQ488" s="209">
        <v>64</v>
      </c>
      <c r="CR488" s="209">
        <v>65</v>
      </c>
      <c r="CS488" s="209">
        <v>66</v>
      </c>
      <c r="CT488" s="209">
        <v>67</v>
      </c>
      <c r="CU488" s="209">
        <v>68</v>
      </c>
      <c r="CV488" s="209">
        <v>69</v>
      </c>
      <c r="CW488" s="209">
        <v>70</v>
      </c>
      <c r="CX488" s="209">
        <v>71</v>
      </c>
      <c r="CY488" s="209">
        <v>72</v>
      </c>
      <c r="CZ488" s="209">
        <v>73</v>
      </c>
      <c r="DA488" s="209">
        <v>74</v>
      </c>
      <c r="DB488" s="209">
        <v>75</v>
      </c>
      <c r="DC488" s="209">
        <v>76</v>
      </c>
      <c r="DD488" s="209">
        <v>77</v>
      </c>
      <c r="DE488" s="209">
        <v>78</v>
      </c>
      <c r="DF488" s="209">
        <v>79</v>
      </c>
      <c r="DG488" s="209">
        <v>80</v>
      </c>
      <c r="DH488" s="209">
        <v>81</v>
      </c>
      <c r="DI488" s="209">
        <v>82</v>
      </c>
      <c r="DJ488" s="209">
        <v>83</v>
      </c>
      <c r="DK488" s="209">
        <v>84</v>
      </c>
      <c r="DL488" s="209">
        <v>85</v>
      </c>
      <c r="DM488" s="209">
        <v>86</v>
      </c>
      <c r="DN488" s="209">
        <v>87</v>
      </c>
      <c r="DO488" s="209">
        <v>88</v>
      </c>
      <c r="DP488" s="209">
        <v>89</v>
      </c>
      <c r="DQ488" s="209">
        <v>90</v>
      </c>
      <c r="DR488" s="209">
        <v>91</v>
      </c>
      <c r="DS488" s="209">
        <v>92</v>
      </c>
      <c r="DT488" s="209">
        <v>93</v>
      </c>
      <c r="DU488" s="209">
        <v>94</v>
      </c>
      <c r="DV488" s="209">
        <v>95</v>
      </c>
      <c r="DW488" s="209">
        <v>96</v>
      </c>
      <c r="DX488" s="209">
        <v>97</v>
      </c>
      <c r="DY488" s="209">
        <v>98</v>
      </c>
      <c r="DZ488" s="209">
        <v>99</v>
      </c>
      <c r="EA488" s="209">
        <v>100</v>
      </c>
      <c r="EE488" s="311"/>
      <c r="EF488" s="311"/>
      <c r="EG488" s="311"/>
      <c r="EH488" s="311"/>
      <c r="EJ488" s="209" t="s">
        <v>2689</v>
      </c>
      <c r="EK488" s="209" t="s">
        <v>2692</v>
      </c>
      <c r="EL488" s="209" t="s">
        <v>2688</v>
      </c>
      <c r="EM488" s="209" t="s">
        <v>799</v>
      </c>
      <c r="EN488" s="209">
        <v>1</v>
      </c>
      <c r="EO488" s="209">
        <v>2</v>
      </c>
      <c r="EP488" s="209">
        <v>3</v>
      </c>
      <c r="EQ488" s="209">
        <v>4</v>
      </c>
      <c r="ER488" s="209">
        <v>5</v>
      </c>
      <c r="ES488" s="209">
        <v>6</v>
      </c>
      <c r="ET488" s="209">
        <v>7</v>
      </c>
      <c r="EU488" s="209">
        <v>8</v>
      </c>
      <c r="EV488" s="209">
        <v>9</v>
      </c>
      <c r="EW488" s="209">
        <v>10</v>
      </c>
      <c r="EX488" s="209">
        <v>11</v>
      </c>
      <c r="EY488" s="209">
        <v>12</v>
      </c>
      <c r="EZ488" s="209">
        <v>13</v>
      </c>
      <c r="FA488" s="209">
        <v>14</v>
      </c>
      <c r="FB488" s="209">
        <v>15</v>
      </c>
      <c r="FC488" s="209">
        <v>16</v>
      </c>
      <c r="FD488" s="209">
        <v>17</v>
      </c>
      <c r="FE488" s="209">
        <v>18</v>
      </c>
      <c r="FF488" s="209">
        <v>19</v>
      </c>
      <c r="FG488" s="209">
        <v>20</v>
      </c>
      <c r="FH488" s="209">
        <v>21</v>
      </c>
      <c r="FI488" s="209">
        <v>22</v>
      </c>
      <c r="FJ488" s="209">
        <v>23</v>
      </c>
      <c r="FK488" s="209">
        <v>24</v>
      </c>
      <c r="FL488" s="209">
        <v>25</v>
      </c>
      <c r="FM488" s="209">
        <v>26</v>
      </c>
      <c r="FN488" s="209">
        <v>27</v>
      </c>
      <c r="FO488" s="209">
        <v>28</v>
      </c>
      <c r="FP488" s="209">
        <v>29</v>
      </c>
      <c r="FQ488" s="209">
        <v>30</v>
      </c>
      <c r="FR488" s="209">
        <v>31</v>
      </c>
      <c r="FS488" s="209">
        <v>32</v>
      </c>
      <c r="FT488" s="209">
        <v>33</v>
      </c>
      <c r="FU488" s="209">
        <v>34</v>
      </c>
      <c r="FV488" s="209">
        <v>35</v>
      </c>
      <c r="FW488" s="209">
        <v>36</v>
      </c>
      <c r="FX488" s="209">
        <v>37</v>
      </c>
      <c r="FY488" s="209">
        <v>38</v>
      </c>
      <c r="FZ488" s="209">
        <v>39</v>
      </c>
      <c r="GA488" s="209">
        <v>40</v>
      </c>
      <c r="GB488" s="209">
        <v>41</v>
      </c>
      <c r="GC488" s="209">
        <v>42</v>
      </c>
      <c r="GD488" s="209">
        <v>43</v>
      </c>
      <c r="GE488" s="209">
        <v>44</v>
      </c>
      <c r="GF488" s="209">
        <v>45</v>
      </c>
      <c r="GG488" s="209">
        <v>46</v>
      </c>
      <c r="GH488" s="209">
        <v>47</v>
      </c>
      <c r="GI488" s="209">
        <v>48</v>
      </c>
      <c r="GJ488" s="209">
        <v>49</v>
      </c>
      <c r="GK488" s="209">
        <v>50</v>
      </c>
      <c r="GL488" s="209">
        <v>51</v>
      </c>
      <c r="GM488" s="209">
        <v>52</v>
      </c>
      <c r="GN488" s="209">
        <v>53</v>
      </c>
      <c r="GO488" s="209">
        <v>54</v>
      </c>
      <c r="GP488" s="209">
        <v>55</v>
      </c>
      <c r="GQ488" s="209">
        <v>56</v>
      </c>
      <c r="GR488" s="209">
        <v>57</v>
      </c>
      <c r="GS488" s="209">
        <v>58</v>
      </c>
      <c r="GT488" s="209">
        <v>59</v>
      </c>
      <c r="GU488" s="209">
        <v>60</v>
      </c>
      <c r="GV488" s="209">
        <v>61</v>
      </c>
      <c r="GW488" s="209">
        <v>62</v>
      </c>
      <c r="GX488" s="209">
        <v>63</v>
      </c>
      <c r="GY488" s="209">
        <v>64</v>
      </c>
      <c r="GZ488" s="209">
        <v>65</v>
      </c>
      <c r="HA488" s="209">
        <v>66</v>
      </c>
      <c r="HB488" s="209">
        <v>67</v>
      </c>
      <c r="HC488" s="209">
        <v>68</v>
      </c>
      <c r="HD488" s="209">
        <v>69</v>
      </c>
      <c r="HE488" s="209">
        <v>70</v>
      </c>
      <c r="HF488" s="209">
        <v>71</v>
      </c>
      <c r="HG488" s="209">
        <v>72</v>
      </c>
      <c r="HH488" s="209">
        <v>73</v>
      </c>
      <c r="HI488" s="209">
        <v>74</v>
      </c>
      <c r="HJ488" s="209">
        <v>75</v>
      </c>
      <c r="HK488" s="209">
        <v>76</v>
      </c>
      <c r="HL488" s="209">
        <v>77</v>
      </c>
      <c r="HM488" s="209">
        <v>78</v>
      </c>
      <c r="HN488" s="209">
        <v>79</v>
      </c>
      <c r="HO488" s="209">
        <v>80</v>
      </c>
      <c r="HP488" s="209">
        <v>81</v>
      </c>
      <c r="HQ488" s="209">
        <v>82</v>
      </c>
      <c r="HR488" s="209">
        <v>83</v>
      </c>
      <c r="HS488" s="209">
        <v>84</v>
      </c>
      <c r="HT488" s="209">
        <v>85</v>
      </c>
      <c r="HU488" s="209">
        <v>86</v>
      </c>
      <c r="HV488" s="209">
        <v>87</v>
      </c>
      <c r="HW488" s="209">
        <v>88</v>
      </c>
      <c r="HX488" s="209">
        <v>89</v>
      </c>
      <c r="HY488" s="209">
        <v>90</v>
      </c>
      <c r="HZ488" s="209">
        <v>91</v>
      </c>
      <c r="IA488" s="209">
        <v>92</v>
      </c>
      <c r="IB488" s="209">
        <v>93</v>
      </c>
      <c r="IC488" s="209">
        <v>94</v>
      </c>
      <c r="ID488" s="209">
        <v>95</v>
      </c>
      <c r="IE488" s="209">
        <v>96</v>
      </c>
      <c r="IF488" s="209">
        <v>97</v>
      </c>
      <c r="IG488" s="209">
        <v>98</v>
      </c>
      <c r="IH488" s="209">
        <v>99</v>
      </c>
      <c r="II488" s="209">
        <v>100</v>
      </c>
      <c r="IM488" s="311"/>
      <c r="IN488" s="311"/>
    </row>
    <row r="489" spans="2:248" ht="17">
      <c r="B489" s="206" t="s">
        <v>1353</v>
      </c>
      <c r="C489" s="207" t="s">
        <v>51</v>
      </c>
      <c r="D489" s="207" t="s">
        <v>51</v>
      </c>
      <c r="E489" s="210" t="s">
        <v>1328</v>
      </c>
      <c r="F489" s="102" t="str">
        <f t="shared" si="15"/>
        <v>T-FH</v>
      </c>
      <c r="AA489" s="209">
        <v>2</v>
      </c>
      <c r="AB489" s="310" t="s">
        <v>2685</v>
      </c>
      <c r="AC489" s="209">
        <f ca="1">IFERROR(MOD(AD$493,AA489),"")</f>
        <v>0.25</v>
      </c>
      <c r="AD489" s="209" t="str">
        <f ca="1">IF(OR(AD493=1,AD493=""),"",IF(AND(AC491&lt;&gt;0,AC490&lt;&gt;0,AC489=0),IF(AC489=0,AA489,""),IF(AND(MAX(AC489:AC491)&lt;=AA489,SUMPRODUCT(AD490:AD491,AE490:AE491)&lt;&gt;AD493),AA489,"")))</f>
        <v/>
      </c>
      <c r="AE489" s="209" t="str">
        <f ca="1">IFERROR(IF(AND(AD489&lt;&gt;"",OR(AD490&lt;&gt;"",AD491&lt;&gt;"")),1,(ROUNDDOWN(AD$493/AD489,0))),"")</f>
        <v/>
      </c>
      <c r="AF489" s="209">
        <f ca="1">IF($AE498*$AA489*'Customer Base'!$D$26*0.8&gt;5800,"",IF($AE498*$AA489&gt;$AA501,"",IF(($AA$489*AF$488*$AE$498)&lt;=$AA$501,((MOD($AA$501,($AA$489*AF$488*$AE$498)))),"")))</f>
        <v>1</v>
      </c>
      <c r="AG489" s="209" t="str">
        <f ca="1">IF($AE498*$AA489*'Customer Base'!$D$26*0.8&gt;5800,"",IF($AE498*$AA489&gt;$AA501,"",IF(($AA$489*AG$488*$AE$498)&lt;=$AA$501,((MOD($AA$501,($AA$489*AG$488*$AE$498)))),"")))</f>
        <v/>
      </c>
      <c r="AH489" s="209" t="str">
        <f ca="1">IF($AE498*$AA489*'Customer Base'!$D$26*0.8&gt;5800,"",IF($AE498*$AA489&gt;$AA501,"",IF(($AA$489*AH$488*$AE$498)&lt;=$AA$501,((MOD($AA$501,($AA$489*AH$488*$AE$498)))),"")))</f>
        <v/>
      </c>
      <c r="AI489" s="209" t="str">
        <f ca="1">IF($AE498*$AA489*'Customer Base'!$D$26*0.8&gt;5800,"",IF($AE498*$AA489&gt;$AA501,"",IF(($AA$489*AI$488*$AE$498)&lt;=$AA$501,((MOD($AA$501,($AA$489*AI$488*$AE$498)))),"")))</f>
        <v/>
      </c>
      <c r="AJ489" s="209" t="str">
        <f ca="1">IF($AE498*$AA489*'Customer Base'!$D$26*0.8&gt;5800,"",IF($AE498*$AA489&gt;$AA501,"",IF(($AA$489*AJ$488*$AE$498)&lt;=$AA$501,((MOD($AA$501,($AA$489*AJ$488*$AE$498)))),"")))</f>
        <v/>
      </c>
      <c r="AK489" s="209" t="str">
        <f ca="1">IF($AE498*$AA489*'Customer Base'!$D$26*0.8&gt;5800,"",IF($AE498*$AA489&gt;$AA501,"",IF(($AA$489*AK$488*$AE$498)&lt;=$AA$501,((MOD($AA$501,($AA$489*AK$488*$AE$498)))),"")))</f>
        <v/>
      </c>
      <c r="AL489" s="209" t="str">
        <f ca="1">IF($AE498*$AA489*'Customer Base'!$D$26*0.8&gt;5800,"",IF($AE498*$AA489&gt;$AA501,"",IF(($AA$489*AL$488*$AE$498)&lt;=$AA$501,((MOD($AA$501,($AA$489*AL$488*$AE$498)))),"")))</f>
        <v/>
      </c>
      <c r="AM489" s="209" t="str">
        <f ca="1">IF($AE498*$AA489*'Customer Base'!$D$26*0.8&gt;5800,"",IF($AE498*$AA489&gt;$AA501,"",IF(($AA$489*AM$488*$AE$498)&lt;=$AA$501,((MOD($AA$501,($AA$489*AM$488*$AE$498)))),"")))</f>
        <v/>
      </c>
      <c r="AN489" s="209" t="str">
        <f ca="1">IF($AE498*$AA489*'Customer Base'!$D$26*0.8&gt;5800,"",IF($AE498*$AA489&gt;$AA501,"",IF(($AA$489*AN$488*$AE$498)&lt;=$AA$501,((MOD($AA$501,($AA$489*AN$488*$AE$498)))),"")))</f>
        <v/>
      </c>
      <c r="AO489" s="209" t="str">
        <f ca="1">IF($AE498*$AA489*'Customer Base'!$D$26*0.8&gt;5800,"",IF($AE498*$AA489&gt;$AA501,"",IF(($AA$489*AO$488*$AE$498)&lt;=$AA$501,((MOD($AA$501,($AA$489*AO$488*$AE$498)))),"")))</f>
        <v/>
      </c>
      <c r="AP489" s="209" t="str">
        <f ca="1">IF($AE498*$AA489*'Customer Base'!$D$26*0.8&gt;5800,"",IF($AE498*$AA489&gt;$AA501,"",IF(($AA$489*AP$488*$AE$498)&lt;=$AA$501,((MOD($AA$501,($AA$489*AP$488*$AE$498)))),"")))</f>
        <v/>
      </c>
      <c r="AQ489" s="209" t="str">
        <f ca="1">IF($AE498*$AA489*'Customer Base'!$D$26*0.8&gt;5800,"",IF($AE498*$AA489&gt;$AA501,"",IF(($AA$489*AQ$488*$AE$498)&lt;=$AA$501,((MOD($AA$501,($AA$489*AQ$488*$AE$498)))),"")))</f>
        <v/>
      </c>
      <c r="AR489" s="209" t="str">
        <f ca="1">IF($AE498*$AA489*'Customer Base'!$D$26*0.8&gt;5800,"",IF($AE498*$AA489&gt;$AA501,"",IF(($AA$489*AR$488*$AE$498)&lt;=$AA$501,((MOD($AA$501,($AA$489*AR$488*$AE$498)))),"")))</f>
        <v/>
      </c>
      <c r="AS489" s="209" t="str">
        <f ca="1">IF($AE498*$AA489*'Customer Base'!$D$26*0.8&gt;5800,"",IF($AE498*$AA489&gt;$AA501,"",IF(($AA$489*AS$488*$AE$498)&lt;=$AA$501,((MOD($AA$501,($AA$489*AS$488*$AE$498)))),"")))</f>
        <v/>
      </c>
      <c r="AT489" s="209" t="str">
        <f ca="1">IF($AE498*$AA489*'Customer Base'!$D$26*0.8&gt;5800,"",IF($AE498*$AA489&gt;$AA501,"",IF(($AA$489*AT$488*$AE$498)&lt;=$AA$501,((MOD($AA$501,($AA$489*AT$488*$AE$498)))),"")))</f>
        <v/>
      </c>
      <c r="AU489" s="209" t="str">
        <f ca="1">IF($AE498*$AA489*'Customer Base'!$D$26*0.8&gt;5800,"",IF($AE498*$AA489&gt;$AA501,"",IF(($AA$489*AU$488*$AE$498)&lt;=$AA$501,((MOD($AA$501,($AA$489*AU$488*$AE$498)))),"")))</f>
        <v/>
      </c>
      <c r="AV489" s="209" t="str">
        <f ca="1">IF($AE498*$AA489*'Customer Base'!$D$26*0.8&gt;5800,"",IF($AE498*$AA489&gt;$AA501,"",IF(($AA$489*AV$488*$AE$498)&lt;=$AA$501,((MOD($AA$501,($AA$489*AV$488*$AE$498)))),"")))</f>
        <v/>
      </c>
      <c r="AW489" s="209" t="str">
        <f ca="1">IF($AE498*$AA489*'Customer Base'!$D$26*0.8&gt;5800,"",IF($AE498*$AA489&gt;$AA501,"",IF(($AA$489*AW$488*$AE$498)&lt;=$AA$501,((MOD($AA$501,($AA$489*AW$488*$AE$498)))),"")))</f>
        <v/>
      </c>
      <c r="AX489" s="209" t="str">
        <f ca="1">IF($AE498*$AA489*'Customer Base'!$D$26*0.8&gt;5800,"",IF($AE498*$AA489&gt;$AA501,"",IF(($AA$489*AX$488*$AE$498)&lt;=$AA$501,((MOD($AA$501,($AA$489*AX$488*$AE$498)))),"")))</f>
        <v/>
      </c>
      <c r="AY489" s="209" t="str">
        <f ca="1">IF($AE498*$AA489*'Customer Base'!$D$26*0.8&gt;5800,"",IF($AE498*$AA489&gt;$AA501,"",IF(($AA$489*AY$488*$AE$498)&lt;=$AA$501,((MOD($AA$501,($AA$489*AY$488*$AE$498)))),"")))</f>
        <v/>
      </c>
      <c r="AZ489" s="209" t="str">
        <f ca="1">IF($AE498*$AA489*'Customer Base'!$D$26*0.8&gt;5800,"",IF($AE498*$AA489&gt;$AA501,"",IF(($AA$489*AZ$488*$AE$498)&lt;=$AA$501,((MOD($AA$501,($AA$489*AZ$488*$AE$498)))),"")))</f>
        <v/>
      </c>
      <c r="BA489" s="209" t="str">
        <f ca="1">IF($AE498*$AA489*'Customer Base'!$D$26*0.8&gt;5800,"",IF($AE498*$AA489&gt;$AA501,"",IF(($AA$489*BA$488*$AE$498)&lt;=$AA$501,((MOD($AA$501,($AA$489*BA$488*$AE$498)))),"")))</f>
        <v/>
      </c>
      <c r="BB489" s="209" t="str">
        <f ca="1">IF($AE498*$AA489*'Customer Base'!$D$26*0.8&gt;5800,"",IF($AE498*$AA489&gt;$AA501,"",IF(($AA$489*BB$488*$AE$498)&lt;=$AA$501,((MOD($AA$501,($AA$489*BB$488*$AE$498)))),"")))</f>
        <v/>
      </c>
      <c r="BC489" s="209" t="str">
        <f ca="1">IF($AE498*$AA489*'Customer Base'!$D$26*0.8&gt;5800,"",IF($AE498*$AA489&gt;$AA501,"",IF(($AA$489*BC$488*$AE$498)&lt;=$AA$501,((MOD($AA$501,($AA$489*BC$488*$AE$498)))),"")))</f>
        <v/>
      </c>
      <c r="BD489" s="209" t="str">
        <f ca="1">IF($AE498*$AA489*'Customer Base'!$D$26*0.8&gt;5800,"",IF($AE498*$AA489&gt;$AA501,"",IF(($AA$489*BD$488*$AE$498)&lt;=$AA$501,((MOD($AA$501,($AA$489*BD$488*$AE$498)))),"")))</f>
        <v/>
      </c>
      <c r="BE489" s="209" t="str">
        <f ca="1">IF($AE498*$AA489*'Customer Base'!$D$26*0.8&gt;5800,"",IF($AE498*$AA489&gt;$AA501,"",IF(($AA$489*BE$488*$AE$498)&lt;=$AA$501,((MOD($AA$501,($AA$489*BE$488*$AE$498)))),"")))</f>
        <v/>
      </c>
      <c r="BF489" s="209" t="str">
        <f ca="1">IF($AE498*$AA489*'Customer Base'!$D$26*0.8&gt;5800,"",IF($AE498*$AA489&gt;$AA501,"",IF(($AA$489*BF$488*$AE$498)&lt;=$AA$501,((MOD($AA$501,($AA$489*BF$488*$AE$498)))),"")))</f>
        <v/>
      </c>
      <c r="BG489" s="209" t="str">
        <f ca="1">IF($AE498*$AA489*'Customer Base'!$D$26*0.8&gt;5800,"",IF($AE498*$AA489&gt;$AA501,"",IF(($AA$489*BG$488*$AE$498)&lt;=$AA$501,((MOD($AA$501,($AA$489*BG$488*$AE$498)))),"")))</f>
        <v/>
      </c>
      <c r="BH489" s="209" t="str">
        <f ca="1">IF($AE498*$AA489*'Customer Base'!$D$26*0.8&gt;5800,"",IF($AE498*$AA489&gt;$AA501,"",IF(($AA$489*BH$488*$AE$498)&lt;=$AA$501,((MOD($AA$501,($AA$489*BH$488*$AE$498)))),"")))</f>
        <v/>
      </c>
      <c r="BI489" s="209" t="str">
        <f ca="1">IF($AE498*$AA489*'Customer Base'!$D$26*0.8&gt;5800,"",IF($AE498*$AA489&gt;$AA501,"",IF(($AA$489*BI$488*$AE$498)&lt;=$AA$501,((MOD($AA$501,($AA$489*BI$488*$AE$498)))),"")))</f>
        <v/>
      </c>
      <c r="BJ489" s="209" t="str">
        <f ca="1">IF($AE498*$AA489*'Customer Base'!$D$26*0.8&gt;5800,"",IF($AE498*$AA489&gt;$AA501,"",IF(($AA$489*BJ$488*$AE$498)&lt;=$AA$501,((MOD($AA$501,($AA$489*BJ$488*$AE$498)))),"")))</f>
        <v/>
      </c>
      <c r="BK489" s="209" t="str">
        <f ca="1">IF($AE498*$AA489*'Customer Base'!$D$26*0.8&gt;5800,"",IF($AE498*$AA489&gt;$AA501,"",IF(($AA$489*BK$488*$AE$498)&lt;=$AA$501,((MOD($AA$501,($AA$489*BK$488*$AE$498)))),"")))</f>
        <v/>
      </c>
      <c r="BL489" s="209" t="str">
        <f ca="1">IF($AE498*$AA489*'Customer Base'!$D$26*0.8&gt;5800,"",IF($AE498*$AA489&gt;$AA501,"",IF(($AA$489*BL$488*$AE$498)&lt;=$AA$501,((MOD($AA$501,($AA$489*BL$488*$AE$498)))),"")))</f>
        <v/>
      </c>
      <c r="BM489" s="209" t="str">
        <f ca="1">IF($AE498*$AA489*'Customer Base'!$D$26*0.8&gt;5800,"",IF($AE498*$AA489&gt;$AA501,"",IF(($AA$489*BM$488*$AE$498)&lt;=$AA$501,((MOD($AA$501,($AA$489*BM$488*$AE$498)))),"")))</f>
        <v/>
      </c>
      <c r="BN489" s="209" t="str">
        <f ca="1">IF($AE498*$AA489*'Customer Base'!$D$26*0.8&gt;5800,"",IF($AE498*$AA489&gt;$AA501,"",IF(($AA$489*BN$488*$AE$498)&lt;=$AA$501,((MOD($AA$501,($AA$489*BN$488*$AE$498)))),"")))</f>
        <v/>
      </c>
      <c r="BO489" s="209" t="str">
        <f ca="1">IF($AE498*$AA489*'Customer Base'!$D$26*0.8&gt;5800,"",IF($AE498*$AA489&gt;$AA501,"",IF(($AA$489*BO$488*$AE$498)&lt;=$AA$501,((MOD($AA$501,($AA$489*BO$488*$AE$498)))),"")))</f>
        <v/>
      </c>
      <c r="BP489" s="209" t="str">
        <f ca="1">IF($AE498*$AA489*'Customer Base'!$D$26*0.8&gt;5800,"",IF($AE498*$AA489&gt;$AA501,"",IF(($AA$489*BP$488*$AE$498)&lt;=$AA$501,((MOD($AA$501,($AA$489*BP$488*$AE$498)))),"")))</f>
        <v/>
      </c>
      <c r="BQ489" s="209" t="str">
        <f ca="1">IF($AE498*$AA489*'Customer Base'!$D$26*0.8&gt;5800,"",IF($AE498*$AA489&gt;$AA501,"",IF(($AA$489*BQ$488*$AE$498)&lt;=$AA$501,((MOD($AA$501,($AA$489*BQ$488*$AE$498)))),"")))</f>
        <v/>
      </c>
      <c r="BR489" s="209" t="str">
        <f ca="1">IF($AE498*$AA489*'Customer Base'!$D$26*0.8&gt;5800,"",IF($AE498*$AA489&gt;$AA501,"",IF(($AA$489*BR$488*$AE$498)&lt;=$AA$501,((MOD($AA$501,($AA$489*BR$488*$AE$498)))),"")))</f>
        <v/>
      </c>
      <c r="BS489" s="209" t="str">
        <f ca="1">IF($AE498*$AA489*'Customer Base'!$D$26*0.8&gt;5800,"",IF($AE498*$AA489&gt;$AA501,"",IF(($AA$489*BS$488*$AE$498)&lt;=$AA$501,((MOD($AA$501,($AA$489*BS$488*$AE$498)))),"")))</f>
        <v/>
      </c>
      <c r="BT489" s="209" t="str">
        <f ca="1">IF($AE498*$AA489*'Customer Base'!$D$26*0.8&gt;5800,"",IF($AE498*$AA489&gt;$AA501,"",IF(($AA$489*BT$488*$AE$498)&lt;=$AA$501,((MOD($AA$501,($AA$489*BT$488*$AE$498)))),"")))</f>
        <v/>
      </c>
      <c r="BU489" s="209" t="str">
        <f ca="1">IF($AE498*$AA489*'Customer Base'!$D$26*0.8&gt;5800,"",IF($AE498*$AA489&gt;$AA501,"",IF(($AA$489*BU$488*$AE$498)&lt;=$AA$501,((MOD($AA$501,($AA$489*BU$488*$AE$498)))),"")))</f>
        <v/>
      </c>
      <c r="BV489" s="209" t="str">
        <f ca="1">IF($AE498*$AA489*'Customer Base'!$D$26*0.8&gt;5800,"",IF($AE498*$AA489&gt;$AA501,"",IF(($AA$489*BV$488*$AE$498)&lt;=$AA$501,((MOD($AA$501,($AA$489*BV$488*$AE$498)))),"")))</f>
        <v/>
      </c>
      <c r="BW489" s="209" t="str">
        <f ca="1">IF($AE498*$AA489*'Customer Base'!$D$26*0.8&gt;5800,"",IF($AE498*$AA489&gt;$AA501,"",IF(($AA$489*BW$488*$AE$498)&lt;=$AA$501,((MOD($AA$501,($AA$489*BW$488*$AE$498)))),"")))</f>
        <v/>
      </c>
      <c r="BX489" s="209" t="str">
        <f ca="1">IF($AE498*$AA489*'Customer Base'!$D$26*0.8&gt;5800,"",IF($AE498*$AA489&gt;$AA501,"",IF(($AA$489*BX$488*$AE$498)&lt;=$AA$501,((MOD($AA$501,($AA$489*BX$488*$AE$498)))),"")))</f>
        <v/>
      </c>
      <c r="BY489" s="209" t="str">
        <f ca="1">IF($AE498*$AA489*'Customer Base'!$D$26*0.8&gt;5800,"",IF($AE498*$AA489&gt;$AA501,"",IF(($AA$489*BY$488*$AE$498)&lt;=$AA$501,((MOD($AA$501,($AA$489*BY$488*$AE$498)))),"")))</f>
        <v/>
      </c>
      <c r="BZ489" s="209" t="str">
        <f ca="1">IF($AE498*$AA489*'Customer Base'!$D$26*0.8&gt;5800,"",IF($AE498*$AA489&gt;$AA501,"",IF(($AA$489*BZ$488*$AE$498)&lt;=$AA$501,((MOD($AA$501,($AA$489*BZ$488*$AE$498)))),"")))</f>
        <v/>
      </c>
      <c r="CA489" s="209" t="str">
        <f ca="1">IF($AE498*$AA489*'Customer Base'!$D$26*0.8&gt;5800,"",IF($AE498*$AA489&gt;$AA501,"",IF(($AA$489*CA$488*$AE$498)&lt;=$AA$501,((MOD($AA$501,($AA$489*CA$488*$AE$498)))),"")))</f>
        <v/>
      </c>
      <c r="CB489" s="209" t="str">
        <f ca="1">IF($AE498*$AA489*'Customer Base'!$D$26*0.8&gt;5800,"",IF($AE498*$AA489&gt;$AA501,"",IF(($AA$489*CB$488*$AE$498)&lt;=$AA$501,((MOD($AA$501,($AA$489*CB$488*$AE$498)))),"")))</f>
        <v/>
      </c>
      <c r="CC489" s="209" t="str">
        <f ca="1">IF($AE498*$AA489*'Customer Base'!$D$26*0.8&gt;5800,"",IF($AE498*$AA489&gt;$AA501,"",IF(($AA$489*CC$488*$AE$498)&lt;=$AA$501,((MOD($AA$501,($AA$489*CC$488*$AE$498)))),"")))</f>
        <v/>
      </c>
      <c r="CD489" s="209" t="str">
        <f ca="1">IF($AE498*$AA489*'Customer Base'!$D$26*0.8&gt;5800,"",IF($AE498*$AA489&gt;$AA501,"",IF(($AA$489*CD$488*$AE$498)&lt;=$AA$501,((MOD($AA$501,($AA$489*CD$488*$AE$498)))),"")))</f>
        <v/>
      </c>
      <c r="CE489" s="209" t="str">
        <f ca="1">IF($AE498*$AA489*'Customer Base'!$D$26*0.8&gt;5800,"",IF($AE498*$AA489&gt;$AA501,"",IF(($AA$489*CE$488*$AE$498)&lt;=$AA$501,((MOD($AA$501,($AA$489*CE$488*$AE$498)))),"")))</f>
        <v/>
      </c>
      <c r="CF489" s="209" t="str">
        <f ca="1">IF($AE498*$AA489*'Customer Base'!$D$26*0.8&gt;5800,"",IF($AE498*$AA489&gt;$AA501,"",IF(($AA$489*CF$488*$AE$498)&lt;=$AA$501,((MOD($AA$501,($AA$489*CF$488*$AE$498)))),"")))</f>
        <v/>
      </c>
      <c r="CG489" s="209" t="str">
        <f ca="1">IF($AE498*$AA489*'Customer Base'!$D$26*0.8&gt;5800,"",IF($AE498*$AA489&gt;$AA501,"",IF(($AA$489*CG$488*$AE$498)&lt;=$AA$501,((MOD($AA$501,($AA$489*CG$488*$AE$498)))),"")))</f>
        <v/>
      </c>
      <c r="CH489" s="209" t="str">
        <f ca="1">IF($AE498*$AA489*'Customer Base'!$D$26*0.8&gt;5800,"",IF($AE498*$AA489&gt;$AA501,"",IF(($AA$489*CH$488*$AE$498)&lt;=$AA$501,((MOD($AA$501,($AA$489*CH$488*$AE$498)))),"")))</f>
        <v/>
      </c>
      <c r="CI489" s="209" t="str">
        <f ca="1">IF($AE498*$AA489*'Customer Base'!$D$26*0.8&gt;5800,"",IF($AE498*$AA489&gt;$AA501,"",IF(($AA$489*CI$488*$AE$498)&lt;=$AA$501,((MOD($AA$501,($AA$489*CI$488*$AE$498)))),"")))</f>
        <v/>
      </c>
      <c r="CJ489" s="209" t="str">
        <f ca="1">IF($AE498*$AA489*'Customer Base'!$D$26*0.8&gt;5800,"",IF($AE498*$AA489&gt;$AA501,"",IF(($AA$489*CJ$488*$AE$498)&lt;=$AA$501,((MOD($AA$501,($AA$489*CJ$488*$AE$498)))),"")))</f>
        <v/>
      </c>
      <c r="CK489" s="209" t="str">
        <f ca="1">IF($AE498*$AA489*'Customer Base'!$D$26*0.8&gt;5800,"",IF($AE498*$AA489&gt;$AA501,"",IF(($AA$489*CK$488*$AE$498)&lt;=$AA$501,((MOD($AA$501,($AA$489*CK$488*$AE$498)))),"")))</f>
        <v/>
      </c>
      <c r="CL489" s="209" t="str">
        <f ca="1">IF($AE498*$AA489*'Customer Base'!$D$26*0.8&gt;5800,"",IF($AE498*$AA489&gt;$AA501,"",IF(($AA$489*CL$488*$AE$498)&lt;=$AA$501,((MOD($AA$501,($AA$489*CL$488*$AE$498)))),"")))</f>
        <v/>
      </c>
      <c r="CM489" s="209" t="str">
        <f ca="1">IF($AE498*$AA489*'Customer Base'!$D$26*0.8&gt;5800,"",IF($AE498*$AA489&gt;$AA501,"",IF(($AA$489*CM$488*$AE$498)&lt;=$AA$501,((MOD($AA$501,($AA$489*CM$488*$AE$498)))),"")))</f>
        <v/>
      </c>
      <c r="CN489" s="209" t="str">
        <f ca="1">IF($AE498*$AA489*'Customer Base'!$D$26*0.8&gt;5800,"",IF($AE498*$AA489&gt;$AA501,"",IF(($AA$489*CN$488*$AE$498)&lt;=$AA$501,((MOD($AA$501,($AA$489*CN$488*$AE$498)))),"")))</f>
        <v/>
      </c>
      <c r="CO489" s="209" t="str">
        <f ca="1">IF($AE498*$AA489*'Customer Base'!$D$26*0.8&gt;5800,"",IF($AE498*$AA489&gt;$AA501,"",IF(($AA$489*CO$488*$AE$498)&lt;=$AA$501,((MOD($AA$501,($AA$489*CO$488*$AE$498)))),"")))</f>
        <v/>
      </c>
      <c r="CP489" s="209" t="str">
        <f ca="1">IF($AE498*$AA489*'Customer Base'!$D$26*0.8&gt;5800,"",IF($AE498*$AA489&gt;$AA501,"",IF(($AA$489*CP$488*$AE$498)&lt;=$AA$501,((MOD($AA$501,($AA$489*CP$488*$AE$498)))),"")))</f>
        <v/>
      </c>
      <c r="CQ489" s="209" t="str">
        <f ca="1">IF($AE498*$AA489*'Customer Base'!$D$26*0.8&gt;5800,"",IF($AE498*$AA489&gt;$AA501,"",IF(($AA$489*CQ$488*$AE$498)&lt;=$AA$501,((MOD($AA$501,($AA$489*CQ$488*$AE$498)))),"")))</f>
        <v/>
      </c>
      <c r="CR489" s="209" t="str">
        <f ca="1">IF($AE498*$AA489*'Customer Base'!$D$26*0.8&gt;5800,"",IF($AE498*$AA489&gt;$AA501,"",IF(($AA$489*CR$488*$AE$498)&lt;=$AA$501,((MOD($AA$501,($AA$489*CR$488*$AE$498)))),"")))</f>
        <v/>
      </c>
      <c r="CS489" s="209" t="str">
        <f ca="1">IF($AE498*$AA489*'Customer Base'!$D$26*0.8&gt;5800,"",IF($AE498*$AA489&gt;$AA501,"",IF(($AA$489*CS$488*$AE$498)&lt;=$AA$501,((MOD($AA$501,($AA$489*CS$488*$AE$498)))),"")))</f>
        <v/>
      </c>
      <c r="CT489" s="209" t="str">
        <f ca="1">IF($AE498*$AA489*'Customer Base'!$D$26*0.8&gt;5800,"",IF($AE498*$AA489&gt;$AA501,"",IF(($AA$489*CT$488*$AE$498)&lt;=$AA$501,((MOD($AA$501,($AA$489*CT$488*$AE$498)))),"")))</f>
        <v/>
      </c>
      <c r="CU489" s="209" t="str">
        <f ca="1">IF($AE498*$AA489*'Customer Base'!$D$26*0.8&gt;5800,"",IF($AE498*$AA489&gt;$AA501,"",IF(($AA$489*CU$488*$AE$498)&lt;=$AA$501,((MOD($AA$501,($AA$489*CU$488*$AE$498)))),"")))</f>
        <v/>
      </c>
      <c r="CV489" s="209" t="str">
        <f ca="1">IF($AE498*$AA489*'Customer Base'!$D$26*0.8&gt;5800,"",IF($AE498*$AA489&gt;$AA501,"",IF(($AA$489*CV$488*$AE$498)&lt;=$AA$501,((MOD($AA$501,($AA$489*CV$488*$AE$498)))),"")))</f>
        <v/>
      </c>
      <c r="CW489" s="209" t="str">
        <f ca="1">IF($AE498*$AA489*'Customer Base'!$D$26*0.8&gt;5800,"",IF($AE498*$AA489&gt;$AA501,"",IF(($AA$489*CW$488*$AE$498)&lt;=$AA$501,((MOD($AA$501,($AA$489*CW$488*$AE$498)))),"")))</f>
        <v/>
      </c>
      <c r="CX489" s="209" t="str">
        <f ca="1">IF($AE498*$AA489*'Customer Base'!$D$26*0.8&gt;5800,"",IF($AE498*$AA489&gt;$AA501,"",IF(($AA$489*CX$488*$AE$498)&lt;=$AA$501,((MOD($AA$501,($AA$489*CX$488*$AE$498)))),"")))</f>
        <v/>
      </c>
      <c r="CY489" s="209" t="str">
        <f ca="1">IF($AE498*$AA489*'Customer Base'!$D$26*0.8&gt;5800,"",IF($AE498*$AA489&gt;$AA501,"",IF(($AA$489*CY$488*$AE$498)&lt;=$AA$501,((MOD($AA$501,($AA$489*CY$488*$AE$498)))),"")))</f>
        <v/>
      </c>
      <c r="CZ489" s="209" t="str">
        <f ca="1">IF($AE498*$AA489*'Customer Base'!$D$26*0.8&gt;5800,"",IF($AE498*$AA489&gt;$AA501,"",IF(($AA$489*CZ$488*$AE$498)&lt;=$AA$501,((MOD($AA$501,($AA$489*CZ$488*$AE$498)))),"")))</f>
        <v/>
      </c>
      <c r="DA489" s="209" t="str">
        <f ca="1">IF($AE498*$AA489*'Customer Base'!$D$26*0.8&gt;5800,"",IF($AE498*$AA489&gt;$AA501,"",IF(($AA$489*DA$488*$AE$498)&lt;=$AA$501,((MOD($AA$501,($AA$489*DA$488*$AE$498)))),"")))</f>
        <v/>
      </c>
      <c r="DB489" s="209" t="str">
        <f ca="1">IF($AE498*$AA489*'Customer Base'!$D$26*0.8&gt;5800,"",IF($AE498*$AA489&gt;$AA501,"",IF(($AA$489*DB$488*$AE$498)&lt;=$AA$501,((MOD($AA$501,($AA$489*DB$488*$AE$498)))),"")))</f>
        <v/>
      </c>
      <c r="DC489" s="209" t="str">
        <f ca="1">IF($AE498*$AA489*'Customer Base'!$D$26*0.8&gt;5800,"",IF($AE498*$AA489&gt;$AA501,"",IF(($AA$489*DC$488*$AE$498)&lt;=$AA$501,((MOD($AA$501,($AA$489*DC$488*$AE$498)))),"")))</f>
        <v/>
      </c>
      <c r="DD489" s="209" t="str">
        <f ca="1">IF($AE498*$AA489*'Customer Base'!$D$26*0.8&gt;5800,"",IF($AE498*$AA489&gt;$AA501,"",IF(($AA$489*DD$488*$AE$498)&lt;=$AA$501,((MOD($AA$501,($AA$489*DD$488*$AE$498)))),"")))</f>
        <v/>
      </c>
      <c r="DE489" s="209" t="str">
        <f ca="1">IF($AE498*$AA489*'Customer Base'!$D$26*0.8&gt;5800,"",IF($AE498*$AA489&gt;$AA501,"",IF(($AA$489*DE$488*$AE$498)&lt;=$AA$501,((MOD($AA$501,($AA$489*DE$488*$AE$498)))),"")))</f>
        <v/>
      </c>
      <c r="DF489" s="209" t="str">
        <f ca="1">IF($AE498*$AA489*'Customer Base'!$D$26*0.8&gt;5800,"",IF($AE498*$AA489&gt;$AA501,"",IF(($AA$489*DF$488*$AE$498)&lt;=$AA$501,((MOD($AA$501,($AA$489*DF$488*$AE$498)))),"")))</f>
        <v/>
      </c>
      <c r="DG489" s="209" t="str">
        <f ca="1">IF($AE498*$AA489*'Customer Base'!$D$26*0.8&gt;5800,"",IF($AE498*$AA489&gt;$AA501,"",IF(($AA$489*DG$488*$AE$498)&lt;=$AA$501,((MOD($AA$501,($AA$489*DG$488*$AE$498)))),"")))</f>
        <v/>
      </c>
      <c r="DH489" s="209" t="str">
        <f ca="1">IF($AE498*$AA489*'Customer Base'!$D$26*0.8&gt;5800,"",IF($AE498*$AA489&gt;$AA501,"",IF(($AA$489*DH$488*$AE$498)&lt;=$AA$501,((MOD($AA$501,($AA$489*DH$488*$AE$498)))),"")))</f>
        <v/>
      </c>
      <c r="DI489" s="209" t="str">
        <f ca="1">IF($AE498*$AA489*'Customer Base'!$D$26*0.8&gt;5800,"",IF($AE498*$AA489&gt;$AA501,"",IF(($AA$489*DI$488*$AE$498)&lt;=$AA$501,((MOD($AA$501,($AA$489*DI$488*$AE$498)))),"")))</f>
        <v/>
      </c>
      <c r="DJ489" s="209" t="str">
        <f ca="1">IF($AE498*$AA489*'Customer Base'!$D$26*0.8&gt;5800,"",IF($AE498*$AA489&gt;$AA501,"",IF(($AA$489*DJ$488*$AE$498)&lt;=$AA$501,((MOD($AA$501,($AA$489*DJ$488*$AE$498)))),"")))</f>
        <v/>
      </c>
      <c r="DK489" s="209" t="str">
        <f ca="1">IF($AE498*$AA489*'Customer Base'!$D$26*0.8&gt;5800,"",IF($AE498*$AA489&gt;$AA501,"",IF(($AA$489*DK$488*$AE$498)&lt;=$AA$501,((MOD($AA$501,($AA$489*DK$488*$AE$498)))),"")))</f>
        <v/>
      </c>
      <c r="DL489" s="209" t="str">
        <f ca="1">IF($AE498*$AA489*'Customer Base'!$D$26*0.8&gt;5800,"",IF($AE498*$AA489&gt;$AA501,"",IF(($AA$489*DL$488*$AE$498)&lt;=$AA$501,((MOD($AA$501,($AA$489*DL$488*$AE$498)))),"")))</f>
        <v/>
      </c>
      <c r="DM489" s="209" t="str">
        <f ca="1">IF($AE498*$AA489*'Customer Base'!$D$26*0.8&gt;5800,"",IF($AE498*$AA489&gt;$AA501,"",IF(($AA$489*DM$488*$AE$498)&lt;=$AA$501,((MOD($AA$501,($AA$489*DM$488*$AE$498)))),"")))</f>
        <v/>
      </c>
      <c r="DN489" s="209" t="str">
        <f ca="1">IF($AE498*$AA489*'Customer Base'!$D$26*0.8&gt;5800,"",IF($AE498*$AA489&gt;$AA501,"",IF(($AA$489*DN$488*$AE$498)&lt;=$AA$501,((MOD($AA$501,($AA$489*DN$488*$AE$498)))),"")))</f>
        <v/>
      </c>
      <c r="DO489" s="209" t="str">
        <f ca="1">IF($AE498*$AA489*'Customer Base'!$D$26*0.8&gt;5800,"",IF($AE498*$AA489&gt;$AA501,"",IF(($AA$489*DO$488*$AE$498)&lt;=$AA$501,((MOD($AA$501,($AA$489*DO$488*$AE$498)))),"")))</f>
        <v/>
      </c>
      <c r="DP489" s="209" t="str">
        <f ca="1">IF($AE498*$AA489*'Customer Base'!$D$26*0.8&gt;5800,"",IF($AE498*$AA489&gt;$AA501,"",IF(($AA$489*DP$488*$AE$498)&lt;=$AA$501,((MOD($AA$501,($AA$489*DP$488*$AE$498)))),"")))</f>
        <v/>
      </c>
      <c r="DQ489" s="209" t="str">
        <f ca="1">IF($AE498*$AA489*'Customer Base'!$D$26*0.8&gt;5800,"",IF($AE498*$AA489&gt;$AA501,"",IF(($AA$489*DQ$488*$AE$498)&lt;=$AA$501,((MOD($AA$501,($AA$489*DQ$488*$AE$498)))),"")))</f>
        <v/>
      </c>
      <c r="DR489" s="209" t="str">
        <f ca="1">IF($AE498*$AA489*'Customer Base'!$D$26*0.8&gt;5800,"",IF($AE498*$AA489&gt;$AA501,"",IF(($AA$489*DR$488*$AE$498)&lt;=$AA$501,((MOD($AA$501,($AA$489*DR$488*$AE$498)))),"")))</f>
        <v/>
      </c>
      <c r="DS489" s="209" t="str">
        <f ca="1">IF($AE498*$AA489*'Customer Base'!$D$26*0.8&gt;5800,"",IF($AE498*$AA489&gt;$AA501,"",IF(($AA$489*DS$488*$AE$498)&lt;=$AA$501,((MOD($AA$501,($AA$489*DS$488*$AE$498)))),"")))</f>
        <v/>
      </c>
      <c r="DT489" s="209" t="str">
        <f ca="1">IF($AE498*$AA489*'Customer Base'!$D$26*0.8&gt;5800,"",IF($AE498*$AA489&gt;$AA501,"",IF(($AA$489*DT$488*$AE$498)&lt;=$AA$501,((MOD($AA$501,($AA$489*DT$488*$AE$498)))),"")))</f>
        <v/>
      </c>
      <c r="DU489" s="209" t="str">
        <f ca="1">IF($AE498*$AA489*'Customer Base'!$D$26*0.8&gt;5800,"",IF($AE498*$AA489&gt;$AA501,"",IF(($AA$489*DU$488*$AE$498)&lt;=$AA$501,((MOD($AA$501,($AA$489*DU$488*$AE$498)))),"")))</f>
        <v/>
      </c>
      <c r="DV489" s="209" t="str">
        <f ca="1">IF($AE498*$AA489*'Customer Base'!$D$26*0.8&gt;5800,"",IF($AE498*$AA489&gt;$AA501,"",IF(($AA$489*DV$488*$AE$498)&lt;=$AA$501,((MOD($AA$501,($AA$489*DV$488*$AE$498)))),"")))</f>
        <v/>
      </c>
      <c r="DW489" s="209" t="str">
        <f ca="1">IF($AE498*$AA489*'Customer Base'!$D$26*0.8&gt;5800,"",IF($AE498*$AA489&gt;$AA501,"",IF(($AA$489*DW$488*$AE$498)&lt;=$AA$501,((MOD($AA$501,($AA$489*DW$488*$AE$498)))),"")))</f>
        <v/>
      </c>
      <c r="DX489" s="209" t="str">
        <f ca="1">IF($AE498*$AA489*'Customer Base'!$D$26*0.8&gt;5800,"",IF($AE498*$AA489&gt;$AA501,"",IF(($AA$489*DX$488*$AE$498)&lt;=$AA$501,((MOD($AA$501,($AA$489*DX$488*$AE$498)))),"")))</f>
        <v/>
      </c>
      <c r="DY489" s="209" t="str">
        <f ca="1">IF($AE498*$AA489*'Customer Base'!$D$26*0.8&gt;5800,"",IF($AE498*$AA489&gt;$AA501,"",IF(($AA$489*DY$488*$AE$498)&lt;=$AA$501,((MOD($AA$501,($AA$489*DY$488*$AE$498)))),"")))</f>
        <v/>
      </c>
      <c r="DZ489" s="209" t="str">
        <f ca="1">IF($AE498*$AA489*'Customer Base'!$D$26*0.8&gt;5800,"",IF($AE498*$AA489&gt;$AA501,"",IF(($AA$489*DZ$488*$AE$498)&lt;=$AA$501,((MOD($AA$501,($AA$489*DZ$488*$AE$498)))),"")))</f>
        <v/>
      </c>
      <c r="EA489" s="209" t="str">
        <f ca="1">IF($AE498*$AA489*'Customer Base'!$D$26*0.8&gt;5800,"",IF($AE498*$AA489&gt;$AA501,"",IF(($AA$489*EA$488*$AE$498)&lt;=$AA$501,((MOD($AA$501,($AA$489*EA$488*$AE$498)))),"")))</f>
        <v/>
      </c>
      <c r="EC489" s="209" cm="1">
        <f t="array" aca="1" ref="EC489" ca="1">IFERROR(LOOKUP(2,1/(AF489:EA489&lt;&gt;""),AF$488:EA$488),"")</f>
        <v>1</v>
      </c>
      <c r="ED489" s="311" cm="1">
        <f t="array" aca="1" ref="ED489" ca="1">IF(EC$474=EC489,LOOKUP(2,1/(AF489:EA489&lt;&gt;""),AF489:EA489),"")</f>
        <v>1</v>
      </c>
      <c r="EE489" s="311">
        <f ca="1">IF(ED489=ED$474,1,"")</f>
        <v>1</v>
      </c>
      <c r="EF489" s="311"/>
      <c r="EG489" s="311"/>
      <c r="EH489" s="311"/>
      <c r="EI489" s="209">
        <v>2</v>
      </c>
      <c r="EJ489" s="310" t="s">
        <v>2685</v>
      </c>
      <c r="EK489" s="209">
        <f>IFERROR(MOD(EL$495,EI489),"")</f>
        <v>0</v>
      </c>
      <c r="EL489" s="209" t="str">
        <f>IF(OR(EL495=1,EL495=""),"",IF(AND(EK491&lt;&gt;0,EK490&lt;&gt;0,EK489=0),IF(EK489=0,EI489,""),IF(AND(MAX(EK489:EK491)&lt;=EI489,SUMPRODUCT(EL490:EL491,EM490:EM491)&lt;&gt;EL495),EI489,"")))</f>
        <v/>
      </c>
      <c r="EM489" s="209" t="str">
        <f>IFERROR(IF(AND(EL489&lt;&gt;"",OR(EL490&lt;&gt;"",EL491&lt;&gt;"")),1,(ROUNDDOWN(EL$495/EL489,0))),"")</f>
        <v/>
      </c>
      <c r="EN489" s="209" t="str">
        <f ca="1">IF($AE498*$AA489*'Customer Base'!$D$26*0.8&gt;5800,"",IF($AE498*$AA489&gt;$AA501,"",IF(($AA$489*EN$488*$AE$498)&lt;=$ED$474,((MOD($ED$474,($AA$489*EN$488*$AE$498)))),"")))</f>
        <v/>
      </c>
      <c r="EO489" s="209" t="str">
        <f ca="1">IF($AE498*$AA489*'Customer Base'!$D$26*0.8&gt;5800,"",IF($AE498*$AA489&gt;$AA501,"",IF(($AA$489*EO$488*$AE$498)&lt;=$ED$474,((MOD($ED$474,($AA$489*EO$488*$AE$498)))),"")))</f>
        <v/>
      </c>
      <c r="EP489" s="209" t="str">
        <f ca="1">IF($AE498*$AA489*'Customer Base'!$D$26*0.8&gt;5800,"",IF($AE498*$AA489&gt;$AA501,"",IF(($AA$489*EP$488*$AE$498)&lt;=$ED$474,((MOD($ED$474,($AA$489*EP$488*$AE$498)))),"")))</f>
        <v/>
      </c>
      <c r="EQ489" s="209" t="str">
        <f ca="1">IF($AE498*$AA489*'Customer Base'!$D$26*0.8&gt;5800,"",IF($AE498*$AA489&gt;$AA501,"",IF(($AA$489*EQ$488*$AE$498)&lt;=$ED$474,((MOD($ED$474,($AA$489*EQ$488*$AE$498)))),"")))</f>
        <v/>
      </c>
      <c r="ER489" s="209" t="str">
        <f ca="1">IF($AE498*$AA489*'Customer Base'!$D$26*0.8&gt;5800,"",IF($AE498*$AA489&gt;$AA501,"",IF(($AA$489*ER$488*$AE$498)&lt;=$ED$474,((MOD($ED$474,($AA$489*ER$488*$AE$498)))),"")))</f>
        <v/>
      </c>
      <c r="ES489" s="209" t="str">
        <f ca="1">IF($AE498*$AA489*'Customer Base'!$D$26*0.8&gt;5800,"",IF($AE498*$AA489&gt;$AA501,"",IF(($AA$489*ES$488*$AE$498)&lt;=$ED$474,((MOD($ED$474,($AA$489*ES$488*$AE$498)))),"")))</f>
        <v/>
      </c>
      <c r="ET489" s="209" t="str">
        <f ca="1">IF($AE498*$AA489*'Customer Base'!$D$26*0.8&gt;5800,"",IF($AE498*$AA489&gt;$AA501,"",IF(($AA$489*ET$488*$AE$498)&lt;=$ED$474,((MOD($ED$474,($AA$489*ET$488*$AE$498)))),"")))</f>
        <v/>
      </c>
      <c r="EU489" s="209" t="str">
        <f ca="1">IF($AE498*$AA489*'Customer Base'!$D$26*0.8&gt;5800,"",IF($AE498*$AA489&gt;$AA501,"",IF(($AA$489*EU$488*$AE$498)&lt;=$ED$474,((MOD($ED$474,($AA$489*EU$488*$AE$498)))),"")))</f>
        <v/>
      </c>
      <c r="EV489" s="209" t="str">
        <f ca="1">IF($AE498*$AA489*'Customer Base'!$D$26*0.8&gt;5800,"",IF($AE498*$AA489&gt;$AA501,"",IF(($AA$489*EV$488*$AE$498)&lt;=$ED$474,((MOD($ED$474,($AA$489*EV$488*$AE$498)))),"")))</f>
        <v/>
      </c>
      <c r="EW489" s="209" t="str">
        <f ca="1">IF($AE498*$AA489*'Customer Base'!$D$26*0.8&gt;5800,"",IF($AE498*$AA489&gt;$AA501,"",IF(($AA$489*EW$488*$AE$498)&lt;=$ED$474,((MOD($ED$474,($AA$489*EW$488*$AE$498)))),"")))</f>
        <v/>
      </c>
      <c r="EX489" s="209" t="str">
        <f ca="1">IF($AE498*$AA489*'Customer Base'!$D$26*0.8&gt;5800,"",IF($AE498*$AA489&gt;$AA501,"",IF(($AA$489*EX$488*$AE$498)&lt;=$ED$474,((MOD($ED$474,($AA$489*EX$488*$AE$498)))),"")))</f>
        <v/>
      </c>
      <c r="EY489" s="209" t="str">
        <f ca="1">IF($AE498*$AA489*'Customer Base'!$D$26*0.8&gt;5800,"",IF($AE498*$AA489&gt;$AA501,"",IF(($AA$489*EY$488*$AE$498)&lt;=$ED$474,((MOD($ED$474,($AA$489*EY$488*$AE$498)))),"")))</f>
        <v/>
      </c>
      <c r="EZ489" s="209" t="str">
        <f ca="1">IF($AE498*$AA489*'Customer Base'!$D$26*0.8&gt;5800,"",IF($AE498*$AA489&gt;$AA501,"",IF(($AA$489*EZ$488*$AE$498)&lt;=$ED$474,((MOD($ED$474,($AA$489*EZ$488*$AE$498)))),"")))</f>
        <v/>
      </c>
      <c r="FA489" s="209" t="str">
        <f ca="1">IF($AE498*$AA489*'Customer Base'!$D$26*0.8&gt;5800,"",IF($AE498*$AA489&gt;$AA501,"",IF(($AA$489*FA$488*$AE$498)&lt;=$ED$474,((MOD($ED$474,($AA$489*FA$488*$AE$498)))),"")))</f>
        <v/>
      </c>
      <c r="FB489" s="209" t="str">
        <f ca="1">IF($AE498*$AA489*'Customer Base'!$D$26*0.8&gt;5800,"",IF($AE498*$AA489&gt;$AA501,"",IF(($AA$489*FB$488*$AE$498)&lt;=$ED$474,((MOD($ED$474,($AA$489*FB$488*$AE$498)))),"")))</f>
        <v/>
      </c>
      <c r="FC489" s="209" t="str">
        <f ca="1">IF($AE498*$AA489*'Customer Base'!$D$26*0.8&gt;5800,"",IF($AE498*$AA489&gt;$AA501,"",IF(($AA$489*FC$488*$AE$498)&lt;=$ED$474,((MOD($ED$474,($AA$489*FC$488*$AE$498)))),"")))</f>
        <v/>
      </c>
      <c r="FD489" s="209" t="str">
        <f ca="1">IF($AE498*$AA489*'Customer Base'!$D$26*0.8&gt;5800,"",IF($AE498*$AA489&gt;$AA501,"",IF(($AA$489*FD$488*$AE$498)&lt;=$ED$474,((MOD($ED$474,($AA$489*FD$488*$AE$498)))),"")))</f>
        <v/>
      </c>
      <c r="FE489" s="209" t="str">
        <f ca="1">IF($AE498*$AA489*'Customer Base'!$D$26*0.8&gt;5800,"",IF($AE498*$AA489&gt;$AA501,"",IF(($AA$489*FE$488*$AE$498)&lt;=$ED$474,((MOD($ED$474,($AA$489*FE$488*$AE$498)))),"")))</f>
        <v/>
      </c>
      <c r="FF489" s="209" t="str">
        <f ca="1">IF($AE498*$AA489*'Customer Base'!$D$26*0.8&gt;5800,"",IF($AE498*$AA489&gt;$AA501,"",IF(($AA$489*FF$488*$AE$498)&lt;=$ED$474,((MOD($ED$474,($AA$489*FF$488*$AE$498)))),"")))</f>
        <v/>
      </c>
      <c r="FG489" s="209" t="str">
        <f ca="1">IF($AE498*$AA489*'Customer Base'!$D$26*0.8&gt;5800,"",IF($AE498*$AA489&gt;$AA501,"",IF(($AA$489*FG$488*$AE$498)&lt;=$ED$474,((MOD($ED$474,($AA$489*FG$488*$AE$498)))),"")))</f>
        <v/>
      </c>
      <c r="FH489" s="209" t="str">
        <f ca="1">IF($AE498*$AA489*'Customer Base'!$D$26*0.8&gt;5800,"",IF($AE498*$AA489&gt;$AA501,"",IF(($AA$489*FH$488*$AE$498)&lt;=$ED$474,((MOD($ED$474,($AA$489*FH$488*$AE$498)))),"")))</f>
        <v/>
      </c>
      <c r="FI489" s="209" t="str">
        <f ca="1">IF($AE498*$AA489*'Customer Base'!$D$26*0.8&gt;5800,"",IF($AE498*$AA489&gt;$AA501,"",IF(($AA$489*FI$488*$AE$498)&lt;=$ED$474,((MOD($ED$474,($AA$489*FI$488*$AE$498)))),"")))</f>
        <v/>
      </c>
      <c r="FJ489" s="209" t="str">
        <f ca="1">IF($AE498*$AA489*'Customer Base'!$D$26*0.8&gt;5800,"",IF($AE498*$AA489&gt;$AA501,"",IF(($AA$489*FJ$488*$AE$498)&lt;=$ED$474,((MOD($ED$474,($AA$489*FJ$488*$AE$498)))),"")))</f>
        <v/>
      </c>
      <c r="FK489" s="209" t="str">
        <f ca="1">IF($AE498*$AA489*'Customer Base'!$D$26*0.8&gt;5800,"",IF($AE498*$AA489&gt;$AA501,"",IF(($AA$489*FK$488*$AE$498)&lt;=$ED$474,((MOD($ED$474,($AA$489*FK$488*$AE$498)))),"")))</f>
        <v/>
      </c>
      <c r="FL489" s="209" t="str">
        <f ca="1">IF($AE498*$AA489*'Customer Base'!$D$26*0.8&gt;5800,"",IF($AE498*$AA489&gt;$AA501,"",IF(($AA$489*FL$488*$AE$498)&lt;=$ED$474,((MOD($ED$474,($AA$489*FL$488*$AE$498)))),"")))</f>
        <v/>
      </c>
      <c r="FM489" s="209" t="str">
        <f ca="1">IF($AE498*$AA489*'Customer Base'!$D$26*0.8&gt;5800,"",IF($AE498*$AA489&gt;$AA501,"",IF(($AA$489*FM$488*$AE$498)&lt;=$ED$474,((MOD($ED$474,($AA$489*FM$488*$AE$498)))),"")))</f>
        <v/>
      </c>
      <c r="FN489" s="209" t="str">
        <f ca="1">IF($AE498*$AA489*'Customer Base'!$D$26*0.8&gt;5800,"",IF($AE498*$AA489&gt;$AA501,"",IF(($AA$489*FN$488*$AE$498)&lt;=$ED$474,((MOD($ED$474,($AA$489*FN$488*$AE$498)))),"")))</f>
        <v/>
      </c>
      <c r="FO489" s="209" t="str">
        <f ca="1">IF($AE498*$AA489*'Customer Base'!$D$26*0.8&gt;5800,"",IF($AE498*$AA489&gt;$AA501,"",IF(($AA$489*FO$488*$AE$498)&lt;=$ED$474,((MOD($ED$474,($AA$489*FO$488*$AE$498)))),"")))</f>
        <v/>
      </c>
      <c r="FP489" s="209" t="str">
        <f ca="1">IF($AE498*$AA489*'Customer Base'!$D$26*0.8&gt;5800,"",IF($AE498*$AA489&gt;$AA501,"",IF(($AA$489*FP$488*$AE$498)&lt;=$ED$474,((MOD($ED$474,($AA$489*FP$488*$AE$498)))),"")))</f>
        <v/>
      </c>
      <c r="FQ489" s="209" t="str">
        <f ca="1">IF($AE498*$AA489*'Customer Base'!$D$26*0.8&gt;5800,"",IF($AE498*$AA489&gt;$AA501,"",IF(($AA$489*FQ$488*$AE$498)&lt;=$ED$474,((MOD($ED$474,($AA$489*FQ$488*$AE$498)))),"")))</f>
        <v/>
      </c>
      <c r="FR489" s="209" t="str">
        <f ca="1">IF($AE498*$AA489*'Customer Base'!$D$26*0.8&gt;5800,"",IF($AE498*$AA489&gt;$AA501,"",IF(($AA$489*FR$488*$AE$498)&lt;=$ED$474,((MOD($ED$474,($AA$489*FR$488*$AE$498)))),"")))</f>
        <v/>
      </c>
      <c r="FS489" s="209" t="str">
        <f ca="1">IF($AE498*$AA489*'Customer Base'!$D$26*0.8&gt;5800,"",IF($AE498*$AA489&gt;$AA501,"",IF(($AA$489*FS$488*$AE$498)&lt;=$ED$474,((MOD($ED$474,($AA$489*FS$488*$AE$498)))),"")))</f>
        <v/>
      </c>
      <c r="FT489" s="209" t="str">
        <f ca="1">IF($AE498*$AA489*'Customer Base'!$D$26*0.8&gt;5800,"",IF($AE498*$AA489&gt;$AA501,"",IF(($AA$489*FT$488*$AE$498)&lt;=$ED$474,((MOD($ED$474,($AA$489*FT$488*$AE$498)))),"")))</f>
        <v/>
      </c>
      <c r="FU489" s="209" t="str">
        <f ca="1">IF($AE498*$AA489*'Customer Base'!$D$26*0.8&gt;5800,"",IF($AE498*$AA489&gt;$AA501,"",IF(($AA$489*FU$488*$AE$498)&lt;=$ED$474,((MOD($ED$474,($AA$489*FU$488*$AE$498)))),"")))</f>
        <v/>
      </c>
      <c r="FV489" s="209" t="str">
        <f ca="1">IF($AE498*$AA489*'Customer Base'!$D$26*0.8&gt;5800,"",IF($AE498*$AA489&gt;$AA501,"",IF(($AA$489*FV$488*$AE$498)&lt;=$ED$474,((MOD($ED$474,($AA$489*FV$488*$AE$498)))),"")))</f>
        <v/>
      </c>
      <c r="FW489" s="209" t="str">
        <f ca="1">IF($AE498*$AA489*'Customer Base'!$D$26*0.8&gt;5800,"",IF($AE498*$AA489&gt;$AA501,"",IF(($AA$489*FW$488*$AE$498)&lt;=$ED$474,((MOD($ED$474,($AA$489*FW$488*$AE$498)))),"")))</f>
        <v/>
      </c>
      <c r="FX489" s="209" t="str">
        <f ca="1">IF($AE498*$AA489*'Customer Base'!$D$26*0.8&gt;5800,"",IF($AE498*$AA489&gt;$AA501,"",IF(($AA$489*FX$488*$AE$498)&lt;=$ED$474,((MOD($ED$474,($AA$489*FX$488*$AE$498)))),"")))</f>
        <v/>
      </c>
      <c r="FY489" s="209" t="str">
        <f ca="1">IF($AE498*$AA489*'Customer Base'!$D$26*0.8&gt;5800,"",IF($AE498*$AA489&gt;$AA501,"",IF(($AA$489*FY$488*$AE$498)&lt;=$ED$474,((MOD($ED$474,($AA$489*FY$488*$AE$498)))),"")))</f>
        <v/>
      </c>
      <c r="FZ489" s="209" t="str">
        <f ca="1">IF($AE498*$AA489*'Customer Base'!$D$26*0.8&gt;5800,"",IF($AE498*$AA489&gt;$AA501,"",IF(($AA$489*FZ$488*$AE$498)&lt;=$ED$474,((MOD($ED$474,($AA$489*FZ$488*$AE$498)))),"")))</f>
        <v/>
      </c>
      <c r="GA489" s="209" t="str">
        <f ca="1">IF($AE498*$AA489*'Customer Base'!$D$26*0.8&gt;5800,"",IF($AE498*$AA489&gt;$AA501,"",IF(($AA$489*GA$488*$AE$498)&lt;=$ED$474,((MOD($ED$474,($AA$489*GA$488*$AE$498)))),"")))</f>
        <v/>
      </c>
      <c r="GB489" s="209" t="str">
        <f ca="1">IF($AE498*$AA489*'Customer Base'!$D$26*0.8&gt;5800,"",IF($AE498*$AA489&gt;$AA501,"",IF(($AA$489*GB$488*$AE$498)&lt;=$ED$474,((MOD($ED$474,($AA$489*GB$488*$AE$498)))),"")))</f>
        <v/>
      </c>
      <c r="GC489" s="209" t="str">
        <f ca="1">IF($AE498*$AA489*'Customer Base'!$D$26*0.8&gt;5800,"",IF($AE498*$AA489&gt;$AA501,"",IF(($AA$489*GC$488*$AE$498)&lt;=$ED$474,((MOD($ED$474,($AA$489*GC$488*$AE$498)))),"")))</f>
        <v/>
      </c>
      <c r="GD489" s="209" t="str">
        <f ca="1">IF($AE498*$AA489*'Customer Base'!$D$26*0.8&gt;5800,"",IF($AE498*$AA489&gt;$AA501,"",IF(($AA$489*GD$488*$AE$498)&lt;=$ED$474,((MOD($ED$474,($AA$489*GD$488*$AE$498)))),"")))</f>
        <v/>
      </c>
      <c r="GE489" s="209" t="str">
        <f ca="1">IF($AE498*$AA489*'Customer Base'!$D$26*0.8&gt;5800,"",IF($AE498*$AA489&gt;$AA501,"",IF(($AA$489*GE$488*$AE$498)&lt;=$ED$474,((MOD($ED$474,($AA$489*GE$488*$AE$498)))),"")))</f>
        <v/>
      </c>
      <c r="GF489" s="209" t="str">
        <f ca="1">IF($AE498*$AA489*'Customer Base'!$D$26*0.8&gt;5800,"",IF($AE498*$AA489&gt;$AA501,"",IF(($AA$489*GF$488*$AE$498)&lt;=$ED$474,((MOD($ED$474,($AA$489*GF$488*$AE$498)))),"")))</f>
        <v/>
      </c>
      <c r="GG489" s="209" t="str">
        <f ca="1">IF($AE498*$AA489*'Customer Base'!$D$26*0.8&gt;5800,"",IF($AE498*$AA489&gt;$AA501,"",IF(($AA$489*GG$488*$AE$498)&lt;=$ED$474,((MOD($ED$474,($AA$489*GG$488*$AE$498)))),"")))</f>
        <v/>
      </c>
      <c r="GH489" s="209" t="str">
        <f ca="1">IF($AE498*$AA489*'Customer Base'!$D$26*0.8&gt;5800,"",IF($AE498*$AA489&gt;$AA501,"",IF(($AA$489*GH$488*$AE$498)&lt;=$ED$474,((MOD($ED$474,($AA$489*GH$488*$AE$498)))),"")))</f>
        <v/>
      </c>
      <c r="GI489" s="209" t="str">
        <f ca="1">IF($AE498*$AA489*'Customer Base'!$D$26*0.8&gt;5800,"",IF($AE498*$AA489&gt;$AA501,"",IF(($AA$489*GI$488*$AE$498)&lt;=$ED$474,((MOD($ED$474,($AA$489*GI$488*$AE$498)))),"")))</f>
        <v/>
      </c>
      <c r="GJ489" s="209" t="str">
        <f ca="1">IF($AE498*$AA489*'Customer Base'!$D$26*0.8&gt;5800,"",IF($AE498*$AA489&gt;$AA501,"",IF(($AA$489*GJ$488*$AE$498)&lt;=$ED$474,((MOD($ED$474,($AA$489*GJ$488*$AE$498)))),"")))</f>
        <v/>
      </c>
      <c r="GK489" s="209" t="str">
        <f ca="1">IF($AE498*$AA489*'Customer Base'!$D$26*0.8&gt;5800,"",IF($AE498*$AA489&gt;$AA501,"",IF(($AA$489*GK$488*$AE$498)&lt;=$ED$474,((MOD($ED$474,($AA$489*GK$488*$AE$498)))),"")))</f>
        <v/>
      </c>
      <c r="GL489" s="209" t="str">
        <f ca="1">IF($AE498*$AA489*'Customer Base'!$D$26*0.8&gt;5800,"",IF($AE498*$AA489&gt;$AA501,"",IF(($AA$489*GL$488*$AE$498)&lt;=$ED$474,((MOD($ED$474,($AA$489*GL$488*$AE$498)))),"")))</f>
        <v/>
      </c>
      <c r="GM489" s="209" t="str">
        <f ca="1">IF($AE498*$AA489*'Customer Base'!$D$26*0.8&gt;5800,"",IF($AE498*$AA489&gt;$AA501,"",IF(($AA$489*GM$488*$AE$498)&lt;=$ED$474,((MOD($ED$474,($AA$489*GM$488*$AE$498)))),"")))</f>
        <v/>
      </c>
      <c r="GN489" s="209" t="str">
        <f ca="1">IF($AE498*$AA489*'Customer Base'!$D$26*0.8&gt;5800,"",IF($AE498*$AA489&gt;$AA501,"",IF(($AA$489*GN$488*$AE$498)&lt;=$ED$474,((MOD($ED$474,($AA$489*GN$488*$AE$498)))),"")))</f>
        <v/>
      </c>
      <c r="GO489" s="209" t="str">
        <f ca="1">IF($AE498*$AA489*'Customer Base'!$D$26*0.8&gt;5800,"",IF($AE498*$AA489&gt;$AA501,"",IF(($AA$489*GO$488*$AE$498)&lt;=$ED$474,((MOD($ED$474,($AA$489*GO$488*$AE$498)))),"")))</f>
        <v/>
      </c>
      <c r="GP489" s="209" t="str">
        <f ca="1">IF($AE498*$AA489*'Customer Base'!$D$26*0.8&gt;5800,"",IF($AE498*$AA489&gt;$AA501,"",IF(($AA$489*GP$488*$AE$498)&lt;=$ED$474,((MOD($ED$474,($AA$489*GP$488*$AE$498)))),"")))</f>
        <v/>
      </c>
      <c r="GQ489" s="209" t="str">
        <f ca="1">IF($AE498*$AA489*'Customer Base'!$D$26*0.8&gt;5800,"",IF($AE498*$AA489&gt;$AA501,"",IF(($AA$489*GQ$488*$AE$498)&lt;=$ED$474,((MOD($ED$474,($AA$489*GQ$488*$AE$498)))),"")))</f>
        <v/>
      </c>
      <c r="GR489" s="209" t="str">
        <f ca="1">IF($AE498*$AA489*'Customer Base'!$D$26*0.8&gt;5800,"",IF($AE498*$AA489&gt;$AA501,"",IF(($AA$489*GR$488*$AE$498)&lt;=$ED$474,((MOD($ED$474,($AA$489*GR$488*$AE$498)))),"")))</f>
        <v/>
      </c>
      <c r="GS489" s="209" t="str">
        <f ca="1">IF($AE498*$AA489*'Customer Base'!$D$26*0.8&gt;5800,"",IF($AE498*$AA489&gt;$AA501,"",IF(($AA$489*GS$488*$AE$498)&lt;=$ED$474,((MOD($ED$474,($AA$489*GS$488*$AE$498)))),"")))</f>
        <v/>
      </c>
      <c r="GT489" s="209" t="str">
        <f ca="1">IF($AE498*$AA489*'Customer Base'!$D$26*0.8&gt;5800,"",IF($AE498*$AA489&gt;$AA501,"",IF(($AA$489*GT$488*$AE$498)&lt;=$ED$474,((MOD($ED$474,($AA$489*GT$488*$AE$498)))),"")))</f>
        <v/>
      </c>
      <c r="GU489" s="209" t="str">
        <f ca="1">IF($AE498*$AA489*'Customer Base'!$D$26*0.8&gt;5800,"",IF($AE498*$AA489&gt;$AA501,"",IF(($AA$489*GU$488*$AE$498)&lt;=$ED$474,((MOD($ED$474,($AA$489*GU$488*$AE$498)))),"")))</f>
        <v/>
      </c>
      <c r="GV489" s="209" t="str">
        <f ca="1">IF($AE498*$AA489*'Customer Base'!$D$26*0.8&gt;5800,"",IF($AE498*$AA489&gt;$AA501,"",IF(($AA$489*GV$488*$AE$498)&lt;=$ED$474,((MOD($ED$474,($AA$489*GV$488*$AE$498)))),"")))</f>
        <v/>
      </c>
      <c r="GW489" s="209" t="str">
        <f ca="1">IF($AE498*$AA489*'Customer Base'!$D$26*0.8&gt;5800,"",IF($AE498*$AA489&gt;$AA501,"",IF(($AA$489*GW$488*$AE$498)&lt;=$ED$474,((MOD($ED$474,($AA$489*GW$488*$AE$498)))),"")))</f>
        <v/>
      </c>
      <c r="GX489" s="209" t="str">
        <f ca="1">IF($AE498*$AA489*'Customer Base'!$D$26*0.8&gt;5800,"",IF($AE498*$AA489&gt;$AA501,"",IF(($AA$489*GX$488*$AE$498)&lt;=$ED$474,((MOD($ED$474,($AA$489*GX$488*$AE$498)))),"")))</f>
        <v/>
      </c>
      <c r="GY489" s="209" t="str">
        <f ca="1">IF($AE498*$AA489*'Customer Base'!$D$26*0.8&gt;5800,"",IF($AE498*$AA489&gt;$AA501,"",IF(($AA$489*GY$488*$AE$498)&lt;=$ED$474,((MOD($ED$474,($AA$489*GY$488*$AE$498)))),"")))</f>
        <v/>
      </c>
      <c r="GZ489" s="209" t="str">
        <f ca="1">IF($AE498*$AA489*'Customer Base'!$D$26*0.8&gt;5800,"",IF($AE498*$AA489&gt;$AA501,"",IF(($AA$489*GZ$488*$AE$498)&lt;=$ED$474,((MOD($ED$474,($AA$489*GZ$488*$AE$498)))),"")))</f>
        <v/>
      </c>
      <c r="HA489" s="209" t="str">
        <f ca="1">IF($AE498*$AA489*'Customer Base'!$D$26*0.8&gt;5800,"",IF($AE498*$AA489&gt;$AA501,"",IF(($AA$489*HA$488*$AE$498)&lt;=$ED$474,((MOD($ED$474,($AA$489*HA$488*$AE$498)))),"")))</f>
        <v/>
      </c>
      <c r="HB489" s="209" t="str">
        <f ca="1">IF($AE498*$AA489*'Customer Base'!$D$26*0.8&gt;5800,"",IF($AE498*$AA489&gt;$AA501,"",IF(($AA$489*HB$488*$AE$498)&lt;=$ED$474,((MOD($ED$474,($AA$489*HB$488*$AE$498)))),"")))</f>
        <v/>
      </c>
      <c r="HC489" s="209" t="str">
        <f ca="1">IF($AE498*$AA489*'Customer Base'!$D$26*0.8&gt;5800,"",IF($AE498*$AA489&gt;$AA501,"",IF(($AA$489*HC$488*$AE$498)&lt;=$ED$474,((MOD($ED$474,($AA$489*HC$488*$AE$498)))),"")))</f>
        <v/>
      </c>
      <c r="HD489" s="209" t="str">
        <f ca="1">IF($AE498*$AA489*'Customer Base'!$D$26*0.8&gt;5800,"",IF($AE498*$AA489&gt;$AA501,"",IF(($AA$489*HD$488*$AE$498)&lt;=$ED$474,((MOD($ED$474,($AA$489*HD$488*$AE$498)))),"")))</f>
        <v/>
      </c>
      <c r="HE489" s="209" t="str">
        <f ca="1">IF($AE498*$AA489*'Customer Base'!$D$26*0.8&gt;5800,"",IF($AE498*$AA489&gt;$AA501,"",IF(($AA$489*HE$488*$AE$498)&lt;=$ED$474,((MOD($ED$474,($AA$489*HE$488*$AE$498)))),"")))</f>
        <v/>
      </c>
      <c r="HF489" s="209" t="str">
        <f ca="1">IF($AE498*$AA489*'Customer Base'!$D$26*0.8&gt;5800,"",IF($AE498*$AA489&gt;$AA501,"",IF(($AA$489*HF$488*$AE$498)&lt;=$ED$474,((MOD($ED$474,($AA$489*HF$488*$AE$498)))),"")))</f>
        <v/>
      </c>
      <c r="HG489" s="209" t="str">
        <f ca="1">IF($AE498*$AA489*'Customer Base'!$D$26*0.8&gt;5800,"",IF($AE498*$AA489&gt;$AA501,"",IF(($AA$489*HG$488*$AE$498)&lt;=$ED$474,((MOD($ED$474,($AA$489*HG$488*$AE$498)))),"")))</f>
        <v/>
      </c>
      <c r="HH489" s="209" t="str">
        <f ca="1">IF($AE498*$AA489*'Customer Base'!$D$26*0.8&gt;5800,"",IF($AE498*$AA489&gt;$AA501,"",IF(($AA$489*HH$488*$AE$498)&lt;=$ED$474,((MOD($ED$474,($AA$489*HH$488*$AE$498)))),"")))</f>
        <v/>
      </c>
      <c r="HI489" s="209" t="str">
        <f ca="1">IF($AE498*$AA489*'Customer Base'!$D$26*0.8&gt;5800,"",IF($AE498*$AA489&gt;$AA501,"",IF(($AA$489*HI$488*$AE$498)&lt;=$ED$474,((MOD($ED$474,($AA$489*HI$488*$AE$498)))),"")))</f>
        <v/>
      </c>
      <c r="HJ489" s="209" t="str">
        <f ca="1">IF($AE498*$AA489*'Customer Base'!$D$26*0.8&gt;5800,"",IF($AE498*$AA489&gt;$AA501,"",IF(($AA$489*HJ$488*$AE$498)&lt;=$ED$474,((MOD($ED$474,($AA$489*HJ$488*$AE$498)))),"")))</f>
        <v/>
      </c>
      <c r="HK489" s="209" t="str">
        <f ca="1">IF($AE498*$AA489*'Customer Base'!$D$26*0.8&gt;5800,"",IF($AE498*$AA489&gt;$AA501,"",IF(($AA$489*HK$488*$AE$498)&lt;=$ED$474,((MOD($ED$474,($AA$489*HK$488*$AE$498)))),"")))</f>
        <v/>
      </c>
      <c r="HL489" s="209" t="str">
        <f ca="1">IF($AE498*$AA489*'Customer Base'!$D$26*0.8&gt;5800,"",IF($AE498*$AA489&gt;$AA501,"",IF(($AA$489*HL$488*$AE$498)&lt;=$ED$474,((MOD($ED$474,($AA$489*HL$488*$AE$498)))),"")))</f>
        <v/>
      </c>
      <c r="HM489" s="209" t="str">
        <f ca="1">IF($AE498*$AA489*'Customer Base'!$D$26*0.8&gt;5800,"",IF($AE498*$AA489&gt;$AA501,"",IF(($AA$489*HM$488*$AE$498)&lt;=$ED$474,((MOD($ED$474,($AA$489*HM$488*$AE$498)))),"")))</f>
        <v/>
      </c>
      <c r="HN489" s="209" t="str">
        <f ca="1">IF($AE498*$AA489*'Customer Base'!$D$26*0.8&gt;5800,"",IF($AE498*$AA489&gt;$AA501,"",IF(($AA$489*HN$488*$AE$498)&lt;=$ED$474,((MOD($ED$474,($AA$489*HN$488*$AE$498)))),"")))</f>
        <v/>
      </c>
      <c r="HO489" s="209" t="str">
        <f ca="1">IF($AE498*$AA489*'Customer Base'!$D$26*0.8&gt;5800,"",IF($AE498*$AA489&gt;$AA501,"",IF(($AA$489*HO$488*$AE$498)&lt;=$ED$474,((MOD($ED$474,($AA$489*HO$488*$AE$498)))),"")))</f>
        <v/>
      </c>
      <c r="HP489" s="209" t="str">
        <f ca="1">IF($AE498*$AA489*'Customer Base'!$D$26*0.8&gt;5800,"",IF($AE498*$AA489&gt;$AA501,"",IF(($AA$489*HP$488*$AE$498)&lt;=$ED$474,((MOD($ED$474,($AA$489*HP$488*$AE$498)))),"")))</f>
        <v/>
      </c>
      <c r="HQ489" s="209" t="str">
        <f ca="1">IF($AE498*$AA489*'Customer Base'!$D$26*0.8&gt;5800,"",IF($AE498*$AA489&gt;$AA501,"",IF(($AA$489*HQ$488*$AE$498)&lt;=$ED$474,((MOD($ED$474,($AA$489*HQ$488*$AE$498)))),"")))</f>
        <v/>
      </c>
      <c r="HR489" s="209" t="str">
        <f ca="1">IF($AE498*$AA489*'Customer Base'!$D$26*0.8&gt;5800,"",IF($AE498*$AA489&gt;$AA501,"",IF(($AA$489*HR$488*$AE$498)&lt;=$ED$474,((MOD($ED$474,($AA$489*HR$488*$AE$498)))),"")))</f>
        <v/>
      </c>
      <c r="HS489" s="209" t="str">
        <f ca="1">IF($AE498*$AA489*'Customer Base'!$D$26*0.8&gt;5800,"",IF($AE498*$AA489&gt;$AA501,"",IF(($AA$489*HS$488*$AE$498)&lt;=$ED$474,((MOD($ED$474,($AA$489*HS$488*$AE$498)))),"")))</f>
        <v/>
      </c>
      <c r="HT489" s="209" t="str">
        <f ca="1">IF($AE498*$AA489*'Customer Base'!$D$26*0.8&gt;5800,"",IF($AE498*$AA489&gt;$AA501,"",IF(($AA$489*HT$488*$AE$498)&lt;=$ED$474,((MOD($ED$474,($AA$489*HT$488*$AE$498)))),"")))</f>
        <v/>
      </c>
      <c r="HU489" s="209" t="str">
        <f ca="1">IF($AE498*$AA489*'Customer Base'!$D$26*0.8&gt;5800,"",IF($AE498*$AA489&gt;$AA501,"",IF(($AA$489*HU$488*$AE$498)&lt;=$ED$474,((MOD($ED$474,($AA$489*HU$488*$AE$498)))),"")))</f>
        <v/>
      </c>
      <c r="HV489" s="209" t="str">
        <f ca="1">IF($AE498*$AA489*'Customer Base'!$D$26*0.8&gt;5800,"",IF($AE498*$AA489&gt;$AA501,"",IF(($AA$489*HV$488*$AE$498)&lt;=$ED$474,((MOD($ED$474,($AA$489*HV$488*$AE$498)))),"")))</f>
        <v/>
      </c>
      <c r="HW489" s="209" t="str">
        <f ca="1">IF($AE498*$AA489*'Customer Base'!$D$26*0.8&gt;5800,"",IF($AE498*$AA489&gt;$AA501,"",IF(($AA$489*HW$488*$AE$498)&lt;=$ED$474,((MOD($ED$474,($AA$489*HW$488*$AE$498)))),"")))</f>
        <v/>
      </c>
      <c r="HX489" s="209" t="str">
        <f ca="1">IF($AE498*$AA489*'Customer Base'!$D$26*0.8&gt;5800,"",IF($AE498*$AA489&gt;$AA501,"",IF(($AA$489*HX$488*$AE$498)&lt;=$ED$474,((MOD($ED$474,($AA$489*HX$488*$AE$498)))),"")))</f>
        <v/>
      </c>
      <c r="HY489" s="209" t="str">
        <f ca="1">IF($AE498*$AA489*'Customer Base'!$D$26*0.8&gt;5800,"",IF($AE498*$AA489&gt;$AA501,"",IF(($AA$489*HY$488*$AE$498)&lt;=$ED$474,((MOD($ED$474,($AA$489*HY$488*$AE$498)))),"")))</f>
        <v/>
      </c>
      <c r="HZ489" s="209" t="str">
        <f ca="1">IF($AE498*$AA489*'Customer Base'!$D$26*0.8&gt;5800,"",IF($AE498*$AA489&gt;$AA501,"",IF(($AA$489*HZ$488*$AE$498)&lt;=$ED$474,((MOD($ED$474,($AA$489*HZ$488*$AE$498)))),"")))</f>
        <v/>
      </c>
      <c r="IA489" s="209" t="str">
        <f ca="1">IF($AE498*$AA489*'Customer Base'!$D$26*0.8&gt;5800,"",IF($AE498*$AA489&gt;$AA501,"",IF(($AA$489*IA$488*$AE$498)&lt;=$ED$474,((MOD($ED$474,($AA$489*IA$488*$AE$498)))),"")))</f>
        <v/>
      </c>
      <c r="IB489" s="209" t="str">
        <f ca="1">IF($AE498*$AA489*'Customer Base'!$D$26*0.8&gt;5800,"",IF($AE498*$AA489&gt;$AA501,"",IF(($AA$489*IB$488*$AE$498)&lt;=$ED$474,((MOD($ED$474,($AA$489*IB$488*$AE$498)))),"")))</f>
        <v/>
      </c>
      <c r="IC489" s="209" t="str">
        <f ca="1">IF($AE498*$AA489*'Customer Base'!$D$26*0.8&gt;5800,"",IF($AE498*$AA489&gt;$AA501,"",IF(($AA$489*IC$488*$AE$498)&lt;=$ED$474,((MOD($ED$474,($AA$489*IC$488*$AE$498)))),"")))</f>
        <v/>
      </c>
      <c r="ID489" s="209" t="str">
        <f ca="1">IF($AE498*$AA489*'Customer Base'!$D$26*0.8&gt;5800,"",IF($AE498*$AA489&gt;$AA501,"",IF(($AA$489*ID$488*$AE$498)&lt;=$ED$474,((MOD($ED$474,($AA$489*ID$488*$AE$498)))),"")))</f>
        <v/>
      </c>
      <c r="IE489" s="209" t="str">
        <f ca="1">IF($AE498*$AA489*'Customer Base'!$D$26*0.8&gt;5800,"",IF($AE498*$AA489&gt;$AA501,"",IF(($AA$489*IE$488*$AE$498)&lt;=$ED$474,((MOD($ED$474,($AA$489*IE$488*$AE$498)))),"")))</f>
        <v/>
      </c>
      <c r="IF489" s="209" t="str">
        <f ca="1">IF($AE498*$AA489*'Customer Base'!$D$26*0.8&gt;5800,"",IF($AE498*$AA489&gt;$AA501,"",IF(($AA$489*IF$488*$AE$498)&lt;=$ED$474,((MOD($ED$474,($AA$489*IF$488*$AE$498)))),"")))</f>
        <v/>
      </c>
      <c r="IG489" s="209" t="str">
        <f ca="1">IF($AE498*$AA489*'Customer Base'!$D$26*0.8&gt;5800,"",IF($AE498*$AA489&gt;$AA501,"",IF(($AA$489*IG$488*$AE$498)&lt;=$ED$474,((MOD($ED$474,($AA$489*IG$488*$AE$498)))),"")))</f>
        <v/>
      </c>
      <c r="IH489" s="209" t="str">
        <f ca="1">IF($AE498*$AA489*'Customer Base'!$D$26*0.8&gt;5800,"",IF($AE498*$AA489&gt;$AA501,"",IF(($AA$489*IH$488*$AE$498)&lt;=$ED$474,((MOD($ED$474,($AA$489*IH$488*$AE$498)))),"")))</f>
        <v/>
      </c>
      <c r="II489" s="209" t="str">
        <f ca="1">IF($AE498*$AA489*'Customer Base'!$D$26*0.8&gt;5800,"",IF($AE498*$AA489&gt;$AA501,"",IF(($AA$489*II$488*$AE$498)&lt;=$ED$474,((MOD($ED$474,($AA$489*II$488*$AE$498)))),"")))</f>
        <v/>
      </c>
      <c r="IK489" s="209" t="str" cm="1">
        <f t="array" aca="1" ref="IK489" ca="1">IFERROR(LOOKUP(2,1/(EN489:II489&lt;&gt;""),EN$488:II$488),"")</f>
        <v/>
      </c>
      <c r="IL489" s="311" t="str" cm="1">
        <f t="array" aca="1" ref="IL489" ca="1">IF(IK$474=IK489,LOOKUP(2,1/(EN489:II489&lt;&gt;""),EN489:II489),"")</f>
        <v/>
      </c>
      <c r="IM489" s="311" t="str">
        <f ca="1">IF(IL489=IL$474,1,"")</f>
        <v/>
      </c>
      <c r="IN489" s="311"/>
    </row>
    <row r="490" spans="2:248" ht="17">
      <c r="B490" s="206" t="s">
        <v>1354</v>
      </c>
      <c r="C490" s="207" t="s">
        <v>51</v>
      </c>
      <c r="D490" s="207" t="s">
        <v>51</v>
      </c>
      <c r="E490" s="210" t="s">
        <v>1328</v>
      </c>
      <c r="F490" s="102" t="str">
        <f t="shared" si="15"/>
        <v>T-FH</v>
      </c>
      <c r="AA490" s="209">
        <v>3</v>
      </c>
      <c r="AB490" s="311" t="s">
        <v>2686</v>
      </c>
      <c r="AC490" s="209">
        <f ca="1">IFERROR(MOD(AD$493,AA490),"")</f>
        <v>2.25</v>
      </c>
      <c r="AD490" s="209" t="str">
        <f ca="1">IF(OR(AD493=1,AD493=""),"",IF(AND(AC491&lt;&gt;0,AC490=0),IF(AC490=0,AA490,""),IF(AND(MAX(AC489:AC491)=AA490,SUMPRODUCT(AD491,AE491)&lt;&gt;AD493),AA490,"")))</f>
        <v/>
      </c>
      <c r="AE490" s="209" t="str">
        <f ca="1">IFERROR(IF(COUNT(AD490:AD491)&gt;1,1,(ROUNDDOWN(AD$493/AD490,0))),"")</f>
        <v/>
      </c>
      <c r="AF490" s="209" t="str">
        <f ca="1">IF($AE498*$AA490*'Customer Base'!$D$26*0.8&gt;5800,"",IF($AE498*$AA490&gt;$AA501,"",IF(($AA$490*AF$488*$AE$498)&lt;=$AA$501,((MOD($AA$501,($AA$490*AF$488*$AE$498)))),"")))</f>
        <v/>
      </c>
      <c r="AG490" s="209" t="str">
        <f ca="1">IF($AE498*$AA490*'Customer Base'!$D$26*0.8&gt;5800,"",IF($AE498*$AA490&gt;$AA501,"",IF(($AA$490*AG$488*$AE$498)&lt;=$AA$501,((MOD($AA$501,($AA$490*AG$488*$AE$498)))),"")))</f>
        <v/>
      </c>
      <c r="AH490" s="209" t="str">
        <f ca="1">IF($AE498*$AA490*'Customer Base'!$D$26*0.8&gt;5800,"",IF($AE498*$AA490&gt;$AA501,"",IF(($AA$490*AH$488*$AE$498)&lt;=$AA$501,((MOD($AA$501,($AA$490*AH$488*$AE$498)))),"")))</f>
        <v/>
      </c>
      <c r="AI490" s="209" t="str">
        <f ca="1">IF($AE498*$AA490*'Customer Base'!$D$26*0.8&gt;5800,"",IF($AE498*$AA490&gt;$AA501,"",IF(($AA$490*AI$488*$AE$498)&lt;=$AA$501,((MOD($AA$501,($AA$490*AI$488*$AE$498)))),"")))</f>
        <v/>
      </c>
      <c r="AJ490" s="209" t="str">
        <f ca="1">IF($AE498*$AA490*'Customer Base'!$D$26*0.8&gt;5800,"",IF($AE498*$AA490&gt;$AA501,"",IF(($AA$490*AJ$488*$AE$498)&lt;=$AA$501,((MOD($AA$501,($AA$490*AJ$488*$AE$498)))),"")))</f>
        <v/>
      </c>
      <c r="AK490" s="209" t="str">
        <f ca="1">IF($AE498*$AA490*'Customer Base'!$D$26*0.8&gt;5800,"",IF($AE498*$AA490&gt;$AA501,"",IF(($AA$490*AK$488*$AE$498)&lt;=$AA$501,((MOD($AA$501,($AA$490*AK$488*$AE$498)))),"")))</f>
        <v/>
      </c>
      <c r="AL490" s="209" t="str">
        <f ca="1">IF($AE498*$AA490*'Customer Base'!$D$26*0.8&gt;5800,"",IF($AE498*$AA490&gt;$AA501,"",IF(($AA$490*AL$488*$AE$498)&lt;=$AA$501,((MOD($AA$501,($AA$490*AL$488*$AE$498)))),"")))</f>
        <v/>
      </c>
      <c r="AM490" s="209" t="str">
        <f ca="1">IF($AE498*$AA490*'Customer Base'!$D$26*0.8&gt;5800,"",IF($AE498*$AA490&gt;$AA501,"",IF(($AA$490*AM$488*$AE$498)&lt;=$AA$501,((MOD($AA$501,($AA$490*AM$488*$AE$498)))),"")))</f>
        <v/>
      </c>
      <c r="AN490" s="209" t="str">
        <f ca="1">IF($AE498*$AA490*'Customer Base'!$D$26*0.8&gt;5800,"",IF($AE498*$AA490&gt;$AA501,"",IF(($AA$490*AN$488*$AE$498)&lt;=$AA$501,((MOD($AA$501,($AA$490*AN$488*$AE$498)))),"")))</f>
        <v/>
      </c>
      <c r="AO490" s="209" t="str">
        <f ca="1">IF($AE498*$AA490*'Customer Base'!$D$26*0.8&gt;5800,"",IF($AE498*$AA490&gt;$AA501,"",IF(($AA$490*AO$488*$AE$498)&lt;=$AA$501,((MOD($AA$501,($AA$490*AO$488*$AE$498)))),"")))</f>
        <v/>
      </c>
      <c r="AP490" s="209" t="str">
        <f ca="1">IF($AE498*$AA490*'Customer Base'!$D$26*0.8&gt;5800,"",IF($AE498*$AA490&gt;$AA501,"",IF(($AA$490*AP$488*$AE$498)&lt;=$AA$501,((MOD($AA$501,($AA$490*AP$488*$AE$498)))),"")))</f>
        <v/>
      </c>
      <c r="AQ490" s="209" t="str">
        <f ca="1">IF($AE498*$AA490*'Customer Base'!$D$26*0.8&gt;5800,"",IF($AE498*$AA490&gt;$AA501,"",IF(($AA$490*AQ$488*$AE$498)&lt;=$AA$501,((MOD($AA$501,($AA$490*AQ$488*$AE$498)))),"")))</f>
        <v/>
      </c>
      <c r="AR490" s="209" t="str">
        <f ca="1">IF($AE498*$AA490*'Customer Base'!$D$26*0.8&gt;5800,"",IF($AE498*$AA490&gt;$AA501,"",IF(($AA$490*AR$488*$AE$498)&lt;=$AA$501,((MOD($AA$501,($AA$490*AR$488*$AE$498)))),"")))</f>
        <v/>
      </c>
      <c r="AS490" s="209" t="str">
        <f ca="1">IF($AE498*$AA490*'Customer Base'!$D$26*0.8&gt;5800,"",IF($AE498*$AA490&gt;$AA501,"",IF(($AA$490*AS$488*$AE$498)&lt;=$AA$501,((MOD($AA$501,($AA$490*AS$488*$AE$498)))),"")))</f>
        <v/>
      </c>
      <c r="AT490" s="209" t="str">
        <f ca="1">IF($AE498*$AA490*'Customer Base'!$D$26*0.8&gt;5800,"",IF($AE498*$AA490&gt;$AA501,"",IF(($AA$490*AT$488*$AE$498)&lt;=$AA$501,((MOD($AA$501,($AA$490*AT$488*$AE$498)))),"")))</f>
        <v/>
      </c>
      <c r="AU490" s="209" t="str">
        <f ca="1">IF($AE498*$AA490*'Customer Base'!$D$26*0.8&gt;5800,"",IF($AE498*$AA490&gt;$AA501,"",IF(($AA$490*AU$488*$AE$498)&lt;=$AA$501,((MOD($AA$501,($AA$490*AU$488*$AE$498)))),"")))</f>
        <v/>
      </c>
      <c r="AV490" s="209" t="str">
        <f ca="1">IF($AE498*$AA490*'Customer Base'!$D$26*0.8&gt;5800,"",IF($AE498*$AA490&gt;$AA501,"",IF(($AA$490*AV$488*$AE$498)&lt;=$AA$501,((MOD($AA$501,($AA$490*AV$488*$AE$498)))),"")))</f>
        <v/>
      </c>
      <c r="AW490" s="209" t="str">
        <f ca="1">IF($AE498*$AA490*'Customer Base'!$D$26*0.8&gt;5800,"",IF($AE498*$AA490&gt;$AA501,"",IF(($AA$490*AW$488*$AE$498)&lt;=$AA$501,((MOD($AA$501,($AA$490*AW$488*$AE$498)))),"")))</f>
        <v/>
      </c>
      <c r="AX490" s="209" t="str">
        <f ca="1">IF($AE498*$AA490*'Customer Base'!$D$26*0.8&gt;5800,"",IF($AE498*$AA490&gt;$AA501,"",IF(($AA$490*AX$488*$AE$498)&lt;=$AA$501,((MOD($AA$501,($AA$490*AX$488*$AE$498)))),"")))</f>
        <v/>
      </c>
      <c r="AY490" s="209" t="str">
        <f ca="1">IF($AE498*$AA490*'Customer Base'!$D$26*0.8&gt;5800,"",IF($AE498*$AA490&gt;$AA501,"",IF(($AA$490*AY$488*$AE$498)&lt;=$AA$501,((MOD($AA$501,($AA$490*AY$488*$AE$498)))),"")))</f>
        <v/>
      </c>
      <c r="AZ490" s="209" t="str">
        <f ca="1">IF($AE498*$AA490*'Customer Base'!$D$26*0.8&gt;5800,"",IF($AE498*$AA490&gt;$AA501,"",IF(($AA$490*AZ$488*$AE$498)&lt;=$AA$501,((MOD($AA$501,($AA$490*AZ$488*$AE$498)))),"")))</f>
        <v/>
      </c>
      <c r="BA490" s="209" t="str">
        <f ca="1">IF($AE498*$AA490*'Customer Base'!$D$26*0.8&gt;5800,"",IF($AE498*$AA490&gt;$AA501,"",IF(($AA$490*BA$488*$AE$498)&lt;=$AA$501,((MOD($AA$501,($AA$490*BA$488*$AE$498)))),"")))</f>
        <v/>
      </c>
      <c r="BB490" s="209" t="str">
        <f ca="1">IF($AE498*$AA490*'Customer Base'!$D$26*0.8&gt;5800,"",IF($AE498*$AA490&gt;$AA501,"",IF(($AA$490*BB$488*$AE$498)&lt;=$AA$501,((MOD($AA$501,($AA$490*BB$488*$AE$498)))),"")))</f>
        <v/>
      </c>
      <c r="BC490" s="209" t="str">
        <f ca="1">IF($AE498*$AA490*'Customer Base'!$D$26*0.8&gt;5800,"",IF($AE498*$AA490&gt;$AA501,"",IF(($AA$490*BC$488*$AE$498)&lt;=$AA$501,((MOD($AA$501,($AA$490*BC$488*$AE$498)))),"")))</f>
        <v/>
      </c>
      <c r="BD490" s="209" t="str">
        <f ca="1">IF($AE498*$AA490*'Customer Base'!$D$26*0.8&gt;5800,"",IF($AE498*$AA490&gt;$AA501,"",IF(($AA$490*BD$488*$AE$498)&lt;=$AA$501,((MOD($AA$501,($AA$490*BD$488*$AE$498)))),"")))</f>
        <v/>
      </c>
      <c r="BE490" s="209" t="str">
        <f ca="1">IF($AE498*$AA490*'Customer Base'!$D$26*0.8&gt;5800,"",IF($AE498*$AA490&gt;$AA501,"",IF(($AA$490*BE$488*$AE$498)&lt;=$AA$501,((MOD($AA$501,($AA$490*BE$488*$AE$498)))),"")))</f>
        <v/>
      </c>
      <c r="BF490" s="209" t="str">
        <f ca="1">IF($AE498*$AA490*'Customer Base'!$D$26*0.8&gt;5800,"",IF($AE498*$AA490&gt;$AA501,"",IF(($AA$490*BF$488*$AE$498)&lt;=$AA$501,((MOD($AA$501,($AA$490*BF$488*$AE$498)))),"")))</f>
        <v/>
      </c>
      <c r="BG490" s="209" t="str">
        <f ca="1">IF($AE498*$AA490*'Customer Base'!$D$26*0.8&gt;5800,"",IF($AE498*$AA490&gt;$AA501,"",IF(($AA$490*BG$488*$AE$498)&lt;=$AA$501,((MOD($AA$501,($AA$490*BG$488*$AE$498)))),"")))</f>
        <v/>
      </c>
      <c r="BH490" s="209" t="str">
        <f ca="1">IF($AE498*$AA490*'Customer Base'!$D$26*0.8&gt;5800,"",IF($AE498*$AA490&gt;$AA501,"",IF(($AA$490*BH$488*$AE$498)&lt;=$AA$501,((MOD($AA$501,($AA$490*BH$488*$AE$498)))),"")))</f>
        <v/>
      </c>
      <c r="BI490" s="209" t="str">
        <f ca="1">IF($AE498*$AA490*'Customer Base'!$D$26*0.8&gt;5800,"",IF($AE498*$AA490&gt;$AA501,"",IF(($AA$490*BI$488*$AE$498)&lt;=$AA$501,((MOD($AA$501,($AA$490*BI$488*$AE$498)))),"")))</f>
        <v/>
      </c>
      <c r="BJ490" s="209" t="str">
        <f ca="1">IF($AE498*$AA490*'Customer Base'!$D$26*0.8&gt;5800,"",IF($AE498*$AA490&gt;$AA501,"",IF(($AA$490*BJ$488*$AE$498)&lt;=$AA$501,((MOD($AA$501,($AA$490*BJ$488*$AE$498)))),"")))</f>
        <v/>
      </c>
      <c r="BK490" s="209" t="str">
        <f ca="1">IF($AE498*$AA490*'Customer Base'!$D$26*0.8&gt;5800,"",IF($AE498*$AA490&gt;$AA501,"",IF(($AA$490*BK$488*$AE$498)&lt;=$AA$501,((MOD($AA$501,($AA$490*BK$488*$AE$498)))),"")))</f>
        <v/>
      </c>
      <c r="BL490" s="209" t="str">
        <f ca="1">IF($AE498*$AA490*'Customer Base'!$D$26*0.8&gt;5800,"",IF($AE498*$AA490&gt;$AA501,"",IF(($AA$490*BL$488*$AE$498)&lt;=$AA$501,((MOD($AA$501,($AA$490*BL$488*$AE$498)))),"")))</f>
        <v/>
      </c>
      <c r="BM490" s="209" t="str">
        <f ca="1">IF($AE498*$AA490*'Customer Base'!$D$26*0.8&gt;5800,"",IF($AE498*$AA490&gt;$AA501,"",IF(($AA$490*BM$488*$AE$498)&lt;=$AA$501,((MOD($AA$501,($AA$490*BM$488*$AE$498)))),"")))</f>
        <v/>
      </c>
      <c r="BN490" s="209" t="str">
        <f ca="1">IF($AE498*$AA490*'Customer Base'!$D$26*0.8&gt;5800,"",IF($AE498*$AA490&gt;$AA501,"",IF(($AA$490*BN$488*$AE$498)&lt;=$AA$501,((MOD($AA$501,($AA$490*BN$488*$AE$498)))),"")))</f>
        <v/>
      </c>
      <c r="BO490" s="209" t="str">
        <f ca="1">IF($AE498*$AA490*'Customer Base'!$D$26*0.8&gt;5800,"",IF($AE498*$AA490&gt;$AA501,"",IF(($AA$490*BO$488*$AE$498)&lt;=$AA$501,((MOD($AA$501,($AA$490*BO$488*$AE$498)))),"")))</f>
        <v/>
      </c>
      <c r="BP490" s="209" t="str">
        <f ca="1">IF($AE498*$AA490*'Customer Base'!$D$26*0.8&gt;5800,"",IF($AE498*$AA490&gt;$AA501,"",IF(($AA$490*BP$488*$AE$498)&lt;=$AA$501,((MOD($AA$501,($AA$490*BP$488*$AE$498)))),"")))</f>
        <v/>
      </c>
      <c r="BQ490" s="209" t="str">
        <f ca="1">IF($AE498*$AA490*'Customer Base'!$D$26*0.8&gt;5800,"",IF($AE498*$AA490&gt;$AA501,"",IF(($AA$490*BQ$488*$AE$498)&lt;=$AA$501,((MOD($AA$501,($AA$490*BQ$488*$AE$498)))),"")))</f>
        <v/>
      </c>
      <c r="BR490" s="209" t="str">
        <f ca="1">IF($AE498*$AA490*'Customer Base'!$D$26*0.8&gt;5800,"",IF($AE498*$AA490&gt;$AA501,"",IF(($AA$490*BR$488*$AE$498)&lt;=$AA$501,((MOD($AA$501,($AA$490*BR$488*$AE$498)))),"")))</f>
        <v/>
      </c>
      <c r="BS490" s="209" t="str">
        <f ca="1">IF($AE498*$AA490*'Customer Base'!$D$26*0.8&gt;5800,"",IF($AE498*$AA490&gt;$AA501,"",IF(($AA$490*BS$488*$AE$498)&lt;=$AA$501,((MOD($AA$501,($AA$490*BS$488*$AE$498)))),"")))</f>
        <v/>
      </c>
      <c r="BT490" s="209" t="str">
        <f ca="1">IF($AE498*$AA490*'Customer Base'!$D$26*0.8&gt;5800,"",IF($AE498*$AA490&gt;$AA501,"",IF(($AA$490*BT$488*$AE$498)&lt;=$AA$501,((MOD($AA$501,($AA$490*BT$488*$AE$498)))),"")))</f>
        <v/>
      </c>
      <c r="BU490" s="209" t="str">
        <f ca="1">IF($AE498*$AA490*'Customer Base'!$D$26*0.8&gt;5800,"",IF($AE498*$AA490&gt;$AA501,"",IF(($AA$490*BU$488*$AE$498)&lt;=$AA$501,((MOD($AA$501,($AA$490*BU$488*$AE$498)))),"")))</f>
        <v/>
      </c>
      <c r="BV490" s="209" t="str">
        <f ca="1">IF($AE498*$AA490*'Customer Base'!$D$26*0.8&gt;5800,"",IF($AE498*$AA490&gt;$AA501,"",IF(($AA$490*BV$488*$AE$498)&lt;=$AA$501,((MOD($AA$501,($AA$490*BV$488*$AE$498)))),"")))</f>
        <v/>
      </c>
      <c r="BW490" s="209" t="str">
        <f ca="1">IF($AE498*$AA490*'Customer Base'!$D$26*0.8&gt;5800,"",IF($AE498*$AA490&gt;$AA501,"",IF(($AA$490*BW$488*$AE$498)&lt;=$AA$501,((MOD($AA$501,($AA$490*BW$488*$AE$498)))),"")))</f>
        <v/>
      </c>
      <c r="BX490" s="209" t="str">
        <f ca="1">IF($AE498*$AA490*'Customer Base'!$D$26*0.8&gt;5800,"",IF($AE498*$AA490&gt;$AA501,"",IF(($AA$490*BX$488*$AE$498)&lt;=$AA$501,((MOD($AA$501,($AA$490*BX$488*$AE$498)))),"")))</f>
        <v/>
      </c>
      <c r="BY490" s="209" t="str">
        <f ca="1">IF($AE498*$AA490*'Customer Base'!$D$26*0.8&gt;5800,"",IF($AE498*$AA490&gt;$AA501,"",IF(($AA$490*BY$488*$AE$498)&lt;=$AA$501,((MOD($AA$501,($AA$490*BY$488*$AE$498)))),"")))</f>
        <v/>
      </c>
      <c r="BZ490" s="209" t="str">
        <f ca="1">IF($AE498*$AA490*'Customer Base'!$D$26*0.8&gt;5800,"",IF($AE498*$AA490&gt;$AA501,"",IF(($AA$490*BZ$488*$AE$498)&lt;=$AA$501,((MOD($AA$501,($AA$490*BZ$488*$AE$498)))),"")))</f>
        <v/>
      </c>
      <c r="CA490" s="209" t="str">
        <f ca="1">IF($AE498*$AA490*'Customer Base'!$D$26*0.8&gt;5800,"",IF($AE498*$AA490&gt;$AA501,"",IF(($AA$490*CA$488*$AE$498)&lt;=$AA$501,((MOD($AA$501,($AA$490*CA$488*$AE$498)))),"")))</f>
        <v/>
      </c>
      <c r="CB490" s="209" t="str">
        <f ca="1">IF($AE498*$AA490*'Customer Base'!$D$26*0.8&gt;5800,"",IF($AE498*$AA490&gt;$AA501,"",IF(($AA$490*CB$488*$AE$498)&lt;=$AA$501,((MOD($AA$501,($AA$490*CB$488*$AE$498)))),"")))</f>
        <v/>
      </c>
      <c r="CC490" s="209" t="str">
        <f ca="1">IF($AE498*$AA490*'Customer Base'!$D$26*0.8&gt;5800,"",IF($AE498*$AA490&gt;$AA501,"",IF(($AA$490*CC$488*$AE$498)&lt;=$AA$501,((MOD($AA$501,($AA$490*CC$488*$AE$498)))),"")))</f>
        <v/>
      </c>
      <c r="CD490" s="209" t="str">
        <f ca="1">IF($AE498*$AA490*'Customer Base'!$D$26*0.8&gt;5800,"",IF($AE498*$AA490&gt;$AA501,"",IF(($AA$490*CD$488*$AE$498)&lt;=$AA$501,((MOD($AA$501,($AA$490*CD$488*$AE$498)))),"")))</f>
        <v/>
      </c>
      <c r="CE490" s="209" t="str">
        <f ca="1">IF($AE498*$AA490*'Customer Base'!$D$26*0.8&gt;5800,"",IF($AE498*$AA490&gt;$AA501,"",IF(($AA$490*CE$488*$AE$498)&lt;=$AA$501,((MOD($AA$501,($AA$490*CE$488*$AE$498)))),"")))</f>
        <v/>
      </c>
      <c r="CF490" s="209" t="str">
        <f ca="1">IF($AE498*$AA490*'Customer Base'!$D$26*0.8&gt;5800,"",IF($AE498*$AA490&gt;$AA501,"",IF(($AA$490*CF$488*$AE$498)&lt;=$AA$501,((MOD($AA$501,($AA$490*CF$488*$AE$498)))),"")))</f>
        <v/>
      </c>
      <c r="CG490" s="209" t="str">
        <f ca="1">IF($AE498*$AA490*'Customer Base'!$D$26*0.8&gt;5800,"",IF($AE498*$AA490&gt;$AA501,"",IF(($AA$490*CG$488*$AE$498)&lt;=$AA$501,((MOD($AA$501,($AA$490*CG$488*$AE$498)))),"")))</f>
        <v/>
      </c>
      <c r="CH490" s="209" t="str">
        <f ca="1">IF($AE498*$AA490*'Customer Base'!$D$26*0.8&gt;5800,"",IF($AE498*$AA490&gt;$AA501,"",IF(($AA$490*CH$488*$AE$498)&lt;=$AA$501,((MOD($AA$501,($AA$490*CH$488*$AE$498)))),"")))</f>
        <v/>
      </c>
      <c r="CI490" s="209" t="str">
        <f ca="1">IF($AE498*$AA490*'Customer Base'!$D$26*0.8&gt;5800,"",IF($AE498*$AA490&gt;$AA501,"",IF(($AA$490*CI$488*$AE$498)&lt;=$AA$501,((MOD($AA$501,($AA$490*CI$488*$AE$498)))),"")))</f>
        <v/>
      </c>
      <c r="CJ490" s="209" t="str">
        <f ca="1">IF($AE498*$AA490*'Customer Base'!$D$26*0.8&gt;5800,"",IF($AE498*$AA490&gt;$AA501,"",IF(($AA$490*CJ$488*$AE$498)&lt;=$AA$501,((MOD($AA$501,($AA$490*CJ$488*$AE$498)))),"")))</f>
        <v/>
      </c>
      <c r="CK490" s="209" t="str">
        <f ca="1">IF($AE498*$AA490*'Customer Base'!$D$26*0.8&gt;5800,"",IF($AE498*$AA490&gt;$AA501,"",IF(($AA$490*CK$488*$AE$498)&lt;=$AA$501,((MOD($AA$501,($AA$490*CK$488*$AE$498)))),"")))</f>
        <v/>
      </c>
      <c r="CL490" s="209" t="str">
        <f ca="1">IF($AE498*$AA490*'Customer Base'!$D$26*0.8&gt;5800,"",IF($AE498*$AA490&gt;$AA501,"",IF(($AA$490*CL$488*$AE$498)&lt;=$AA$501,((MOD($AA$501,($AA$490*CL$488*$AE$498)))),"")))</f>
        <v/>
      </c>
      <c r="CM490" s="209" t="str">
        <f ca="1">IF($AE498*$AA490*'Customer Base'!$D$26*0.8&gt;5800,"",IF($AE498*$AA490&gt;$AA501,"",IF(($AA$490*CM$488*$AE$498)&lt;=$AA$501,((MOD($AA$501,($AA$490*CM$488*$AE$498)))),"")))</f>
        <v/>
      </c>
      <c r="CN490" s="209" t="str">
        <f ca="1">IF($AE498*$AA490*'Customer Base'!$D$26*0.8&gt;5800,"",IF($AE498*$AA490&gt;$AA501,"",IF(($AA$490*CN$488*$AE$498)&lt;=$AA$501,((MOD($AA$501,($AA$490*CN$488*$AE$498)))),"")))</f>
        <v/>
      </c>
      <c r="CO490" s="209" t="str">
        <f ca="1">IF($AE498*$AA490*'Customer Base'!$D$26*0.8&gt;5800,"",IF($AE498*$AA490&gt;$AA501,"",IF(($AA$490*CO$488*$AE$498)&lt;=$AA$501,((MOD($AA$501,($AA$490*CO$488*$AE$498)))),"")))</f>
        <v/>
      </c>
      <c r="CP490" s="209" t="str">
        <f ca="1">IF($AE498*$AA490*'Customer Base'!$D$26*0.8&gt;5800,"",IF($AE498*$AA490&gt;$AA501,"",IF(($AA$490*CP$488*$AE$498)&lt;=$AA$501,((MOD($AA$501,($AA$490*CP$488*$AE$498)))),"")))</f>
        <v/>
      </c>
      <c r="CQ490" s="209" t="str">
        <f ca="1">IF($AE498*$AA490*'Customer Base'!$D$26*0.8&gt;5800,"",IF($AE498*$AA490&gt;$AA501,"",IF(($AA$490*CQ$488*$AE$498)&lt;=$AA$501,((MOD($AA$501,($AA$490*CQ$488*$AE$498)))),"")))</f>
        <v/>
      </c>
      <c r="CR490" s="209" t="str">
        <f ca="1">IF($AE498*$AA490*'Customer Base'!$D$26*0.8&gt;5800,"",IF($AE498*$AA490&gt;$AA501,"",IF(($AA$490*CR$488*$AE$498)&lt;=$AA$501,((MOD($AA$501,($AA$490*CR$488*$AE$498)))),"")))</f>
        <v/>
      </c>
      <c r="CS490" s="209" t="str">
        <f ca="1">IF($AE498*$AA490*'Customer Base'!$D$26*0.8&gt;5800,"",IF($AE498*$AA490&gt;$AA501,"",IF(($AA$490*CS$488*$AE$498)&lt;=$AA$501,((MOD($AA$501,($AA$490*CS$488*$AE$498)))),"")))</f>
        <v/>
      </c>
      <c r="CT490" s="209" t="str">
        <f ca="1">IF($AE498*$AA490*'Customer Base'!$D$26*0.8&gt;5800,"",IF($AE498*$AA490&gt;$AA501,"",IF(($AA$490*CT$488*$AE$498)&lt;=$AA$501,((MOD($AA$501,($AA$490*CT$488*$AE$498)))),"")))</f>
        <v/>
      </c>
      <c r="CU490" s="209" t="str">
        <f ca="1">IF($AE498*$AA490*'Customer Base'!$D$26*0.8&gt;5800,"",IF($AE498*$AA490&gt;$AA501,"",IF(($AA$490*CU$488*$AE$498)&lt;=$AA$501,((MOD($AA$501,($AA$490*CU$488*$AE$498)))),"")))</f>
        <v/>
      </c>
      <c r="CV490" s="209" t="str">
        <f ca="1">IF($AE498*$AA490*'Customer Base'!$D$26*0.8&gt;5800,"",IF($AE498*$AA490&gt;$AA501,"",IF(($AA$490*CV$488*$AE$498)&lt;=$AA$501,((MOD($AA$501,($AA$490*CV$488*$AE$498)))),"")))</f>
        <v/>
      </c>
      <c r="CW490" s="209" t="str">
        <f ca="1">IF($AE498*$AA490*'Customer Base'!$D$26*0.8&gt;5800,"",IF($AE498*$AA490&gt;$AA501,"",IF(($AA$490*CW$488*$AE$498)&lt;=$AA$501,((MOD($AA$501,($AA$490*CW$488*$AE$498)))),"")))</f>
        <v/>
      </c>
      <c r="CX490" s="209" t="str">
        <f ca="1">IF($AE498*$AA490*'Customer Base'!$D$26*0.8&gt;5800,"",IF($AE498*$AA490&gt;$AA501,"",IF(($AA$490*CX$488*$AE$498)&lt;=$AA$501,((MOD($AA$501,($AA$490*CX$488*$AE$498)))),"")))</f>
        <v/>
      </c>
      <c r="CY490" s="209" t="str">
        <f ca="1">IF($AE498*$AA490*'Customer Base'!$D$26*0.8&gt;5800,"",IF($AE498*$AA490&gt;$AA501,"",IF(($AA$490*CY$488*$AE$498)&lt;=$AA$501,((MOD($AA$501,($AA$490*CY$488*$AE$498)))),"")))</f>
        <v/>
      </c>
      <c r="CZ490" s="209" t="str">
        <f ca="1">IF($AE498*$AA490*'Customer Base'!$D$26*0.8&gt;5800,"",IF($AE498*$AA490&gt;$AA501,"",IF(($AA$490*CZ$488*$AE$498)&lt;=$AA$501,((MOD($AA$501,($AA$490*CZ$488*$AE$498)))),"")))</f>
        <v/>
      </c>
      <c r="DA490" s="209" t="str">
        <f ca="1">IF($AE498*$AA490*'Customer Base'!$D$26*0.8&gt;5800,"",IF($AE498*$AA490&gt;$AA501,"",IF(($AA$490*DA$488*$AE$498)&lt;=$AA$501,((MOD($AA$501,($AA$490*DA$488*$AE$498)))),"")))</f>
        <v/>
      </c>
      <c r="DB490" s="209" t="str">
        <f ca="1">IF($AE498*$AA490*'Customer Base'!$D$26*0.8&gt;5800,"",IF($AE498*$AA490&gt;$AA501,"",IF(($AA$490*DB$488*$AE$498)&lt;=$AA$501,((MOD($AA$501,($AA$490*DB$488*$AE$498)))),"")))</f>
        <v/>
      </c>
      <c r="DC490" s="209" t="str">
        <f ca="1">IF($AE498*$AA490*'Customer Base'!$D$26*0.8&gt;5800,"",IF($AE498*$AA490&gt;$AA501,"",IF(($AA$490*DC$488*$AE$498)&lt;=$AA$501,((MOD($AA$501,($AA$490*DC$488*$AE$498)))),"")))</f>
        <v/>
      </c>
      <c r="DD490" s="209" t="str">
        <f ca="1">IF($AE498*$AA490*'Customer Base'!$D$26*0.8&gt;5800,"",IF($AE498*$AA490&gt;$AA501,"",IF(($AA$490*DD$488*$AE$498)&lt;=$AA$501,((MOD($AA$501,($AA$490*DD$488*$AE$498)))),"")))</f>
        <v/>
      </c>
      <c r="DE490" s="209" t="str">
        <f ca="1">IF($AE498*$AA490*'Customer Base'!$D$26*0.8&gt;5800,"",IF($AE498*$AA490&gt;$AA501,"",IF(($AA$490*DE$488*$AE$498)&lt;=$AA$501,((MOD($AA$501,($AA$490*DE$488*$AE$498)))),"")))</f>
        <v/>
      </c>
      <c r="DF490" s="209" t="str">
        <f ca="1">IF($AE498*$AA490*'Customer Base'!$D$26*0.8&gt;5800,"",IF($AE498*$AA490&gt;$AA501,"",IF(($AA$490*DF$488*$AE$498)&lt;=$AA$501,((MOD($AA$501,($AA$490*DF$488*$AE$498)))),"")))</f>
        <v/>
      </c>
      <c r="DG490" s="209" t="str">
        <f ca="1">IF($AE498*$AA490*'Customer Base'!$D$26*0.8&gt;5800,"",IF($AE498*$AA490&gt;$AA501,"",IF(($AA$490*DG$488*$AE$498)&lt;=$AA$501,((MOD($AA$501,($AA$490*DG$488*$AE$498)))),"")))</f>
        <v/>
      </c>
      <c r="DH490" s="209" t="str">
        <f ca="1">IF($AE498*$AA490*'Customer Base'!$D$26*0.8&gt;5800,"",IF($AE498*$AA490&gt;$AA501,"",IF(($AA$490*DH$488*$AE$498)&lt;=$AA$501,((MOD($AA$501,($AA$490*DH$488*$AE$498)))),"")))</f>
        <v/>
      </c>
      <c r="DI490" s="209" t="str">
        <f ca="1">IF($AE498*$AA490*'Customer Base'!$D$26*0.8&gt;5800,"",IF($AE498*$AA490&gt;$AA501,"",IF(($AA$490*DI$488*$AE$498)&lt;=$AA$501,((MOD($AA$501,($AA$490*DI$488*$AE$498)))),"")))</f>
        <v/>
      </c>
      <c r="DJ490" s="209" t="str">
        <f ca="1">IF($AE498*$AA490*'Customer Base'!$D$26*0.8&gt;5800,"",IF($AE498*$AA490&gt;$AA501,"",IF(($AA$490*DJ$488*$AE$498)&lt;=$AA$501,((MOD($AA$501,($AA$490*DJ$488*$AE$498)))),"")))</f>
        <v/>
      </c>
      <c r="DK490" s="209" t="str">
        <f ca="1">IF($AE498*$AA490*'Customer Base'!$D$26*0.8&gt;5800,"",IF($AE498*$AA490&gt;$AA501,"",IF(($AA$490*DK$488*$AE$498)&lt;=$AA$501,((MOD($AA$501,($AA$490*DK$488*$AE$498)))),"")))</f>
        <v/>
      </c>
      <c r="DL490" s="209" t="str">
        <f ca="1">IF($AE498*$AA490*'Customer Base'!$D$26*0.8&gt;5800,"",IF($AE498*$AA490&gt;$AA501,"",IF(($AA$490*DL$488*$AE$498)&lt;=$AA$501,((MOD($AA$501,($AA$490*DL$488*$AE$498)))),"")))</f>
        <v/>
      </c>
      <c r="DM490" s="209" t="str">
        <f ca="1">IF($AE498*$AA490*'Customer Base'!$D$26*0.8&gt;5800,"",IF($AE498*$AA490&gt;$AA501,"",IF(($AA$490*DM$488*$AE$498)&lt;=$AA$501,((MOD($AA$501,($AA$490*DM$488*$AE$498)))),"")))</f>
        <v/>
      </c>
      <c r="DN490" s="209" t="str">
        <f ca="1">IF($AE498*$AA490*'Customer Base'!$D$26*0.8&gt;5800,"",IF($AE498*$AA490&gt;$AA501,"",IF(($AA$490*DN$488*$AE$498)&lt;=$AA$501,((MOD($AA$501,($AA$490*DN$488*$AE$498)))),"")))</f>
        <v/>
      </c>
      <c r="DO490" s="209" t="str">
        <f ca="1">IF($AE498*$AA490*'Customer Base'!$D$26*0.8&gt;5800,"",IF($AE498*$AA490&gt;$AA501,"",IF(($AA$490*DO$488*$AE$498)&lt;=$AA$501,((MOD($AA$501,($AA$490*DO$488*$AE$498)))),"")))</f>
        <v/>
      </c>
      <c r="DP490" s="209" t="str">
        <f ca="1">IF($AE498*$AA490*'Customer Base'!$D$26*0.8&gt;5800,"",IF($AE498*$AA490&gt;$AA501,"",IF(($AA$490*DP$488*$AE$498)&lt;=$AA$501,((MOD($AA$501,($AA$490*DP$488*$AE$498)))),"")))</f>
        <v/>
      </c>
      <c r="DQ490" s="209" t="str">
        <f ca="1">IF($AE498*$AA490*'Customer Base'!$D$26*0.8&gt;5800,"",IF($AE498*$AA490&gt;$AA501,"",IF(($AA$490*DQ$488*$AE$498)&lt;=$AA$501,((MOD($AA$501,($AA$490*DQ$488*$AE$498)))),"")))</f>
        <v/>
      </c>
      <c r="DR490" s="209" t="str">
        <f ca="1">IF($AE498*$AA490*'Customer Base'!$D$26*0.8&gt;5800,"",IF($AE498*$AA490&gt;$AA501,"",IF(($AA$490*DR$488*$AE$498)&lt;=$AA$501,((MOD($AA$501,($AA$490*DR$488*$AE$498)))),"")))</f>
        <v/>
      </c>
      <c r="DS490" s="209" t="str">
        <f ca="1">IF($AE498*$AA490*'Customer Base'!$D$26*0.8&gt;5800,"",IF($AE498*$AA490&gt;$AA501,"",IF(($AA$490*DS$488*$AE$498)&lt;=$AA$501,((MOD($AA$501,($AA$490*DS$488*$AE$498)))),"")))</f>
        <v/>
      </c>
      <c r="DT490" s="209" t="str">
        <f ca="1">IF($AE498*$AA490*'Customer Base'!$D$26*0.8&gt;5800,"",IF($AE498*$AA490&gt;$AA501,"",IF(($AA$490*DT$488*$AE$498)&lt;=$AA$501,((MOD($AA$501,($AA$490*DT$488*$AE$498)))),"")))</f>
        <v/>
      </c>
      <c r="DU490" s="209" t="str">
        <f ca="1">IF($AE498*$AA490*'Customer Base'!$D$26*0.8&gt;5800,"",IF($AE498*$AA490&gt;$AA501,"",IF(($AA$490*DU$488*$AE$498)&lt;=$AA$501,((MOD($AA$501,($AA$490*DU$488*$AE$498)))),"")))</f>
        <v/>
      </c>
      <c r="DV490" s="209" t="str">
        <f ca="1">IF($AE498*$AA490*'Customer Base'!$D$26*0.8&gt;5800,"",IF($AE498*$AA490&gt;$AA501,"",IF(($AA$490*DV$488*$AE$498)&lt;=$AA$501,((MOD($AA$501,($AA$490*DV$488*$AE$498)))),"")))</f>
        <v/>
      </c>
      <c r="DW490" s="209" t="str">
        <f ca="1">IF($AE498*$AA490*'Customer Base'!$D$26*0.8&gt;5800,"",IF($AE498*$AA490&gt;$AA501,"",IF(($AA$490*DW$488*$AE$498)&lt;=$AA$501,((MOD($AA$501,($AA$490*DW$488*$AE$498)))),"")))</f>
        <v/>
      </c>
      <c r="DX490" s="209" t="str">
        <f ca="1">IF($AE498*$AA490*'Customer Base'!$D$26*0.8&gt;5800,"",IF($AE498*$AA490&gt;$AA501,"",IF(($AA$490*DX$488*$AE$498)&lt;=$AA$501,((MOD($AA$501,($AA$490*DX$488*$AE$498)))),"")))</f>
        <v/>
      </c>
      <c r="DY490" s="209" t="str">
        <f ca="1">IF($AE498*$AA490*'Customer Base'!$D$26*0.8&gt;5800,"",IF($AE498*$AA490&gt;$AA501,"",IF(($AA$490*DY$488*$AE$498)&lt;=$AA$501,((MOD($AA$501,($AA$490*DY$488*$AE$498)))),"")))</f>
        <v/>
      </c>
      <c r="DZ490" s="209" t="str">
        <f ca="1">IF($AE498*$AA490*'Customer Base'!$D$26*0.8&gt;5800,"",IF($AE498*$AA490&gt;$AA501,"",IF(($AA$490*DZ$488*$AE$498)&lt;=$AA$501,((MOD($AA$501,($AA$490*DZ$488*$AE$498)))),"")))</f>
        <v/>
      </c>
      <c r="EA490" s="209" t="str">
        <f ca="1">IF($AE498*$AA490*'Customer Base'!$D$26*0.8&gt;5800,"",IF($AE498*$AA490&gt;$AA501,"",IF(($AA$490*EA$488*$AE$498)&lt;=$AA$501,((MOD($AA$501,($AA$490*EA$488*$AE$498)))),"")))</f>
        <v/>
      </c>
      <c r="EC490" s="209" t="str" cm="1">
        <f t="array" aca="1" ref="EC490" ca="1">IFERROR(LOOKUP(2,1/(AF490:EA490&lt;&gt;""),AF$488:EA$488),"")</f>
        <v/>
      </c>
      <c r="ED490" s="311" t="str" cm="1">
        <f t="array" aca="1" ref="ED490" ca="1">IF(EC$474=EC490,LOOKUP(2,1/(AF490:EA490&lt;&gt;""),AF490:EA490),"")</f>
        <v/>
      </c>
      <c r="EE490" s="311" t="str">
        <f ca="1">IF(ED490=ED$474,1,"")</f>
        <v/>
      </c>
      <c r="EF490" s="311"/>
      <c r="EG490" s="311"/>
      <c r="EH490" s="311"/>
      <c r="EI490" s="209">
        <v>3</v>
      </c>
      <c r="EJ490" s="311" t="s">
        <v>2686</v>
      </c>
      <c r="EK490" s="209">
        <f>IFERROR(MOD(EL$495,EI490),"")</f>
        <v>0</v>
      </c>
      <c r="EL490" s="209" t="str">
        <f>IF(OR(EL495=1,EL495=""),"",IF(AND(EK491&lt;&gt;0,EK490=0),IF(EK490=0,EI490,""),IF(AND(MAX(EK489:EK491)=EI490,SUMPRODUCT(EL491,EM491)&lt;&gt;EL495),EI490,"")))</f>
        <v/>
      </c>
      <c r="EM490" s="209" t="str">
        <f>IFERROR(IF(COUNT(EL490:EL491)&gt;1,1,(ROUNDDOWN(EL$495/EL490,0))),"")</f>
        <v/>
      </c>
      <c r="EN490" s="209" t="str">
        <f ca="1">IF($AE498*$AA490*'Customer Base'!$D$26*0.8&gt;5800,"",IF($AE498*$AA490&gt;$AA501,"",IF(($AA$490*EN$488*$AE$498)&lt;=$ED$474,((MOD($ED$474,($AA$490*EN$488*$AE$498)))),"")))</f>
        <v/>
      </c>
      <c r="EO490" s="209" t="str">
        <f ca="1">IF($AE498*$AA490*'Customer Base'!$D$26*0.8&gt;5800,"",IF($AE498*$AA490&gt;$AA501,"",IF(($AA$490*EO$488*$AE$498)&lt;=$ED$474,((MOD($ED$474,($AA$490*EO$488*$AE$498)))),"")))</f>
        <v/>
      </c>
      <c r="EP490" s="209" t="str">
        <f ca="1">IF($AE498*$AA490*'Customer Base'!$D$26*0.8&gt;5800,"",IF($AE498*$AA490&gt;$AA501,"",IF(($AA$490*EP$488*$AE$498)&lt;=$ED$474,((MOD($ED$474,($AA$490*EP$488*$AE$498)))),"")))</f>
        <v/>
      </c>
      <c r="EQ490" s="209" t="str">
        <f ca="1">IF($AE498*$AA490*'Customer Base'!$D$26*0.8&gt;5800,"",IF($AE498*$AA490&gt;$AA501,"",IF(($AA$490*EQ$488*$AE$498)&lt;=$ED$474,((MOD($ED$474,($AA$490*EQ$488*$AE$498)))),"")))</f>
        <v/>
      </c>
      <c r="ER490" s="209" t="str">
        <f ca="1">IF($AE498*$AA490*'Customer Base'!$D$26*0.8&gt;5800,"",IF($AE498*$AA490&gt;$AA501,"",IF(($AA$490*ER$488*$AE$498)&lt;=$ED$474,((MOD($ED$474,($AA$490*ER$488*$AE$498)))),"")))</f>
        <v/>
      </c>
      <c r="ES490" s="209" t="str">
        <f ca="1">IF($AE498*$AA490*'Customer Base'!$D$26*0.8&gt;5800,"",IF($AE498*$AA490&gt;$AA501,"",IF(($AA$490*ES$488*$AE$498)&lt;=$ED$474,((MOD($ED$474,($AA$490*ES$488*$AE$498)))),"")))</f>
        <v/>
      </c>
      <c r="ET490" s="209" t="str">
        <f ca="1">IF($AE498*$AA490*'Customer Base'!$D$26*0.8&gt;5800,"",IF($AE498*$AA490&gt;$AA501,"",IF(($AA$490*ET$488*$AE$498)&lt;=$ED$474,((MOD($ED$474,($AA$490*ET$488*$AE$498)))),"")))</f>
        <v/>
      </c>
      <c r="EU490" s="209" t="str">
        <f ca="1">IF($AE498*$AA490*'Customer Base'!$D$26*0.8&gt;5800,"",IF($AE498*$AA490&gt;$AA501,"",IF(($AA$490*EU$488*$AE$498)&lt;=$ED$474,((MOD($ED$474,($AA$490*EU$488*$AE$498)))),"")))</f>
        <v/>
      </c>
      <c r="EV490" s="209" t="str">
        <f ca="1">IF($AE498*$AA490*'Customer Base'!$D$26*0.8&gt;5800,"",IF($AE498*$AA490&gt;$AA501,"",IF(($AA$490*EV$488*$AE$498)&lt;=$ED$474,((MOD($ED$474,($AA$490*EV$488*$AE$498)))),"")))</f>
        <v/>
      </c>
      <c r="EW490" s="209" t="str">
        <f ca="1">IF($AE498*$AA490*'Customer Base'!$D$26*0.8&gt;5800,"",IF($AE498*$AA490&gt;$AA501,"",IF(($AA$490*EW$488*$AE$498)&lt;=$ED$474,((MOD($ED$474,($AA$490*EW$488*$AE$498)))),"")))</f>
        <v/>
      </c>
      <c r="EX490" s="209" t="str">
        <f ca="1">IF($AE498*$AA490*'Customer Base'!$D$26*0.8&gt;5800,"",IF($AE498*$AA490&gt;$AA501,"",IF(($AA$490*EX$488*$AE$498)&lt;=$ED$474,((MOD($ED$474,($AA$490*EX$488*$AE$498)))),"")))</f>
        <v/>
      </c>
      <c r="EY490" s="209" t="str">
        <f ca="1">IF($AE498*$AA490*'Customer Base'!$D$26*0.8&gt;5800,"",IF($AE498*$AA490&gt;$AA501,"",IF(($AA$490*EY$488*$AE$498)&lt;=$ED$474,((MOD($ED$474,($AA$490*EY$488*$AE$498)))),"")))</f>
        <v/>
      </c>
      <c r="EZ490" s="209" t="str">
        <f ca="1">IF($AE498*$AA490*'Customer Base'!$D$26*0.8&gt;5800,"",IF($AE498*$AA490&gt;$AA501,"",IF(($AA$490*EZ$488*$AE$498)&lt;=$ED$474,((MOD($ED$474,($AA$490*EZ$488*$AE$498)))),"")))</f>
        <v/>
      </c>
      <c r="FA490" s="209" t="str">
        <f ca="1">IF($AE498*$AA490*'Customer Base'!$D$26*0.8&gt;5800,"",IF($AE498*$AA490&gt;$AA501,"",IF(($AA$490*FA$488*$AE$498)&lt;=$ED$474,((MOD($ED$474,($AA$490*FA$488*$AE$498)))),"")))</f>
        <v/>
      </c>
      <c r="FB490" s="209" t="str">
        <f ca="1">IF($AE498*$AA490*'Customer Base'!$D$26*0.8&gt;5800,"",IF($AE498*$AA490&gt;$AA501,"",IF(($AA$490*FB$488*$AE$498)&lt;=$ED$474,((MOD($ED$474,($AA$490*FB$488*$AE$498)))),"")))</f>
        <v/>
      </c>
      <c r="FC490" s="209" t="str">
        <f ca="1">IF($AE498*$AA490*'Customer Base'!$D$26*0.8&gt;5800,"",IF($AE498*$AA490&gt;$AA501,"",IF(($AA$490*FC$488*$AE$498)&lt;=$ED$474,((MOD($ED$474,($AA$490*FC$488*$AE$498)))),"")))</f>
        <v/>
      </c>
      <c r="FD490" s="209" t="str">
        <f ca="1">IF($AE498*$AA490*'Customer Base'!$D$26*0.8&gt;5800,"",IF($AE498*$AA490&gt;$AA501,"",IF(($AA$490*FD$488*$AE$498)&lt;=$ED$474,((MOD($ED$474,($AA$490*FD$488*$AE$498)))),"")))</f>
        <v/>
      </c>
      <c r="FE490" s="209" t="str">
        <f ca="1">IF($AE498*$AA490*'Customer Base'!$D$26*0.8&gt;5800,"",IF($AE498*$AA490&gt;$AA501,"",IF(($AA$490*FE$488*$AE$498)&lt;=$ED$474,((MOD($ED$474,($AA$490*FE$488*$AE$498)))),"")))</f>
        <v/>
      </c>
      <c r="FF490" s="209" t="str">
        <f ca="1">IF($AE498*$AA490*'Customer Base'!$D$26*0.8&gt;5800,"",IF($AE498*$AA490&gt;$AA501,"",IF(($AA$490*FF$488*$AE$498)&lt;=$ED$474,((MOD($ED$474,($AA$490*FF$488*$AE$498)))),"")))</f>
        <v/>
      </c>
      <c r="FG490" s="209" t="str">
        <f ca="1">IF($AE498*$AA490*'Customer Base'!$D$26*0.8&gt;5800,"",IF($AE498*$AA490&gt;$AA501,"",IF(($AA$490*FG$488*$AE$498)&lt;=$ED$474,((MOD($ED$474,($AA$490*FG$488*$AE$498)))),"")))</f>
        <v/>
      </c>
      <c r="FH490" s="209" t="str">
        <f ca="1">IF($AE498*$AA490*'Customer Base'!$D$26*0.8&gt;5800,"",IF($AE498*$AA490&gt;$AA501,"",IF(($AA$490*FH$488*$AE$498)&lt;=$ED$474,((MOD($ED$474,($AA$490*FH$488*$AE$498)))),"")))</f>
        <v/>
      </c>
      <c r="FI490" s="209" t="str">
        <f ca="1">IF($AE498*$AA490*'Customer Base'!$D$26*0.8&gt;5800,"",IF($AE498*$AA490&gt;$AA501,"",IF(($AA$490*FI$488*$AE$498)&lt;=$ED$474,((MOD($ED$474,($AA$490*FI$488*$AE$498)))),"")))</f>
        <v/>
      </c>
      <c r="FJ490" s="209" t="str">
        <f ca="1">IF($AE498*$AA490*'Customer Base'!$D$26*0.8&gt;5800,"",IF($AE498*$AA490&gt;$AA501,"",IF(($AA$490*FJ$488*$AE$498)&lt;=$ED$474,((MOD($ED$474,($AA$490*FJ$488*$AE$498)))),"")))</f>
        <v/>
      </c>
      <c r="FK490" s="209" t="str">
        <f ca="1">IF($AE498*$AA490*'Customer Base'!$D$26*0.8&gt;5800,"",IF($AE498*$AA490&gt;$AA501,"",IF(($AA$490*FK$488*$AE$498)&lt;=$ED$474,((MOD($ED$474,($AA$490*FK$488*$AE$498)))),"")))</f>
        <v/>
      </c>
      <c r="FL490" s="209" t="str">
        <f ca="1">IF($AE498*$AA490*'Customer Base'!$D$26*0.8&gt;5800,"",IF($AE498*$AA490&gt;$AA501,"",IF(($AA$490*FL$488*$AE$498)&lt;=$ED$474,((MOD($ED$474,($AA$490*FL$488*$AE$498)))),"")))</f>
        <v/>
      </c>
      <c r="FM490" s="209" t="str">
        <f ca="1">IF($AE498*$AA490*'Customer Base'!$D$26*0.8&gt;5800,"",IF($AE498*$AA490&gt;$AA501,"",IF(($AA$490*FM$488*$AE$498)&lt;=$ED$474,((MOD($ED$474,($AA$490*FM$488*$AE$498)))),"")))</f>
        <v/>
      </c>
      <c r="FN490" s="209" t="str">
        <f ca="1">IF($AE498*$AA490*'Customer Base'!$D$26*0.8&gt;5800,"",IF($AE498*$AA490&gt;$AA501,"",IF(($AA$490*FN$488*$AE$498)&lt;=$ED$474,((MOD($ED$474,($AA$490*FN$488*$AE$498)))),"")))</f>
        <v/>
      </c>
      <c r="FO490" s="209" t="str">
        <f ca="1">IF($AE498*$AA490*'Customer Base'!$D$26*0.8&gt;5800,"",IF($AE498*$AA490&gt;$AA501,"",IF(($AA$490*FO$488*$AE$498)&lt;=$ED$474,((MOD($ED$474,($AA$490*FO$488*$AE$498)))),"")))</f>
        <v/>
      </c>
      <c r="FP490" s="209" t="str">
        <f ca="1">IF($AE498*$AA490*'Customer Base'!$D$26*0.8&gt;5800,"",IF($AE498*$AA490&gt;$AA501,"",IF(($AA$490*FP$488*$AE$498)&lt;=$ED$474,((MOD($ED$474,($AA$490*FP$488*$AE$498)))),"")))</f>
        <v/>
      </c>
      <c r="FQ490" s="209" t="str">
        <f ca="1">IF($AE498*$AA490*'Customer Base'!$D$26*0.8&gt;5800,"",IF($AE498*$AA490&gt;$AA501,"",IF(($AA$490*FQ$488*$AE$498)&lt;=$ED$474,((MOD($ED$474,($AA$490*FQ$488*$AE$498)))),"")))</f>
        <v/>
      </c>
      <c r="FR490" s="209" t="str">
        <f ca="1">IF($AE498*$AA490*'Customer Base'!$D$26*0.8&gt;5800,"",IF($AE498*$AA490&gt;$AA501,"",IF(($AA$490*FR$488*$AE$498)&lt;=$ED$474,((MOD($ED$474,($AA$490*FR$488*$AE$498)))),"")))</f>
        <v/>
      </c>
      <c r="FS490" s="209" t="str">
        <f ca="1">IF($AE498*$AA490*'Customer Base'!$D$26*0.8&gt;5800,"",IF($AE498*$AA490&gt;$AA501,"",IF(($AA$490*FS$488*$AE$498)&lt;=$ED$474,((MOD($ED$474,($AA$490*FS$488*$AE$498)))),"")))</f>
        <v/>
      </c>
      <c r="FT490" s="209" t="str">
        <f ca="1">IF($AE498*$AA490*'Customer Base'!$D$26*0.8&gt;5800,"",IF($AE498*$AA490&gt;$AA501,"",IF(($AA$490*FT$488*$AE$498)&lt;=$ED$474,((MOD($ED$474,($AA$490*FT$488*$AE$498)))),"")))</f>
        <v/>
      </c>
      <c r="FU490" s="209" t="str">
        <f ca="1">IF($AE498*$AA490*'Customer Base'!$D$26*0.8&gt;5800,"",IF($AE498*$AA490&gt;$AA501,"",IF(($AA$490*FU$488*$AE$498)&lt;=$ED$474,((MOD($ED$474,($AA$490*FU$488*$AE$498)))),"")))</f>
        <v/>
      </c>
      <c r="FV490" s="209" t="str">
        <f ca="1">IF($AE498*$AA490*'Customer Base'!$D$26*0.8&gt;5800,"",IF($AE498*$AA490&gt;$AA501,"",IF(($AA$490*FV$488*$AE$498)&lt;=$ED$474,((MOD($ED$474,($AA$490*FV$488*$AE$498)))),"")))</f>
        <v/>
      </c>
      <c r="FW490" s="209" t="str">
        <f ca="1">IF($AE498*$AA490*'Customer Base'!$D$26*0.8&gt;5800,"",IF($AE498*$AA490&gt;$AA501,"",IF(($AA$490*FW$488*$AE$498)&lt;=$ED$474,((MOD($ED$474,($AA$490*FW$488*$AE$498)))),"")))</f>
        <v/>
      </c>
      <c r="FX490" s="209" t="str">
        <f ca="1">IF($AE498*$AA490*'Customer Base'!$D$26*0.8&gt;5800,"",IF($AE498*$AA490&gt;$AA501,"",IF(($AA$490*FX$488*$AE$498)&lt;=$ED$474,((MOD($ED$474,($AA$490*FX$488*$AE$498)))),"")))</f>
        <v/>
      </c>
      <c r="FY490" s="209" t="str">
        <f ca="1">IF($AE498*$AA490*'Customer Base'!$D$26*0.8&gt;5800,"",IF($AE498*$AA490&gt;$AA501,"",IF(($AA$490*FY$488*$AE$498)&lt;=$ED$474,((MOD($ED$474,($AA$490*FY$488*$AE$498)))),"")))</f>
        <v/>
      </c>
      <c r="FZ490" s="209" t="str">
        <f ca="1">IF($AE498*$AA490*'Customer Base'!$D$26*0.8&gt;5800,"",IF($AE498*$AA490&gt;$AA501,"",IF(($AA$490*FZ$488*$AE$498)&lt;=$ED$474,((MOD($ED$474,($AA$490*FZ$488*$AE$498)))),"")))</f>
        <v/>
      </c>
      <c r="GA490" s="209" t="str">
        <f ca="1">IF($AE498*$AA490*'Customer Base'!$D$26*0.8&gt;5800,"",IF($AE498*$AA490&gt;$AA501,"",IF(($AA$490*GA$488*$AE$498)&lt;=$ED$474,((MOD($ED$474,($AA$490*GA$488*$AE$498)))),"")))</f>
        <v/>
      </c>
      <c r="GB490" s="209" t="str">
        <f ca="1">IF($AE498*$AA490*'Customer Base'!$D$26*0.8&gt;5800,"",IF($AE498*$AA490&gt;$AA501,"",IF(($AA$490*GB$488*$AE$498)&lt;=$ED$474,((MOD($ED$474,($AA$490*GB$488*$AE$498)))),"")))</f>
        <v/>
      </c>
      <c r="GC490" s="209" t="str">
        <f ca="1">IF($AE498*$AA490*'Customer Base'!$D$26*0.8&gt;5800,"",IF($AE498*$AA490&gt;$AA501,"",IF(($AA$490*GC$488*$AE$498)&lt;=$ED$474,((MOD($ED$474,($AA$490*GC$488*$AE$498)))),"")))</f>
        <v/>
      </c>
      <c r="GD490" s="209" t="str">
        <f ca="1">IF($AE498*$AA490*'Customer Base'!$D$26*0.8&gt;5800,"",IF($AE498*$AA490&gt;$AA501,"",IF(($AA$490*GD$488*$AE$498)&lt;=$ED$474,((MOD($ED$474,($AA$490*GD$488*$AE$498)))),"")))</f>
        <v/>
      </c>
      <c r="GE490" s="209" t="str">
        <f ca="1">IF($AE498*$AA490*'Customer Base'!$D$26*0.8&gt;5800,"",IF($AE498*$AA490&gt;$AA501,"",IF(($AA$490*GE$488*$AE$498)&lt;=$ED$474,((MOD($ED$474,($AA$490*GE$488*$AE$498)))),"")))</f>
        <v/>
      </c>
      <c r="GF490" s="209" t="str">
        <f ca="1">IF($AE498*$AA490*'Customer Base'!$D$26*0.8&gt;5800,"",IF($AE498*$AA490&gt;$AA501,"",IF(($AA$490*GF$488*$AE$498)&lt;=$ED$474,((MOD($ED$474,($AA$490*GF$488*$AE$498)))),"")))</f>
        <v/>
      </c>
      <c r="GG490" s="209" t="str">
        <f ca="1">IF($AE498*$AA490*'Customer Base'!$D$26*0.8&gt;5800,"",IF($AE498*$AA490&gt;$AA501,"",IF(($AA$490*GG$488*$AE$498)&lt;=$ED$474,((MOD($ED$474,($AA$490*GG$488*$AE$498)))),"")))</f>
        <v/>
      </c>
      <c r="GH490" s="209" t="str">
        <f ca="1">IF($AE498*$AA490*'Customer Base'!$D$26*0.8&gt;5800,"",IF($AE498*$AA490&gt;$AA501,"",IF(($AA$490*GH$488*$AE$498)&lt;=$ED$474,((MOD($ED$474,($AA$490*GH$488*$AE$498)))),"")))</f>
        <v/>
      </c>
      <c r="GI490" s="209" t="str">
        <f ca="1">IF($AE498*$AA490*'Customer Base'!$D$26*0.8&gt;5800,"",IF($AE498*$AA490&gt;$AA501,"",IF(($AA$490*GI$488*$AE$498)&lt;=$ED$474,((MOD($ED$474,($AA$490*GI$488*$AE$498)))),"")))</f>
        <v/>
      </c>
      <c r="GJ490" s="209" t="str">
        <f ca="1">IF($AE498*$AA490*'Customer Base'!$D$26*0.8&gt;5800,"",IF($AE498*$AA490&gt;$AA501,"",IF(($AA$490*GJ$488*$AE$498)&lt;=$ED$474,((MOD($ED$474,($AA$490*GJ$488*$AE$498)))),"")))</f>
        <v/>
      </c>
      <c r="GK490" s="209" t="str">
        <f ca="1">IF($AE498*$AA490*'Customer Base'!$D$26*0.8&gt;5800,"",IF($AE498*$AA490&gt;$AA501,"",IF(($AA$490*GK$488*$AE$498)&lt;=$ED$474,((MOD($ED$474,($AA$490*GK$488*$AE$498)))),"")))</f>
        <v/>
      </c>
      <c r="GL490" s="209" t="str">
        <f ca="1">IF($AE498*$AA490*'Customer Base'!$D$26*0.8&gt;5800,"",IF($AE498*$AA490&gt;$AA501,"",IF(($AA$490*GL$488*$AE$498)&lt;=$ED$474,((MOD($ED$474,($AA$490*GL$488*$AE$498)))),"")))</f>
        <v/>
      </c>
      <c r="GM490" s="209" t="str">
        <f ca="1">IF($AE498*$AA490*'Customer Base'!$D$26*0.8&gt;5800,"",IF($AE498*$AA490&gt;$AA501,"",IF(($AA$490*GM$488*$AE$498)&lt;=$ED$474,((MOD($ED$474,($AA$490*GM$488*$AE$498)))),"")))</f>
        <v/>
      </c>
      <c r="GN490" s="209" t="str">
        <f ca="1">IF($AE498*$AA490*'Customer Base'!$D$26*0.8&gt;5800,"",IF($AE498*$AA490&gt;$AA501,"",IF(($AA$490*GN$488*$AE$498)&lt;=$ED$474,((MOD($ED$474,($AA$490*GN$488*$AE$498)))),"")))</f>
        <v/>
      </c>
      <c r="GO490" s="209" t="str">
        <f ca="1">IF($AE498*$AA490*'Customer Base'!$D$26*0.8&gt;5800,"",IF($AE498*$AA490&gt;$AA501,"",IF(($AA$490*GO$488*$AE$498)&lt;=$ED$474,((MOD($ED$474,($AA$490*GO$488*$AE$498)))),"")))</f>
        <v/>
      </c>
      <c r="GP490" s="209" t="str">
        <f ca="1">IF($AE498*$AA490*'Customer Base'!$D$26*0.8&gt;5800,"",IF($AE498*$AA490&gt;$AA501,"",IF(($AA$490*GP$488*$AE$498)&lt;=$ED$474,((MOD($ED$474,($AA$490*GP$488*$AE$498)))),"")))</f>
        <v/>
      </c>
      <c r="GQ490" s="209" t="str">
        <f ca="1">IF($AE498*$AA490*'Customer Base'!$D$26*0.8&gt;5800,"",IF($AE498*$AA490&gt;$AA501,"",IF(($AA$490*GQ$488*$AE$498)&lt;=$ED$474,((MOD($ED$474,($AA$490*GQ$488*$AE$498)))),"")))</f>
        <v/>
      </c>
      <c r="GR490" s="209" t="str">
        <f ca="1">IF($AE498*$AA490*'Customer Base'!$D$26*0.8&gt;5800,"",IF($AE498*$AA490&gt;$AA501,"",IF(($AA$490*GR$488*$AE$498)&lt;=$ED$474,((MOD($ED$474,($AA$490*GR$488*$AE$498)))),"")))</f>
        <v/>
      </c>
      <c r="GS490" s="209" t="str">
        <f ca="1">IF($AE498*$AA490*'Customer Base'!$D$26*0.8&gt;5800,"",IF($AE498*$AA490&gt;$AA501,"",IF(($AA$490*GS$488*$AE$498)&lt;=$ED$474,((MOD($ED$474,($AA$490*GS$488*$AE$498)))),"")))</f>
        <v/>
      </c>
      <c r="GT490" s="209" t="str">
        <f ca="1">IF($AE498*$AA490*'Customer Base'!$D$26*0.8&gt;5800,"",IF($AE498*$AA490&gt;$AA501,"",IF(($AA$490*GT$488*$AE$498)&lt;=$ED$474,((MOD($ED$474,($AA$490*GT$488*$AE$498)))),"")))</f>
        <v/>
      </c>
      <c r="GU490" s="209" t="str">
        <f ca="1">IF($AE498*$AA490*'Customer Base'!$D$26*0.8&gt;5800,"",IF($AE498*$AA490&gt;$AA501,"",IF(($AA$490*GU$488*$AE$498)&lt;=$ED$474,((MOD($ED$474,($AA$490*GU$488*$AE$498)))),"")))</f>
        <v/>
      </c>
      <c r="GV490" s="209" t="str">
        <f ca="1">IF($AE498*$AA490*'Customer Base'!$D$26*0.8&gt;5800,"",IF($AE498*$AA490&gt;$AA501,"",IF(($AA$490*GV$488*$AE$498)&lt;=$ED$474,((MOD($ED$474,($AA$490*GV$488*$AE$498)))),"")))</f>
        <v/>
      </c>
      <c r="GW490" s="209" t="str">
        <f ca="1">IF($AE498*$AA490*'Customer Base'!$D$26*0.8&gt;5800,"",IF($AE498*$AA490&gt;$AA501,"",IF(($AA$490*GW$488*$AE$498)&lt;=$ED$474,((MOD($ED$474,($AA$490*GW$488*$AE$498)))),"")))</f>
        <v/>
      </c>
      <c r="GX490" s="209" t="str">
        <f ca="1">IF($AE498*$AA490*'Customer Base'!$D$26*0.8&gt;5800,"",IF($AE498*$AA490&gt;$AA501,"",IF(($AA$490*GX$488*$AE$498)&lt;=$ED$474,((MOD($ED$474,($AA$490*GX$488*$AE$498)))),"")))</f>
        <v/>
      </c>
      <c r="GY490" s="209" t="str">
        <f ca="1">IF($AE498*$AA490*'Customer Base'!$D$26*0.8&gt;5800,"",IF($AE498*$AA490&gt;$AA501,"",IF(($AA$490*GY$488*$AE$498)&lt;=$ED$474,((MOD($ED$474,($AA$490*GY$488*$AE$498)))),"")))</f>
        <v/>
      </c>
      <c r="GZ490" s="209" t="str">
        <f ca="1">IF($AE498*$AA490*'Customer Base'!$D$26*0.8&gt;5800,"",IF($AE498*$AA490&gt;$AA501,"",IF(($AA$490*GZ$488*$AE$498)&lt;=$ED$474,((MOD($ED$474,($AA$490*GZ$488*$AE$498)))),"")))</f>
        <v/>
      </c>
      <c r="HA490" s="209" t="str">
        <f ca="1">IF($AE498*$AA490*'Customer Base'!$D$26*0.8&gt;5800,"",IF($AE498*$AA490&gt;$AA501,"",IF(($AA$490*HA$488*$AE$498)&lt;=$ED$474,((MOD($ED$474,($AA$490*HA$488*$AE$498)))),"")))</f>
        <v/>
      </c>
      <c r="HB490" s="209" t="str">
        <f ca="1">IF($AE498*$AA490*'Customer Base'!$D$26*0.8&gt;5800,"",IF($AE498*$AA490&gt;$AA501,"",IF(($AA$490*HB$488*$AE$498)&lt;=$ED$474,((MOD($ED$474,($AA$490*HB$488*$AE$498)))),"")))</f>
        <v/>
      </c>
      <c r="HC490" s="209" t="str">
        <f ca="1">IF($AE498*$AA490*'Customer Base'!$D$26*0.8&gt;5800,"",IF($AE498*$AA490&gt;$AA501,"",IF(($AA$490*HC$488*$AE$498)&lt;=$ED$474,((MOD($ED$474,($AA$490*HC$488*$AE$498)))),"")))</f>
        <v/>
      </c>
      <c r="HD490" s="209" t="str">
        <f ca="1">IF($AE498*$AA490*'Customer Base'!$D$26*0.8&gt;5800,"",IF($AE498*$AA490&gt;$AA501,"",IF(($AA$490*HD$488*$AE$498)&lt;=$ED$474,((MOD($ED$474,($AA$490*HD$488*$AE$498)))),"")))</f>
        <v/>
      </c>
      <c r="HE490" s="209" t="str">
        <f ca="1">IF($AE498*$AA490*'Customer Base'!$D$26*0.8&gt;5800,"",IF($AE498*$AA490&gt;$AA501,"",IF(($AA$490*HE$488*$AE$498)&lt;=$ED$474,((MOD($ED$474,($AA$490*HE$488*$AE$498)))),"")))</f>
        <v/>
      </c>
      <c r="HF490" s="209" t="str">
        <f ca="1">IF($AE498*$AA490*'Customer Base'!$D$26*0.8&gt;5800,"",IF($AE498*$AA490&gt;$AA501,"",IF(($AA$490*HF$488*$AE$498)&lt;=$ED$474,((MOD($ED$474,($AA$490*HF$488*$AE$498)))),"")))</f>
        <v/>
      </c>
      <c r="HG490" s="209" t="str">
        <f ca="1">IF($AE498*$AA490*'Customer Base'!$D$26*0.8&gt;5800,"",IF($AE498*$AA490&gt;$AA501,"",IF(($AA$490*HG$488*$AE$498)&lt;=$ED$474,((MOD($ED$474,($AA$490*HG$488*$AE$498)))),"")))</f>
        <v/>
      </c>
      <c r="HH490" s="209" t="str">
        <f ca="1">IF($AE498*$AA490*'Customer Base'!$D$26*0.8&gt;5800,"",IF($AE498*$AA490&gt;$AA501,"",IF(($AA$490*HH$488*$AE$498)&lt;=$ED$474,((MOD($ED$474,($AA$490*HH$488*$AE$498)))),"")))</f>
        <v/>
      </c>
      <c r="HI490" s="209" t="str">
        <f ca="1">IF($AE498*$AA490*'Customer Base'!$D$26*0.8&gt;5800,"",IF($AE498*$AA490&gt;$AA501,"",IF(($AA$490*HI$488*$AE$498)&lt;=$ED$474,((MOD($ED$474,($AA$490*HI$488*$AE$498)))),"")))</f>
        <v/>
      </c>
      <c r="HJ490" s="209" t="str">
        <f ca="1">IF($AE498*$AA490*'Customer Base'!$D$26*0.8&gt;5800,"",IF($AE498*$AA490&gt;$AA501,"",IF(($AA$490*HJ$488*$AE$498)&lt;=$ED$474,((MOD($ED$474,($AA$490*HJ$488*$AE$498)))),"")))</f>
        <v/>
      </c>
      <c r="HK490" s="209" t="str">
        <f ca="1">IF($AE498*$AA490*'Customer Base'!$D$26*0.8&gt;5800,"",IF($AE498*$AA490&gt;$AA501,"",IF(($AA$490*HK$488*$AE$498)&lt;=$ED$474,((MOD($ED$474,($AA$490*HK$488*$AE$498)))),"")))</f>
        <v/>
      </c>
      <c r="HL490" s="209" t="str">
        <f ca="1">IF($AE498*$AA490*'Customer Base'!$D$26*0.8&gt;5800,"",IF($AE498*$AA490&gt;$AA501,"",IF(($AA$490*HL$488*$AE$498)&lt;=$ED$474,((MOD($ED$474,($AA$490*HL$488*$AE$498)))),"")))</f>
        <v/>
      </c>
      <c r="HM490" s="209" t="str">
        <f ca="1">IF($AE498*$AA490*'Customer Base'!$D$26*0.8&gt;5800,"",IF($AE498*$AA490&gt;$AA501,"",IF(($AA$490*HM$488*$AE$498)&lt;=$ED$474,((MOD($ED$474,($AA$490*HM$488*$AE$498)))),"")))</f>
        <v/>
      </c>
      <c r="HN490" s="209" t="str">
        <f ca="1">IF($AE498*$AA490*'Customer Base'!$D$26*0.8&gt;5800,"",IF($AE498*$AA490&gt;$AA501,"",IF(($AA$490*HN$488*$AE$498)&lt;=$ED$474,((MOD($ED$474,($AA$490*HN$488*$AE$498)))),"")))</f>
        <v/>
      </c>
      <c r="HO490" s="209" t="str">
        <f ca="1">IF($AE498*$AA490*'Customer Base'!$D$26*0.8&gt;5800,"",IF($AE498*$AA490&gt;$AA501,"",IF(($AA$490*HO$488*$AE$498)&lt;=$ED$474,((MOD($ED$474,($AA$490*HO$488*$AE$498)))),"")))</f>
        <v/>
      </c>
      <c r="HP490" s="209" t="str">
        <f ca="1">IF($AE498*$AA490*'Customer Base'!$D$26*0.8&gt;5800,"",IF($AE498*$AA490&gt;$AA501,"",IF(($AA$490*HP$488*$AE$498)&lt;=$ED$474,((MOD($ED$474,($AA$490*HP$488*$AE$498)))),"")))</f>
        <v/>
      </c>
      <c r="HQ490" s="209" t="str">
        <f ca="1">IF($AE498*$AA490*'Customer Base'!$D$26*0.8&gt;5800,"",IF($AE498*$AA490&gt;$AA501,"",IF(($AA$490*HQ$488*$AE$498)&lt;=$ED$474,((MOD($ED$474,($AA$490*HQ$488*$AE$498)))),"")))</f>
        <v/>
      </c>
      <c r="HR490" s="209" t="str">
        <f ca="1">IF($AE498*$AA490*'Customer Base'!$D$26*0.8&gt;5800,"",IF($AE498*$AA490&gt;$AA501,"",IF(($AA$490*HR$488*$AE$498)&lt;=$ED$474,((MOD($ED$474,($AA$490*HR$488*$AE$498)))),"")))</f>
        <v/>
      </c>
      <c r="HS490" s="209" t="str">
        <f ca="1">IF($AE498*$AA490*'Customer Base'!$D$26*0.8&gt;5800,"",IF($AE498*$AA490&gt;$AA501,"",IF(($AA$490*HS$488*$AE$498)&lt;=$ED$474,((MOD($ED$474,($AA$490*HS$488*$AE$498)))),"")))</f>
        <v/>
      </c>
      <c r="HT490" s="209" t="str">
        <f ca="1">IF($AE498*$AA490*'Customer Base'!$D$26*0.8&gt;5800,"",IF($AE498*$AA490&gt;$AA501,"",IF(($AA$490*HT$488*$AE$498)&lt;=$ED$474,((MOD($ED$474,($AA$490*HT$488*$AE$498)))),"")))</f>
        <v/>
      </c>
      <c r="HU490" s="209" t="str">
        <f ca="1">IF($AE498*$AA490*'Customer Base'!$D$26*0.8&gt;5800,"",IF($AE498*$AA490&gt;$AA501,"",IF(($AA$490*HU$488*$AE$498)&lt;=$ED$474,((MOD($ED$474,($AA$490*HU$488*$AE$498)))),"")))</f>
        <v/>
      </c>
      <c r="HV490" s="209" t="str">
        <f ca="1">IF($AE498*$AA490*'Customer Base'!$D$26*0.8&gt;5800,"",IF($AE498*$AA490&gt;$AA501,"",IF(($AA$490*HV$488*$AE$498)&lt;=$ED$474,((MOD($ED$474,($AA$490*HV$488*$AE$498)))),"")))</f>
        <v/>
      </c>
      <c r="HW490" s="209" t="str">
        <f ca="1">IF($AE498*$AA490*'Customer Base'!$D$26*0.8&gt;5800,"",IF($AE498*$AA490&gt;$AA501,"",IF(($AA$490*HW$488*$AE$498)&lt;=$ED$474,((MOD($ED$474,($AA$490*HW$488*$AE$498)))),"")))</f>
        <v/>
      </c>
      <c r="HX490" s="209" t="str">
        <f ca="1">IF($AE498*$AA490*'Customer Base'!$D$26*0.8&gt;5800,"",IF($AE498*$AA490&gt;$AA501,"",IF(($AA$490*HX$488*$AE$498)&lt;=$ED$474,((MOD($ED$474,($AA$490*HX$488*$AE$498)))),"")))</f>
        <v/>
      </c>
      <c r="HY490" s="209" t="str">
        <f ca="1">IF($AE498*$AA490*'Customer Base'!$D$26*0.8&gt;5800,"",IF($AE498*$AA490&gt;$AA501,"",IF(($AA$490*HY$488*$AE$498)&lt;=$ED$474,((MOD($ED$474,($AA$490*HY$488*$AE$498)))),"")))</f>
        <v/>
      </c>
      <c r="HZ490" s="209" t="str">
        <f ca="1">IF($AE498*$AA490*'Customer Base'!$D$26*0.8&gt;5800,"",IF($AE498*$AA490&gt;$AA501,"",IF(($AA$490*HZ$488*$AE$498)&lt;=$ED$474,((MOD($ED$474,($AA$490*HZ$488*$AE$498)))),"")))</f>
        <v/>
      </c>
      <c r="IA490" s="209" t="str">
        <f ca="1">IF($AE498*$AA490*'Customer Base'!$D$26*0.8&gt;5800,"",IF($AE498*$AA490&gt;$AA501,"",IF(($AA$490*IA$488*$AE$498)&lt;=$ED$474,((MOD($ED$474,($AA$490*IA$488*$AE$498)))),"")))</f>
        <v/>
      </c>
      <c r="IB490" s="209" t="str">
        <f ca="1">IF($AE498*$AA490*'Customer Base'!$D$26*0.8&gt;5800,"",IF($AE498*$AA490&gt;$AA501,"",IF(($AA$490*IB$488*$AE$498)&lt;=$ED$474,((MOD($ED$474,($AA$490*IB$488*$AE$498)))),"")))</f>
        <v/>
      </c>
      <c r="IC490" s="209" t="str">
        <f ca="1">IF($AE498*$AA490*'Customer Base'!$D$26*0.8&gt;5800,"",IF($AE498*$AA490&gt;$AA501,"",IF(($AA$490*IC$488*$AE$498)&lt;=$ED$474,((MOD($ED$474,($AA$490*IC$488*$AE$498)))),"")))</f>
        <v/>
      </c>
      <c r="ID490" s="209" t="str">
        <f ca="1">IF($AE498*$AA490*'Customer Base'!$D$26*0.8&gt;5800,"",IF($AE498*$AA490&gt;$AA501,"",IF(($AA$490*ID$488*$AE$498)&lt;=$ED$474,((MOD($ED$474,($AA$490*ID$488*$AE$498)))),"")))</f>
        <v/>
      </c>
      <c r="IE490" s="209" t="str">
        <f ca="1">IF($AE498*$AA490*'Customer Base'!$D$26*0.8&gt;5800,"",IF($AE498*$AA490&gt;$AA501,"",IF(($AA$490*IE$488*$AE$498)&lt;=$ED$474,((MOD($ED$474,($AA$490*IE$488*$AE$498)))),"")))</f>
        <v/>
      </c>
      <c r="IF490" s="209" t="str">
        <f ca="1">IF($AE498*$AA490*'Customer Base'!$D$26*0.8&gt;5800,"",IF($AE498*$AA490&gt;$AA501,"",IF(($AA$490*IF$488*$AE$498)&lt;=$ED$474,((MOD($ED$474,($AA$490*IF$488*$AE$498)))),"")))</f>
        <v/>
      </c>
      <c r="IG490" s="209" t="str">
        <f ca="1">IF($AE498*$AA490*'Customer Base'!$D$26*0.8&gt;5800,"",IF($AE498*$AA490&gt;$AA501,"",IF(($AA$490*IG$488*$AE$498)&lt;=$ED$474,((MOD($ED$474,($AA$490*IG$488*$AE$498)))),"")))</f>
        <v/>
      </c>
      <c r="IH490" s="209" t="str">
        <f ca="1">IF($AE498*$AA490*'Customer Base'!$D$26*0.8&gt;5800,"",IF($AE498*$AA490&gt;$AA501,"",IF(($AA$490*IH$488*$AE$498)&lt;=$ED$474,((MOD($ED$474,($AA$490*IH$488*$AE$498)))),"")))</f>
        <v/>
      </c>
      <c r="II490" s="209" t="str">
        <f ca="1">IF($AE498*$AA490*'Customer Base'!$D$26*0.8&gt;5800,"",IF($AE498*$AA490&gt;$AA501,"",IF(($AA$490*II$488*$AE$498)&lt;=$ED$474,((MOD($ED$474,($AA$490*II$488*$AE$498)))),"")))</f>
        <v/>
      </c>
      <c r="IK490" s="209" t="str" cm="1">
        <f t="array" aca="1" ref="IK490" ca="1">IFERROR(LOOKUP(2,1/(EN490:II490&lt;&gt;""),EN$488:II$488),"")</f>
        <v/>
      </c>
      <c r="IL490" s="311" t="str" cm="1">
        <f t="array" aca="1" ref="IL490" ca="1">IF(IK$474=IK490,LOOKUP(2,1/(EN490:II490&lt;&gt;""),EN490:II490),"")</f>
        <v/>
      </c>
      <c r="IM490" s="311" t="str">
        <f ca="1">IF(IL490=IL$474,1,"")</f>
        <v/>
      </c>
      <c r="IN490" s="311"/>
    </row>
    <row r="491" spans="2:248" ht="17">
      <c r="B491" s="206" t="s">
        <v>1356</v>
      </c>
      <c r="C491" s="207" t="s">
        <v>295</v>
      </c>
      <c r="D491" s="207" t="s">
        <v>295</v>
      </c>
      <c r="E491" s="210" t="s">
        <v>1357</v>
      </c>
      <c r="F491" s="102" t="str">
        <f t="shared" si="15"/>
        <v>NC</v>
      </c>
      <c r="AA491" s="209">
        <v>4</v>
      </c>
      <c r="AB491" s="311" t="s">
        <v>2687</v>
      </c>
      <c r="AC491" s="209">
        <f ca="1">IFERROR(MOD(AD$493,AA491),"")</f>
        <v>2.25</v>
      </c>
      <c r="AD491" s="209">
        <f ca="1">IF(OR(AD493=1,AD493=""),"",IF(AC491=0,AA491,IF(AND(AC491&lt;&gt;0,AC490&lt;&gt;0,AC489&lt;&gt;0),AA491,IF(AND(AC491&lt;&gt;0,AC490&lt;&gt;0,AC489=0),AA491,""))))</f>
        <v>4</v>
      </c>
      <c r="AE491" s="209">
        <f ca="1">IFERROR(ROUNDDOWN(AD$493/AD491,0),"")</f>
        <v>0</v>
      </c>
      <c r="AF491" s="209" t="str">
        <f ca="1">IF($AE498*$AA491*'Customer Base'!$D$26*0.8&gt;5800,"",IF($AE498*$AA491&gt;$AA501,"",IF(($AA$491*AF$488*$AE$498)&lt;=$AA$501,((MOD($AA$501,($AA$491*AF$488*$AE$498)))),"")))</f>
        <v/>
      </c>
      <c r="AG491" s="209" t="str">
        <f ca="1">IF($AE498*$AA491*'Customer Base'!$D$26*0.8&gt;5800,"",IF($AE498*$AA491&gt;$AA501,"",IF(($AA$491*AG$488*$AE$498)&lt;=$AA$501,((MOD($AA$501,($AA$491*AG$488*$AE$498)))),"")))</f>
        <v/>
      </c>
      <c r="AH491" s="209" t="str">
        <f ca="1">IF($AE498*$AA491*'Customer Base'!$D$26*0.8&gt;5800,"",IF($AE498*$AA491&gt;$AA501,"",IF(($AA$491*AH$488*$AE$498)&lt;=$AA$501,((MOD($AA$501,($AA$491*AH$488*$AE$498)))),"")))</f>
        <v/>
      </c>
      <c r="AI491" s="209" t="str">
        <f ca="1">IF($AE498*$AA491*'Customer Base'!$D$26*0.8&gt;5800,"",IF($AE498*$AA491&gt;$AA501,"",IF(($AA$491*AI$488*$AE$498)&lt;=$AA$501,((MOD($AA$501,($AA$491*AI$488*$AE$498)))),"")))</f>
        <v/>
      </c>
      <c r="AJ491" s="209" t="str">
        <f ca="1">IF($AE498*$AA491*'Customer Base'!$D$26*0.8&gt;5800,"",IF($AE498*$AA491&gt;$AA501,"",IF(($AA$491*AJ$488*$AE$498)&lt;=$AA$501,((MOD($AA$501,($AA$491*AJ$488*$AE$498)))),"")))</f>
        <v/>
      </c>
      <c r="AK491" s="209" t="str">
        <f ca="1">IF($AE498*$AA491*'Customer Base'!$D$26*0.8&gt;5800,"",IF($AE498*$AA491&gt;$AA501,"",IF(($AA$491*AK$488*$AE$498)&lt;=$AA$501,((MOD($AA$501,($AA$491*AK$488*$AE$498)))),"")))</f>
        <v/>
      </c>
      <c r="AL491" s="209" t="str">
        <f ca="1">IF($AE498*$AA491*'Customer Base'!$D$26*0.8&gt;5800,"",IF($AE498*$AA491&gt;$AA501,"",IF(($AA$491*AL$488*$AE$498)&lt;=$AA$501,((MOD($AA$501,($AA$491*AL$488*$AE$498)))),"")))</f>
        <v/>
      </c>
      <c r="AM491" s="209" t="str">
        <f ca="1">IF($AE498*$AA491*'Customer Base'!$D$26*0.8&gt;5800,"",IF($AE498*$AA491&gt;$AA501,"",IF(($AA$491*AM$488*$AE$498)&lt;=$AA$501,((MOD($AA$501,($AA$491*AM$488*$AE$498)))),"")))</f>
        <v/>
      </c>
      <c r="AN491" s="209" t="str">
        <f ca="1">IF($AE498*$AA491*'Customer Base'!$D$26*0.8&gt;5800,"",IF($AE498*$AA491&gt;$AA501,"",IF(($AA$491*AN$488*$AE$498)&lt;=$AA$501,((MOD($AA$501,($AA$491*AN$488*$AE$498)))),"")))</f>
        <v/>
      </c>
      <c r="AO491" s="209" t="str">
        <f ca="1">IF($AE498*$AA491*'Customer Base'!$D$26*0.8&gt;5800,"",IF($AE498*$AA491&gt;$AA501,"",IF(($AA$491*AO$488*$AE$498)&lt;=$AA$501,((MOD($AA$501,($AA$491*AO$488*$AE$498)))),"")))</f>
        <v/>
      </c>
      <c r="AP491" s="209" t="str">
        <f ca="1">IF($AE498*$AA491*'Customer Base'!$D$26*0.8&gt;5800,"",IF($AE498*$AA491&gt;$AA501,"",IF(($AA$491*AP$488*$AE$498)&lt;=$AA$501,((MOD($AA$501,($AA$491*AP$488*$AE$498)))),"")))</f>
        <v/>
      </c>
      <c r="AQ491" s="209" t="str">
        <f ca="1">IF($AE498*$AA491*'Customer Base'!$D$26*0.8&gt;5800,"",IF($AE498*$AA491&gt;$AA501,"",IF(($AA$491*AQ$488*$AE$498)&lt;=$AA$501,((MOD($AA$501,($AA$491*AQ$488*$AE$498)))),"")))</f>
        <v/>
      </c>
      <c r="AR491" s="209" t="str">
        <f ca="1">IF($AE498*$AA491*'Customer Base'!$D$26*0.8&gt;5800,"",IF($AE498*$AA491&gt;$AA501,"",IF(($AA$491*AR$488*$AE$498)&lt;=$AA$501,((MOD($AA$501,($AA$491*AR$488*$AE$498)))),"")))</f>
        <v/>
      </c>
      <c r="AS491" s="209" t="str">
        <f ca="1">IF($AE498*$AA491*'Customer Base'!$D$26*0.8&gt;5800,"",IF($AE498*$AA491&gt;$AA501,"",IF(($AA$491*AS$488*$AE$498)&lt;=$AA$501,((MOD($AA$501,($AA$491*AS$488*$AE$498)))),"")))</f>
        <v/>
      </c>
      <c r="AT491" s="209" t="str">
        <f ca="1">IF($AE498*$AA491*'Customer Base'!$D$26*0.8&gt;5800,"",IF($AE498*$AA491&gt;$AA501,"",IF(($AA$491*AT$488*$AE$498)&lt;=$AA$501,((MOD($AA$501,($AA$491*AT$488*$AE$498)))),"")))</f>
        <v/>
      </c>
      <c r="AU491" s="209" t="str">
        <f ca="1">IF($AE498*$AA491*'Customer Base'!$D$26*0.8&gt;5800,"",IF($AE498*$AA491&gt;$AA501,"",IF(($AA$491*AU$488*$AE$498)&lt;=$AA$501,((MOD($AA$501,($AA$491*AU$488*$AE$498)))),"")))</f>
        <v/>
      </c>
      <c r="AV491" s="209" t="str">
        <f ca="1">IF($AE498*$AA491*'Customer Base'!$D$26*0.8&gt;5800,"",IF($AE498*$AA491&gt;$AA501,"",IF(($AA$491*AV$488*$AE$498)&lt;=$AA$501,((MOD($AA$501,($AA$491*AV$488*$AE$498)))),"")))</f>
        <v/>
      </c>
      <c r="AW491" s="209" t="str">
        <f ca="1">IF($AE498*$AA491*'Customer Base'!$D$26*0.8&gt;5800,"",IF($AE498*$AA491&gt;$AA501,"",IF(($AA$491*AW$488*$AE$498)&lt;=$AA$501,((MOD($AA$501,($AA$491*AW$488*$AE$498)))),"")))</f>
        <v/>
      </c>
      <c r="AX491" s="209" t="str">
        <f ca="1">IF($AE498*$AA491*'Customer Base'!$D$26*0.8&gt;5800,"",IF($AE498*$AA491&gt;$AA501,"",IF(($AA$491*AX$488*$AE$498)&lt;=$AA$501,((MOD($AA$501,($AA$491*AX$488*$AE$498)))),"")))</f>
        <v/>
      </c>
      <c r="AY491" s="209" t="str">
        <f ca="1">IF($AE498*$AA491*'Customer Base'!$D$26*0.8&gt;5800,"",IF($AE498*$AA491&gt;$AA501,"",IF(($AA$491*AY$488*$AE$498)&lt;=$AA$501,((MOD($AA$501,($AA$491*AY$488*$AE$498)))),"")))</f>
        <v/>
      </c>
      <c r="AZ491" s="209" t="str">
        <f ca="1">IF($AE498*$AA491*'Customer Base'!$D$26*0.8&gt;5800,"",IF($AE498*$AA491&gt;$AA501,"",IF(($AA$491*AZ$488*$AE$498)&lt;=$AA$501,((MOD($AA$501,($AA$491*AZ$488*$AE$498)))),"")))</f>
        <v/>
      </c>
      <c r="BA491" s="209" t="str">
        <f ca="1">IF($AE498*$AA491*'Customer Base'!$D$26*0.8&gt;5800,"",IF($AE498*$AA491&gt;$AA501,"",IF(($AA$491*BA$488*$AE$498)&lt;=$AA$501,((MOD($AA$501,($AA$491*BA$488*$AE$498)))),"")))</f>
        <v/>
      </c>
      <c r="BB491" s="209" t="str">
        <f ca="1">IF($AE498*$AA491*'Customer Base'!$D$26*0.8&gt;5800,"",IF($AE498*$AA491&gt;$AA501,"",IF(($AA$491*BB$488*$AE$498)&lt;=$AA$501,((MOD($AA$501,($AA$491*BB$488*$AE$498)))),"")))</f>
        <v/>
      </c>
      <c r="BC491" s="209" t="str">
        <f ca="1">IF($AE498*$AA491*'Customer Base'!$D$26*0.8&gt;5800,"",IF($AE498*$AA491&gt;$AA501,"",IF(($AA$491*BC$488*$AE$498)&lt;=$AA$501,((MOD($AA$501,($AA$491*BC$488*$AE$498)))),"")))</f>
        <v/>
      </c>
      <c r="BD491" s="209" t="str">
        <f ca="1">IF($AE498*$AA491*'Customer Base'!$D$26*0.8&gt;5800,"",IF($AE498*$AA491&gt;$AA501,"",IF(($AA$491*BD$488*$AE$498)&lt;=$AA$501,((MOD($AA$501,($AA$491*BD$488*$AE$498)))),"")))</f>
        <v/>
      </c>
      <c r="BE491" s="209" t="str">
        <f ca="1">IF($AE498*$AA491*'Customer Base'!$D$26*0.8&gt;5800,"",IF($AE498*$AA491&gt;$AA501,"",IF(($AA$491*BE$488*$AE$498)&lt;=$AA$501,((MOD($AA$501,($AA$491*BE$488*$AE$498)))),"")))</f>
        <v/>
      </c>
      <c r="BF491" s="209" t="str">
        <f ca="1">IF($AE498*$AA491*'Customer Base'!$D$26*0.8&gt;5800,"",IF($AE498*$AA491&gt;$AA501,"",IF(($AA$491*BF$488*$AE$498)&lt;=$AA$501,((MOD($AA$501,($AA$491*BF$488*$AE$498)))),"")))</f>
        <v/>
      </c>
      <c r="BG491" s="209" t="str">
        <f ca="1">IF($AE498*$AA491*'Customer Base'!$D$26*0.8&gt;5800,"",IF($AE498*$AA491&gt;$AA501,"",IF(($AA$491*BG$488*$AE$498)&lt;=$AA$501,((MOD($AA$501,($AA$491*BG$488*$AE$498)))),"")))</f>
        <v/>
      </c>
      <c r="BH491" s="209" t="str">
        <f ca="1">IF($AE498*$AA491*'Customer Base'!$D$26*0.8&gt;5800,"",IF($AE498*$AA491&gt;$AA501,"",IF(($AA$491*BH$488*$AE$498)&lt;=$AA$501,((MOD($AA$501,($AA$491*BH$488*$AE$498)))),"")))</f>
        <v/>
      </c>
      <c r="BI491" s="209" t="str">
        <f ca="1">IF($AE498*$AA491*'Customer Base'!$D$26*0.8&gt;5800,"",IF($AE498*$AA491&gt;$AA501,"",IF(($AA$491*BI$488*$AE$498)&lt;=$AA$501,((MOD($AA$501,($AA$491*BI$488*$AE$498)))),"")))</f>
        <v/>
      </c>
      <c r="BJ491" s="209" t="str">
        <f ca="1">IF($AE498*$AA491*'Customer Base'!$D$26*0.8&gt;5800,"",IF($AE498*$AA491&gt;$AA501,"",IF(($AA$491*BJ$488*$AE$498)&lt;=$AA$501,((MOD($AA$501,($AA$491*BJ$488*$AE$498)))),"")))</f>
        <v/>
      </c>
      <c r="BK491" s="209" t="str">
        <f ca="1">IF($AE498*$AA491*'Customer Base'!$D$26*0.8&gt;5800,"",IF($AE498*$AA491&gt;$AA501,"",IF(($AA$491*BK$488*$AE$498)&lt;=$AA$501,((MOD($AA$501,($AA$491*BK$488*$AE$498)))),"")))</f>
        <v/>
      </c>
      <c r="BL491" s="209" t="str">
        <f ca="1">IF($AE498*$AA491*'Customer Base'!$D$26*0.8&gt;5800,"",IF($AE498*$AA491&gt;$AA501,"",IF(($AA$491*BL$488*$AE$498)&lt;=$AA$501,((MOD($AA$501,($AA$491*BL$488*$AE$498)))),"")))</f>
        <v/>
      </c>
      <c r="BM491" s="209" t="str">
        <f ca="1">IF($AE498*$AA491*'Customer Base'!$D$26*0.8&gt;5800,"",IF($AE498*$AA491&gt;$AA501,"",IF(($AA$491*BM$488*$AE$498)&lt;=$AA$501,((MOD($AA$501,($AA$491*BM$488*$AE$498)))),"")))</f>
        <v/>
      </c>
      <c r="BN491" s="209" t="str">
        <f ca="1">IF($AE498*$AA491*'Customer Base'!$D$26*0.8&gt;5800,"",IF($AE498*$AA491&gt;$AA501,"",IF(($AA$491*BN$488*$AE$498)&lt;=$AA$501,((MOD($AA$501,($AA$491*BN$488*$AE$498)))),"")))</f>
        <v/>
      </c>
      <c r="BO491" s="209" t="str">
        <f ca="1">IF($AE498*$AA491*'Customer Base'!$D$26*0.8&gt;5800,"",IF($AE498*$AA491&gt;$AA501,"",IF(($AA$491*BO$488*$AE$498)&lt;=$AA$501,((MOD($AA$501,($AA$491*BO$488*$AE$498)))),"")))</f>
        <v/>
      </c>
      <c r="BP491" s="209" t="str">
        <f ca="1">IF($AE498*$AA491*'Customer Base'!$D$26*0.8&gt;5800,"",IF($AE498*$AA491&gt;$AA501,"",IF(($AA$491*BP$488*$AE$498)&lt;=$AA$501,((MOD($AA$501,($AA$491*BP$488*$AE$498)))),"")))</f>
        <v/>
      </c>
      <c r="BQ491" s="209" t="str">
        <f ca="1">IF($AE498*$AA491*'Customer Base'!$D$26*0.8&gt;5800,"",IF($AE498*$AA491&gt;$AA501,"",IF(($AA$491*BQ$488*$AE$498)&lt;=$AA$501,((MOD($AA$501,($AA$491*BQ$488*$AE$498)))),"")))</f>
        <v/>
      </c>
      <c r="BR491" s="209" t="str">
        <f ca="1">IF($AE498*$AA491*'Customer Base'!$D$26*0.8&gt;5800,"",IF($AE498*$AA491&gt;$AA501,"",IF(($AA$491*BR$488*$AE$498)&lt;=$AA$501,((MOD($AA$501,($AA$491*BR$488*$AE$498)))),"")))</f>
        <v/>
      </c>
      <c r="BS491" s="209" t="str">
        <f ca="1">IF($AE498*$AA491*'Customer Base'!$D$26*0.8&gt;5800,"",IF($AE498*$AA491&gt;$AA501,"",IF(($AA$491*BS$488*$AE$498)&lt;=$AA$501,((MOD($AA$501,($AA$491*BS$488*$AE$498)))),"")))</f>
        <v/>
      </c>
      <c r="BT491" s="209" t="str">
        <f ca="1">IF($AE498*$AA491*'Customer Base'!$D$26*0.8&gt;5800,"",IF($AE498*$AA491&gt;$AA501,"",IF(($AA$491*BT$488*$AE$498)&lt;=$AA$501,((MOD($AA$501,($AA$491*BT$488*$AE$498)))),"")))</f>
        <v/>
      </c>
      <c r="BU491" s="209" t="str">
        <f ca="1">IF($AE498*$AA491*'Customer Base'!$D$26*0.8&gt;5800,"",IF($AE498*$AA491&gt;$AA501,"",IF(($AA$491*BU$488*$AE$498)&lt;=$AA$501,((MOD($AA$501,($AA$491*BU$488*$AE$498)))),"")))</f>
        <v/>
      </c>
      <c r="BV491" s="209" t="str">
        <f ca="1">IF($AE498*$AA491*'Customer Base'!$D$26*0.8&gt;5800,"",IF($AE498*$AA491&gt;$AA501,"",IF(($AA$491*BV$488*$AE$498)&lt;=$AA$501,((MOD($AA$501,($AA$491*BV$488*$AE$498)))),"")))</f>
        <v/>
      </c>
      <c r="BW491" s="209" t="str">
        <f ca="1">IF($AE498*$AA491*'Customer Base'!$D$26*0.8&gt;5800,"",IF($AE498*$AA491&gt;$AA501,"",IF(($AA$491*BW$488*$AE$498)&lt;=$AA$501,((MOD($AA$501,($AA$491*BW$488*$AE$498)))),"")))</f>
        <v/>
      </c>
      <c r="BX491" s="209" t="str">
        <f ca="1">IF($AE498*$AA491*'Customer Base'!$D$26*0.8&gt;5800,"",IF($AE498*$AA491&gt;$AA501,"",IF(($AA$491*BX$488*$AE$498)&lt;=$AA$501,((MOD($AA$501,($AA$491*BX$488*$AE$498)))),"")))</f>
        <v/>
      </c>
      <c r="BY491" s="209" t="str">
        <f ca="1">IF($AE498*$AA491*'Customer Base'!$D$26*0.8&gt;5800,"",IF($AE498*$AA491&gt;$AA501,"",IF(($AA$491*BY$488*$AE$498)&lt;=$AA$501,((MOD($AA$501,($AA$491*BY$488*$AE$498)))),"")))</f>
        <v/>
      </c>
      <c r="BZ491" s="209" t="str">
        <f ca="1">IF($AE498*$AA491*'Customer Base'!$D$26*0.8&gt;5800,"",IF($AE498*$AA491&gt;$AA501,"",IF(($AA$491*BZ$488*$AE$498)&lt;=$AA$501,((MOD($AA$501,($AA$491*BZ$488*$AE$498)))),"")))</f>
        <v/>
      </c>
      <c r="CA491" s="209" t="str">
        <f ca="1">IF($AE498*$AA491*'Customer Base'!$D$26*0.8&gt;5800,"",IF($AE498*$AA491&gt;$AA501,"",IF(($AA$491*CA$488*$AE$498)&lt;=$AA$501,((MOD($AA$501,($AA$491*CA$488*$AE$498)))),"")))</f>
        <v/>
      </c>
      <c r="CB491" s="209" t="str">
        <f ca="1">IF($AE498*$AA491*'Customer Base'!$D$26*0.8&gt;5800,"",IF($AE498*$AA491&gt;$AA501,"",IF(($AA$491*CB$488*$AE$498)&lt;=$AA$501,((MOD($AA$501,($AA$491*CB$488*$AE$498)))),"")))</f>
        <v/>
      </c>
      <c r="CC491" s="209" t="str">
        <f ca="1">IF($AE498*$AA491*'Customer Base'!$D$26*0.8&gt;5800,"",IF($AE498*$AA491&gt;$AA501,"",IF(($AA$491*CC$488*$AE$498)&lt;=$AA$501,((MOD($AA$501,($AA$491*CC$488*$AE$498)))),"")))</f>
        <v/>
      </c>
      <c r="CD491" s="209" t="str">
        <f ca="1">IF($AE498*$AA491*'Customer Base'!$D$26*0.8&gt;5800,"",IF($AE498*$AA491&gt;$AA501,"",IF(($AA$491*CD$488*$AE$498)&lt;=$AA$501,((MOD($AA$501,($AA$491*CD$488*$AE$498)))),"")))</f>
        <v/>
      </c>
      <c r="CE491" s="209" t="str">
        <f ca="1">IF($AE498*$AA491*'Customer Base'!$D$26*0.8&gt;5800,"",IF($AE498*$AA491&gt;$AA501,"",IF(($AA$491*CE$488*$AE$498)&lt;=$AA$501,((MOD($AA$501,($AA$491*CE$488*$AE$498)))),"")))</f>
        <v/>
      </c>
      <c r="CF491" s="209" t="str">
        <f ca="1">IF($AE498*$AA491*'Customer Base'!$D$26*0.8&gt;5800,"",IF($AE498*$AA491&gt;$AA501,"",IF(($AA$491*CF$488*$AE$498)&lt;=$AA$501,((MOD($AA$501,($AA$491*CF$488*$AE$498)))),"")))</f>
        <v/>
      </c>
      <c r="CG491" s="209" t="str">
        <f ca="1">IF($AE498*$AA491*'Customer Base'!$D$26*0.8&gt;5800,"",IF($AE498*$AA491&gt;$AA501,"",IF(($AA$491*CG$488*$AE$498)&lt;=$AA$501,((MOD($AA$501,($AA$491*CG$488*$AE$498)))),"")))</f>
        <v/>
      </c>
      <c r="CH491" s="209" t="str">
        <f ca="1">IF($AE498*$AA491*'Customer Base'!$D$26*0.8&gt;5800,"",IF($AE498*$AA491&gt;$AA501,"",IF(($AA$491*CH$488*$AE$498)&lt;=$AA$501,((MOD($AA$501,($AA$491*CH$488*$AE$498)))),"")))</f>
        <v/>
      </c>
      <c r="CI491" s="209" t="str">
        <f ca="1">IF($AE498*$AA491*'Customer Base'!$D$26*0.8&gt;5800,"",IF($AE498*$AA491&gt;$AA501,"",IF(($AA$491*CI$488*$AE$498)&lt;=$AA$501,((MOD($AA$501,($AA$491*CI$488*$AE$498)))),"")))</f>
        <v/>
      </c>
      <c r="CJ491" s="209" t="str">
        <f ca="1">IF($AE498*$AA491*'Customer Base'!$D$26*0.8&gt;5800,"",IF($AE498*$AA491&gt;$AA501,"",IF(($AA$491*CJ$488*$AE$498)&lt;=$AA$501,((MOD($AA$501,($AA$491*CJ$488*$AE$498)))),"")))</f>
        <v/>
      </c>
      <c r="CK491" s="209" t="str">
        <f ca="1">IF($AE498*$AA491*'Customer Base'!$D$26*0.8&gt;5800,"",IF($AE498*$AA491&gt;$AA501,"",IF(($AA$491*CK$488*$AE$498)&lt;=$AA$501,((MOD($AA$501,($AA$491*CK$488*$AE$498)))),"")))</f>
        <v/>
      </c>
      <c r="CL491" s="209" t="str">
        <f ca="1">IF($AE498*$AA491*'Customer Base'!$D$26*0.8&gt;5800,"",IF($AE498*$AA491&gt;$AA501,"",IF(($AA$491*CL$488*$AE$498)&lt;=$AA$501,((MOD($AA$501,($AA$491*CL$488*$AE$498)))),"")))</f>
        <v/>
      </c>
      <c r="CM491" s="209" t="str">
        <f ca="1">IF($AE498*$AA491*'Customer Base'!$D$26*0.8&gt;5800,"",IF($AE498*$AA491&gt;$AA501,"",IF(($AA$491*CM$488*$AE$498)&lt;=$AA$501,((MOD($AA$501,($AA$491*CM$488*$AE$498)))),"")))</f>
        <v/>
      </c>
      <c r="CN491" s="209" t="str">
        <f ca="1">IF($AE498*$AA491*'Customer Base'!$D$26*0.8&gt;5800,"",IF($AE498*$AA491&gt;$AA501,"",IF(($AA$491*CN$488*$AE$498)&lt;=$AA$501,((MOD($AA$501,($AA$491*CN$488*$AE$498)))),"")))</f>
        <v/>
      </c>
      <c r="CO491" s="209" t="str">
        <f ca="1">IF($AE498*$AA491*'Customer Base'!$D$26*0.8&gt;5800,"",IF($AE498*$AA491&gt;$AA501,"",IF(($AA$491*CO$488*$AE$498)&lt;=$AA$501,((MOD($AA$501,($AA$491*CO$488*$AE$498)))),"")))</f>
        <v/>
      </c>
      <c r="CP491" s="209" t="str">
        <f ca="1">IF($AE498*$AA491*'Customer Base'!$D$26*0.8&gt;5800,"",IF($AE498*$AA491&gt;$AA501,"",IF(($AA$491*CP$488*$AE$498)&lt;=$AA$501,((MOD($AA$501,($AA$491*CP$488*$AE$498)))),"")))</f>
        <v/>
      </c>
      <c r="CQ491" s="209" t="str">
        <f ca="1">IF($AE498*$AA491*'Customer Base'!$D$26*0.8&gt;5800,"",IF($AE498*$AA491&gt;$AA501,"",IF(($AA$491*CQ$488*$AE$498)&lt;=$AA$501,((MOD($AA$501,($AA$491*CQ$488*$AE$498)))),"")))</f>
        <v/>
      </c>
      <c r="CR491" s="209" t="str">
        <f ca="1">IF($AE498*$AA491*'Customer Base'!$D$26*0.8&gt;5800,"",IF($AE498*$AA491&gt;$AA501,"",IF(($AA$491*CR$488*$AE$498)&lt;=$AA$501,((MOD($AA$501,($AA$491*CR$488*$AE$498)))),"")))</f>
        <v/>
      </c>
      <c r="CS491" s="209" t="str">
        <f ca="1">IF($AE498*$AA491*'Customer Base'!$D$26*0.8&gt;5800,"",IF($AE498*$AA491&gt;$AA501,"",IF(($AA$491*CS$488*$AE$498)&lt;=$AA$501,((MOD($AA$501,($AA$491*CS$488*$AE$498)))),"")))</f>
        <v/>
      </c>
      <c r="CT491" s="209" t="str">
        <f ca="1">IF($AE498*$AA491*'Customer Base'!$D$26*0.8&gt;5800,"",IF($AE498*$AA491&gt;$AA501,"",IF(($AA$491*CT$488*$AE$498)&lt;=$AA$501,((MOD($AA$501,($AA$491*CT$488*$AE$498)))),"")))</f>
        <v/>
      </c>
      <c r="CU491" s="209" t="str">
        <f ca="1">IF($AE498*$AA491*'Customer Base'!$D$26*0.8&gt;5800,"",IF($AE498*$AA491&gt;$AA501,"",IF(($AA$491*CU$488*$AE$498)&lt;=$AA$501,((MOD($AA$501,($AA$491*CU$488*$AE$498)))),"")))</f>
        <v/>
      </c>
      <c r="CV491" s="209" t="str">
        <f ca="1">IF($AE498*$AA491*'Customer Base'!$D$26*0.8&gt;5800,"",IF($AE498*$AA491&gt;$AA501,"",IF(($AA$491*CV$488*$AE$498)&lt;=$AA$501,((MOD($AA$501,($AA$491*CV$488*$AE$498)))),"")))</f>
        <v/>
      </c>
      <c r="CW491" s="209" t="str">
        <f ca="1">IF($AE498*$AA491*'Customer Base'!$D$26*0.8&gt;5800,"",IF($AE498*$AA491&gt;$AA501,"",IF(($AA$491*CW$488*$AE$498)&lt;=$AA$501,((MOD($AA$501,($AA$491*CW$488*$AE$498)))),"")))</f>
        <v/>
      </c>
      <c r="CX491" s="209" t="str">
        <f ca="1">IF($AE498*$AA491*'Customer Base'!$D$26*0.8&gt;5800,"",IF($AE498*$AA491&gt;$AA501,"",IF(($AA$491*CX$488*$AE$498)&lt;=$AA$501,((MOD($AA$501,($AA$491*CX$488*$AE$498)))),"")))</f>
        <v/>
      </c>
      <c r="CY491" s="209" t="str">
        <f ca="1">IF($AE498*$AA491*'Customer Base'!$D$26*0.8&gt;5800,"",IF($AE498*$AA491&gt;$AA501,"",IF(($AA$491*CY$488*$AE$498)&lt;=$AA$501,((MOD($AA$501,($AA$491*CY$488*$AE$498)))),"")))</f>
        <v/>
      </c>
      <c r="CZ491" s="209" t="str">
        <f ca="1">IF($AE498*$AA491*'Customer Base'!$D$26*0.8&gt;5800,"",IF($AE498*$AA491&gt;$AA501,"",IF(($AA$491*CZ$488*$AE$498)&lt;=$AA$501,((MOD($AA$501,($AA$491*CZ$488*$AE$498)))),"")))</f>
        <v/>
      </c>
      <c r="DA491" s="209" t="str">
        <f ca="1">IF($AE498*$AA491*'Customer Base'!$D$26*0.8&gt;5800,"",IF($AE498*$AA491&gt;$AA501,"",IF(($AA$491*DA$488*$AE$498)&lt;=$AA$501,((MOD($AA$501,($AA$491*DA$488*$AE$498)))),"")))</f>
        <v/>
      </c>
      <c r="DB491" s="209" t="str">
        <f ca="1">IF($AE498*$AA491*'Customer Base'!$D$26*0.8&gt;5800,"",IF($AE498*$AA491&gt;$AA501,"",IF(($AA$491*DB$488*$AE$498)&lt;=$AA$501,((MOD($AA$501,($AA$491*DB$488*$AE$498)))),"")))</f>
        <v/>
      </c>
      <c r="DC491" s="209" t="str">
        <f ca="1">IF($AE498*$AA491*'Customer Base'!$D$26*0.8&gt;5800,"",IF($AE498*$AA491&gt;$AA501,"",IF(($AA$491*DC$488*$AE$498)&lt;=$AA$501,((MOD($AA$501,($AA$491*DC$488*$AE$498)))),"")))</f>
        <v/>
      </c>
      <c r="DD491" s="209" t="str">
        <f ca="1">IF($AE498*$AA491*'Customer Base'!$D$26*0.8&gt;5800,"",IF($AE498*$AA491&gt;$AA501,"",IF(($AA$491*DD$488*$AE$498)&lt;=$AA$501,((MOD($AA$501,($AA$491*DD$488*$AE$498)))),"")))</f>
        <v/>
      </c>
      <c r="DE491" s="209" t="str">
        <f ca="1">IF($AE498*$AA491*'Customer Base'!$D$26*0.8&gt;5800,"",IF($AE498*$AA491&gt;$AA501,"",IF(($AA$491*DE$488*$AE$498)&lt;=$AA$501,((MOD($AA$501,($AA$491*DE$488*$AE$498)))),"")))</f>
        <v/>
      </c>
      <c r="DF491" s="209" t="str">
        <f ca="1">IF($AE498*$AA491*'Customer Base'!$D$26*0.8&gt;5800,"",IF($AE498*$AA491&gt;$AA501,"",IF(($AA$491*DF$488*$AE$498)&lt;=$AA$501,((MOD($AA$501,($AA$491*DF$488*$AE$498)))),"")))</f>
        <v/>
      </c>
      <c r="DG491" s="209" t="str">
        <f ca="1">IF($AE498*$AA491*'Customer Base'!$D$26*0.8&gt;5800,"",IF($AE498*$AA491&gt;$AA501,"",IF(($AA$491*DG$488*$AE$498)&lt;=$AA$501,((MOD($AA$501,($AA$491*DG$488*$AE$498)))),"")))</f>
        <v/>
      </c>
      <c r="DH491" s="209" t="str">
        <f ca="1">IF($AE498*$AA491*'Customer Base'!$D$26*0.8&gt;5800,"",IF($AE498*$AA491&gt;$AA501,"",IF(($AA$491*DH$488*$AE$498)&lt;=$AA$501,((MOD($AA$501,($AA$491*DH$488*$AE$498)))),"")))</f>
        <v/>
      </c>
      <c r="DI491" s="209" t="str">
        <f ca="1">IF($AE498*$AA491*'Customer Base'!$D$26*0.8&gt;5800,"",IF($AE498*$AA491&gt;$AA501,"",IF(($AA$491*DI$488*$AE$498)&lt;=$AA$501,((MOD($AA$501,($AA$491*DI$488*$AE$498)))),"")))</f>
        <v/>
      </c>
      <c r="DJ491" s="209" t="str">
        <f ca="1">IF($AE498*$AA491*'Customer Base'!$D$26*0.8&gt;5800,"",IF($AE498*$AA491&gt;$AA501,"",IF(($AA$491*DJ$488*$AE$498)&lt;=$AA$501,((MOD($AA$501,($AA$491*DJ$488*$AE$498)))),"")))</f>
        <v/>
      </c>
      <c r="DK491" s="209" t="str">
        <f ca="1">IF($AE498*$AA491*'Customer Base'!$D$26*0.8&gt;5800,"",IF($AE498*$AA491&gt;$AA501,"",IF(($AA$491*DK$488*$AE$498)&lt;=$AA$501,((MOD($AA$501,($AA$491*DK$488*$AE$498)))),"")))</f>
        <v/>
      </c>
      <c r="DL491" s="209" t="str">
        <f ca="1">IF($AE498*$AA491*'Customer Base'!$D$26*0.8&gt;5800,"",IF($AE498*$AA491&gt;$AA501,"",IF(($AA$491*DL$488*$AE$498)&lt;=$AA$501,((MOD($AA$501,($AA$491*DL$488*$AE$498)))),"")))</f>
        <v/>
      </c>
      <c r="DM491" s="209" t="str">
        <f ca="1">IF($AE498*$AA491*'Customer Base'!$D$26*0.8&gt;5800,"",IF($AE498*$AA491&gt;$AA501,"",IF(($AA$491*DM$488*$AE$498)&lt;=$AA$501,((MOD($AA$501,($AA$491*DM$488*$AE$498)))),"")))</f>
        <v/>
      </c>
      <c r="DN491" s="209" t="str">
        <f ca="1">IF($AE498*$AA491*'Customer Base'!$D$26*0.8&gt;5800,"",IF($AE498*$AA491&gt;$AA501,"",IF(($AA$491*DN$488*$AE$498)&lt;=$AA$501,((MOD($AA$501,($AA$491*DN$488*$AE$498)))),"")))</f>
        <v/>
      </c>
      <c r="DO491" s="209" t="str">
        <f ca="1">IF($AE498*$AA491*'Customer Base'!$D$26*0.8&gt;5800,"",IF($AE498*$AA491&gt;$AA501,"",IF(($AA$491*DO$488*$AE$498)&lt;=$AA$501,((MOD($AA$501,($AA$491*DO$488*$AE$498)))),"")))</f>
        <v/>
      </c>
      <c r="DP491" s="209" t="str">
        <f ca="1">IF($AE498*$AA491*'Customer Base'!$D$26*0.8&gt;5800,"",IF($AE498*$AA491&gt;$AA501,"",IF(($AA$491*DP$488*$AE$498)&lt;=$AA$501,((MOD($AA$501,($AA$491*DP$488*$AE$498)))),"")))</f>
        <v/>
      </c>
      <c r="DQ491" s="209" t="str">
        <f ca="1">IF($AE498*$AA491*'Customer Base'!$D$26*0.8&gt;5800,"",IF($AE498*$AA491&gt;$AA501,"",IF(($AA$491*DQ$488*$AE$498)&lt;=$AA$501,((MOD($AA$501,($AA$491*DQ$488*$AE$498)))),"")))</f>
        <v/>
      </c>
      <c r="DR491" s="209" t="str">
        <f ca="1">IF($AE498*$AA491*'Customer Base'!$D$26*0.8&gt;5800,"",IF($AE498*$AA491&gt;$AA501,"",IF(($AA$491*DR$488*$AE$498)&lt;=$AA$501,((MOD($AA$501,($AA$491*DR$488*$AE$498)))),"")))</f>
        <v/>
      </c>
      <c r="DS491" s="209" t="str">
        <f ca="1">IF($AE498*$AA491*'Customer Base'!$D$26*0.8&gt;5800,"",IF($AE498*$AA491&gt;$AA501,"",IF(($AA$491*DS$488*$AE$498)&lt;=$AA$501,((MOD($AA$501,($AA$491*DS$488*$AE$498)))),"")))</f>
        <v/>
      </c>
      <c r="DT491" s="209" t="str">
        <f ca="1">IF($AE498*$AA491*'Customer Base'!$D$26*0.8&gt;5800,"",IF($AE498*$AA491&gt;$AA501,"",IF(($AA$491*DT$488*$AE$498)&lt;=$AA$501,((MOD($AA$501,($AA$491*DT$488*$AE$498)))),"")))</f>
        <v/>
      </c>
      <c r="DU491" s="209" t="str">
        <f ca="1">IF($AE498*$AA491*'Customer Base'!$D$26*0.8&gt;5800,"",IF($AE498*$AA491&gt;$AA501,"",IF(($AA$491*DU$488*$AE$498)&lt;=$AA$501,((MOD($AA$501,($AA$491*DU$488*$AE$498)))),"")))</f>
        <v/>
      </c>
      <c r="DV491" s="209" t="str">
        <f ca="1">IF($AE498*$AA491*'Customer Base'!$D$26*0.8&gt;5800,"",IF($AE498*$AA491&gt;$AA501,"",IF(($AA$491*DV$488*$AE$498)&lt;=$AA$501,((MOD($AA$501,($AA$491*DV$488*$AE$498)))),"")))</f>
        <v/>
      </c>
      <c r="DW491" s="209" t="str">
        <f ca="1">IF($AE498*$AA491*'Customer Base'!$D$26*0.8&gt;5800,"",IF($AE498*$AA491&gt;$AA501,"",IF(($AA$491*DW$488*$AE$498)&lt;=$AA$501,((MOD($AA$501,($AA$491*DW$488*$AE$498)))),"")))</f>
        <v/>
      </c>
      <c r="DX491" s="209" t="str">
        <f ca="1">IF($AE498*$AA491*'Customer Base'!$D$26*0.8&gt;5800,"",IF($AE498*$AA491&gt;$AA501,"",IF(($AA$491*DX$488*$AE$498)&lt;=$AA$501,((MOD($AA$501,($AA$491*DX$488*$AE$498)))),"")))</f>
        <v/>
      </c>
      <c r="DY491" s="209" t="str">
        <f ca="1">IF($AE498*$AA491*'Customer Base'!$D$26*0.8&gt;5800,"",IF($AE498*$AA491&gt;$AA501,"",IF(($AA$491*DY$488*$AE$498)&lt;=$AA$501,((MOD($AA$501,($AA$491*DY$488*$AE$498)))),"")))</f>
        <v/>
      </c>
      <c r="DZ491" s="209" t="str">
        <f ca="1">IF($AE498*$AA491*'Customer Base'!$D$26*0.8&gt;5800,"",IF($AE498*$AA491&gt;$AA501,"",IF(($AA$491*DZ$488*$AE$498)&lt;=$AA$501,((MOD($AA$501,($AA$491*DZ$488*$AE$498)))),"")))</f>
        <v/>
      </c>
      <c r="EA491" s="209" t="str">
        <f ca="1">IF($AE498*$AA491*'Customer Base'!$D$26*0.8&gt;5800,"",IF($AE498*$AA491&gt;$AA501,"",IF(($AA$491*EA$488*$AE$498)&lt;=$AA$501,((MOD($AA$501,($AA$491*EA$488*$AE$498)))),"")))</f>
        <v/>
      </c>
      <c r="EC491" s="209" t="str" cm="1">
        <f t="array" aca="1" ref="EC491" ca="1">IFERROR(LOOKUP(2,1/(AF491:EA491&lt;&gt;""),AF$488:EA$488),"")</f>
        <v/>
      </c>
      <c r="ED491" s="311" t="str" cm="1">
        <f t="array" aca="1" ref="ED491" ca="1">IF(EC$474=EC491,LOOKUP(2,1/(AF491:EA491&lt;&gt;""),AF491:EA491),"")</f>
        <v/>
      </c>
      <c r="EE491" s="311" t="str">
        <f ca="1">IF(ED491=ED$474,1,"")</f>
        <v/>
      </c>
      <c r="EF491" s="311"/>
      <c r="EG491" s="311"/>
      <c r="EH491" s="311"/>
      <c r="EI491" s="209">
        <v>4</v>
      </c>
      <c r="EJ491" s="311" t="s">
        <v>2687</v>
      </c>
      <c r="EK491" s="209">
        <f>IFERROR(MOD(EL$495,EI491),"")</f>
        <v>0</v>
      </c>
      <c r="EL491" s="209" t="str">
        <f>IF(OR(EL495=1,EL495=""),"",IF(EK491=0,EI491,IF(AND(EK491&lt;&gt;0,EK490&lt;&gt;0,EK489&lt;&gt;0),EI491,IF(AND(EK491&lt;&gt;0,EK490&lt;&gt;0,EK489=0),EI491,""))))</f>
        <v/>
      </c>
      <c r="EM491" s="209" t="str">
        <f>IFERROR(ROUNDDOWN(EL$495/EL491,0),"")</f>
        <v/>
      </c>
      <c r="EN491" s="209" t="str">
        <f ca="1">IF($AE498*$AA491*'Customer Base'!$D$26*0.8&gt;5800,"",IF($AE498*$AA491&gt;$AA501,"",IF(($AA$491*EN$488*$AE$498)&lt;=$ED$474,((MOD($ED$474,($AA$491*EN$488*$AE$498)))),"")))</f>
        <v/>
      </c>
      <c r="EO491" s="209" t="str">
        <f ca="1">IF($AE498*$AA491*'Customer Base'!$D$26*0.8&gt;5800,"",IF($AE498*$AA491&gt;$AA501,"",IF(($AA$491*EO$488*$AE$498)&lt;=$ED$474,((MOD($ED$474,($AA$491*EO$488*$AE$498)))),"")))</f>
        <v/>
      </c>
      <c r="EP491" s="209" t="str">
        <f ca="1">IF($AE498*$AA491*'Customer Base'!$D$26*0.8&gt;5800,"",IF($AE498*$AA491&gt;$AA501,"",IF(($AA$491*EP$488*$AE$498)&lt;=$ED$474,((MOD($ED$474,($AA$491*EP$488*$AE$498)))),"")))</f>
        <v/>
      </c>
      <c r="EQ491" s="209" t="str">
        <f ca="1">IF($AE498*$AA491*'Customer Base'!$D$26*0.8&gt;5800,"",IF($AE498*$AA491&gt;$AA501,"",IF(($AA$491*EQ$488*$AE$498)&lt;=$ED$474,((MOD($ED$474,($AA$491*EQ$488*$AE$498)))),"")))</f>
        <v/>
      </c>
      <c r="ER491" s="209" t="str">
        <f ca="1">IF($AE498*$AA491*'Customer Base'!$D$26*0.8&gt;5800,"",IF($AE498*$AA491&gt;$AA501,"",IF(($AA$491*ER$488*$AE$498)&lt;=$ED$474,((MOD($ED$474,($AA$491*ER$488*$AE$498)))),"")))</f>
        <v/>
      </c>
      <c r="ES491" s="209" t="str">
        <f ca="1">IF($AE498*$AA491*'Customer Base'!$D$26*0.8&gt;5800,"",IF($AE498*$AA491&gt;$AA501,"",IF(($AA$491*ES$488*$AE$498)&lt;=$ED$474,((MOD($ED$474,($AA$491*ES$488*$AE$498)))),"")))</f>
        <v/>
      </c>
      <c r="ET491" s="209" t="str">
        <f ca="1">IF($AE498*$AA491*'Customer Base'!$D$26*0.8&gt;5800,"",IF($AE498*$AA491&gt;$AA501,"",IF(($AA$491*ET$488*$AE$498)&lt;=$ED$474,((MOD($ED$474,($AA$491*ET$488*$AE$498)))),"")))</f>
        <v/>
      </c>
      <c r="EU491" s="209" t="str">
        <f ca="1">IF($AE498*$AA491*'Customer Base'!$D$26*0.8&gt;5800,"",IF($AE498*$AA491&gt;$AA501,"",IF(($AA$491*EU$488*$AE$498)&lt;=$ED$474,((MOD($ED$474,($AA$491*EU$488*$AE$498)))),"")))</f>
        <v/>
      </c>
      <c r="EV491" s="209" t="str">
        <f ca="1">IF($AE498*$AA491*'Customer Base'!$D$26*0.8&gt;5800,"",IF($AE498*$AA491&gt;$AA501,"",IF(($AA$491*EV$488*$AE$498)&lt;=$ED$474,((MOD($ED$474,($AA$491*EV$488*$AE$498)))),"")))</f>
        <v/>
      </c>
      <c r="EW491" s="209" t="str">
        <f ca="1">IF($AE498*$AA491*'Customer Base'!$D$26*0.8&gt;5800,"",IF($AE498*$AA491&gt;$AA501,"",IF(($AA$491*EW$488*$AE$498)&lt;=$ED$474,((MOD($ED$474,($AA$491*EW$488*$AE$498)))),"")))</f>
        <v/>
      </c>
      <c r="EX491" s="209" t="str">
        <f ca="1">IF($AE498*$AA491*'Customer Base'!$D$26*0.8&gt;5800,"",IF($AE498*$AA491&gt;$AA501,"",IF(($AA$491*EX$488*$AE$498)&lt;=$ED$474,((MOD($ED$474,($AA$491*EX$488*$AE$498)))),"")))</f>
        <v/>
      </c>
      <c r="EY491" s="209" t="str">
        <f ca="1">IF($AE498*$AA491*'Customer Base'!$D$26*0.8&gt;5800,"",IF($AE498*$AA491&gt;$AA501,"",IF(($AA$491*EY$488*$AE$498)&lt;=$ED$474,((MOD($ED$474,($AA$491*EY$488*$AE$498)))),"")))</f>
        <v/>
      </c>
      <c r="EZ491" s="209" t="str">
        <f ca="1">IF($AE498*$AA491*'Customer Base'!$D$26*0.8&gt;5800,"",IF($AE498*$AA491&gt;$AA501,"",IF(($AA$491*EZ$488*$AE$498)&lt;=$ED$474,((MOD($ED$474,($AA$491*EZ$488*$AE$498)))),"")))</f>
        <v/>
      </c>
      <c r="FA491" s="209" t="str">
        <f ca="1">IF($AE498*$AA491*'Customer Base'!$D$26*0.8&gt;5800,"",IF($AE498*$AA491&gt;$AA501,"",IF(($AA$491*FA$488*$AE$498)&lt;=$ED$474,((MOD($ED$474,($AA$491*FA$488*$AE$498)))),"")))</f>
        <v/>
      </c>
      <c r="FB491" s="209" t="str">
        <f ca="1">IF($AE498*$AA491*'Customer Base'!$D$26*0.8&gt;5800,"",IF($AE498*$AA491&gt;$AA501,"",IF(($AA$491*FB$488*$AE$498)&lt;=$ED$474,((MOD($ED$474,($AA$491*FB$488*$AE$498)))),"")))</f>
        <v/>
      </c>
      <c r="FC491" s="209" t="str">
        <f ca="1">IF($AE498*$AA491*'Customer Base'!$D$26*0.8&gt;5800,"",IF($AE498*$AA491&gt;$AA501,"",IF(($AA$491*FC$488*$AE$498)&lt;=$ED$474,((MOD($ED$474,($AA$491*FC$488*$AE$498)))),"")))</f>
        <v/>
      </c>
      <c r="FD491" s="209" t="str">
        <f ca="1">IF($AE498*$AA491*'Customer Base'!$D$26*0.8&gt;5800,"",IF($AE498*$AA491&gt;$AA501,"",IF(($AA$491*FD$488*$AE$498)&lt;=$ED$474,((MOD($ED$474,($AA$491*FD$488*$AE$498)))),"")))</f>
        <v/>
      </c>
      <c r="FE491" s="209" t="str">
        <f ca="1">IF($AE498*$AA491*'Customer Base'!$D$26*0.8&gt;5800,"",IF($AE498*$AA491&gt;$AA501,"",IF(($AA$491*FE$488*$AE$498)&lt;=$ED$474,((MOD($ED$474,($AA$491*FE$488*$AE$498)))),"")))</f>
        <v/>
      </c>
      <c r="FF491" s="209" t="str">
        <f ca="1">IF($AE498*$AA491*'Customer Base'!$D$26*0.8&gt;5800,"",IF($AE498*$AA491&gt;$AA501,"",IF(($AA$491*FF$488*$AE$498)&lt;=$ED$474,((MOD($ED$474,($AA$491*FF$488*$AE$498)))),"")))</f>
        <v/>
      </c>
      <c r="FG491" s="209" t="str">
        <f ca="1">IF($AE498*$AA491*'Customer Base'!$D$26*0.8&gt;5800,"",IF($AE498*$AA491&gt;$AA501,"",IF(($AA$491*FG$488*$AE$498)&lt;=$ED$474,((MOD($ED$474,($AA$491*FG$488*$AE$498)))),"")))</f>
        <v/>
      </c>
      <c r="FH491" s="209" t="str">
        <f ca="1">IF($AE498*$AA491*'Customer Base'!$D$26*0.8&gt;5800,"",IF($AE498*$AA491&gt;$AA501,"",IF(($AA$491*FH$488*$AE$498)&lt;=$ED$474,((MOD($ED$474,($AA$491*FH$488*$AE$498)))),"")))</f>
        <v/>
      </c>
      <c r="FI491" s="209" t="str">
        <f ca="1">IF($AE498*$AA491*'Customer Base'!$D$26*0.8&gt;5800,"",IF($AE498*$AA491&gt;$AA501,"",IF(($AA$491*FI$488*$AE$498)&lt;=$ED$474,((MOD($ED$474,($AA$491*FI$488*$AE$498)))),"")))</f>
        <v/>
      </c>
      <c r="FJ491" s="209" t="str">
        <f ca="1">IF($AE498*$AA491*'Customer Base'!$D$26*0.8&gt;5800,"",IF($AE498*$AA491&gt;$AA501,"",IF(($AA$491*FJ$488*$AE$498)&lt;=$ED$474,((MOD($ED$474,($AA$491*FJ$488*$AE$498)))),"")))</f>
        <v/>
      </c>
      <c r="FK491" s="209" t="str">
        <f ca="1">IF($AE498*$AA491*'Customer Base'!$D$26*0.8&gt;5800,"",IF($AE498*$AA491&gt;$AA501,"",IF(($AA$491*FK$488*$AE$498)&lt;=$ED$474,((MOD($ED$474,($AA$491*FK$488*$AE$498)))),"")))</f>
        <v/>
      </c>
      <c r="FL491" s="209" t="str">
        <f ca="1">IF($AE498*$AA491*'Customer Base'!$D$26*0.8&gt;5800,"",IF($AE498*$AA491&gt;$AA501,"",IF(($AA$491*FL$488*$AE$498)&lt;=$ED$474,((MOD($ED$474,($AA$491*FL$488*$AE$498)))),"")))</f>
        <v/>
      </c>
      <c r="FM491" s="209" t="str">
        <f ca="1">IF($AE498*$AA491*'Customer Base'!$D$26*0.8&gt;5800,"",IF($AE498*$AA491&gt;$AA501,"",IF(($AA$491*FM$488*$AE$498)&lt;=$ED$474,((MOD($ED$474,($AA$491*FM$488*$AE$498)))),"")))</f>
        <v/>
      </c>
      <c r="FN491" s="209" t="str">
        <f ca="1">IF($AE498*$AA491*'Customer Base'!$D$26*0.8&gt;5800,"",IF($AE498*$AA491&gt;$AA501,"",IF(($AA$491*FN$488*$AE$498)&lt;=$ED$474,((MOD($ED$474,($AA$491*FN$488*$AE$498)))),"")))</f>
        <v/>
      </c>
      <c r="FO491" s="209" t="str">
        <f ca="1">IF($AE498*$AA491*'Customer Base'!$D$26*0.8&gt;5800,"",IF($AE498*$AA491&gt;$AA501,"",IF(($AA$491*FO$488*$AE$498)&lt;=$ED$474,((MOD($ED$474,($AA$491*FO$488*$AE$498)))),"")))</f>
        <v/>
      </c>
      <c r="FP491" s="209" t="str">
        <f ca="1">IF($AE498*$AA491*'Customer Base'!$D$26*0.8&gt;5800,"",IF($AE498*$AA491&gt;$AA501,"",IF(($AA$491*FP$488*$AE$498)&lt;=$ED$474,((MOD($ED$474,($AA$491*FP$488*$AE$498)))),"")))</f>
        <v/>
      </c>
      <c r="FQ491" s="209" t="str">
        <f ca="1">IF($AE498*$AA491*'Customer Base'!$D$26*0.8&gt;5800,"",IF($AE498*$AA491&gt;$AA501,"",IF(($AA$491*FQ$488*$AE$498)&lt;=$ED$474,((MOD($ED$474,($AA$491*FQ$488*$AE$498)))),"")))</f>
        <v/>
      </c>
      <c r="FR491" s="209" t="str">
        <f ca="1">IF($AE498*$AA491*'Customer Base'!$D$26*0.8&gt;5800,"",IF($AE498*$AA491&gt;$AA501,"",IF(($AA$491*FR$488*$AE$498)&lt;=$ED$474,((MOD($ED$474,($AA$491*FR$488*$AE$498)))),"")))</f>
        <v/>
      </c>
      <c r="FS491" s="209" t="str">
        <f ca="1">IF($AE498*$AA491*'Customer Base'!$D$26*0.8&gt;5800,"",IF($AE498*$AA491&gt;$AA501,"",IF(($AA$491*FS$488*$AE$498)&lt;=$ED$474,((MOD($ED$474,($AA$491*FS$488*$AE$498)))),"")))</f>
        <v/>
      </c>
      <c r="FT491" s="209" t="str">
        <f ca="1">IF($AE498*$AA491*'Customer Base'!$D$26*0.8&gt;5800,"",IF($AE498*$AA491&gt;$AA501,"",IF(($AA$491*FT$488*$AE$498)&lt;=$ED$474,((MOD($ED$474,($AA$491*FT$488*$AE$498)))),"")))</f>
        <v/>
      </c>
      <c r="FU491" s="209" t="str">
        <f ca="1">IF($AE498*$AA491*'Customer Base'!$D$26*0.8&gt;5800,"",IF($AE498*$AA491&gt;$AA501,"",IF(($AA$491*FU$488*$AE$498)&lt;=$ED$474,((MOD($ED$474,($AA$491*FU$488*$AE$498)))),"")))</f>
        <v/>
      </c>
      <c r="FV491" s="209" t="str">
        <f ca="1">IF($AE498*$AA491*'Customer Base'!$D$26*0.8&gt;5800,"",IF($AE498*$AA491&gt;$AA501,"",IF(($AA$491*FV$488*$AE$498)&lt;=$ED$474,((MOD($ED$474,($AA$491*FV$488*$AE$498)))),"")))</f>
        <v/>
      </c>
      <c r="FW491" s="209" t="str">
        <f ca="1">IF($AE498*$AA491*'Customer Base'!$D$26*0.8&gt;5800,"",IF($AE498*$AA491&gt;$AA501,"",IF(($AA$491*FW$488*$AE$498)&lt;=$ED$474,((MOD($ED$474,($AA$491*FW$488*$AE$498)))),"")))</f>
        <v/>
      </c>
      <c r="FX491" s="209" t="str">
        <f ca="1">IF($AE498*$AA491*'Customer Base'!$D$26*0.8&gt;5800,"",IF($AE498*$AA491&gt;$AA501,"",IF(($AA$491*FX$488*$AE$498)&lt;=$ED$474,((MOD($ED$474,($AA$491*FX$488*$AE$498)))),"")))</f>
        <v/>
      </c>
      <c r="FY491" s="209" t="str">
        <f ca="1">IF($AE498*$AA491*'Customer Base'!$D$26*0.8&gt;5800,"",IF($AE498*$AA491&gt;$AA501,"",IF(($AA$491*FY$488*$AE$498)&lt;=$ED$474,((MOD($ED$474,($AA$491*FY$488*$AE$498)))),"")))</f>
        <v/>
      </c>
      <c r="FZ491" s="209" t="str">
        <f ca="1">IF($AE498*$AA491*'Customer Base'!$D$26*0.8&gt;5800,"",IF($AE498*$AA491&gt;$AA501,"",IF(($AA$491*FZ$488*$AE$498)&lt;=$ED$474,((MOD($ED$474,($AA$491*FZ$488*$AE$498)))),"")))</f>
        <v/>
      </c>
      <c r="GA491" s="209" t="str">
        <f ca="1">IF($AE498*$AA491*'Customer Base'!$D$26*0.8&gt;5800,"",IF($AE498*$AA491&gt;$AA501,"",IF(($AA$491*GA$488*$AE$498)&lt;=$ED$474,((MOD($ED$474,($AA$491*GA$488*$AE$498)))),"")))</f>
        <v/>
      </c>
      <c r="GB491" s="209" t="str">
        <f ca="1">IF($AE498*$AA491*'Customer Base'!$D$26*0.8&gt;5800,"",IF($AE498*$AA491&gt;$AA501,"",IF(($AA$491*GB$488*$AE$498)&lt;=$ED$474,((MOD($ED$474,($AA$491*GB$488*$AE$498)))),"")))</f>
        <v/>
      </c>
      <c r="GC491" s="209" t="str">
        <f ca="1">IF($AE498*$AA491*'Customer Base'!$D$26*0.8&gt;5800,"",IF($AE498*$AA491&gt;$AA501,"",IF(($AA$491*GC$488*$AE$498)&lt;=$ED$474,((MOD($ED$474,($AA$491*GC$488*$AE$498)))),"")))</f>
        <v/>
      </c>
      <c r="GD491" s="209" t="str">
        <f ca="1">IF($AE498*$AA491*'Customer Base'!$D$26*0.8&gt;5800,"",IF($AE498*$AA491&gt;$AA501,"",IF(($AA$491*GD$488*$AE$498)&lt;=$ED$474,((MOD($ED$474,($AA$491*GD$488*$AE$498)))),"")))</f>
        <v/>
      </c>
      <c r="GE491" s="209" t="str">
        <f ca="1">IF($AE498*$AA491*'Customer Base'!$D$26*0.8&gt;5800,"",IF($AE498*$AA491&gt;$AA501,"",IF(($AA$491*GE$488*$AE$498)&lt;=$ED$474,((MOD($ED$474,($AA$491*GE$488*$AE$498)))),"")))</f>
        <v/>
      </c>
      <c r="GF491" s="209" t="str">
        <f ca="1">IF($AE498*$AA491*'Customer Base'!$D$26*0.8&gt;5800,"",IF($AE498*$AA491&gt;$AA501,"",IF(($AA$491*GF$488*$AE$498)&lt;=$ED$474,((MOD($ED$474,($AA$491*GF$488*$AE$498)))),"")))</f>
        <v/>
      </c>
      <c r="GG491" s="209" t="str">
        <f ca="1">IF($AE498*$AA491*'Customer Base'!$D$26*0.8&gt;5800,"",IF($AE498*$AA491&gt;$AA501,"",IF(($AA$491*GG$488*$AE$498)&lt;=$ED$474,((MOD($ED$474,($AA$491*GG$488*$AE$498)))),"")))</f>
        <v/>
      </c>
      <c r="GH491" s="209" t="str">
        <f ca="1">IF($AE498*$AA491*'Customer Base'!$D$26*0.8&gt;5800,"",IF($AE498*$AA491&gt;$AA501,"",IF(($AA$491*GH$488*$AE$498)&lt;=$ED$474,((MOD($ED$474,($AA$491*GH$488*$AE$498)))),"")))</f>
        <v/>
      </c>
      <c r="GI491" s="209" t="str">
        <f ca="1">IF($AE498*$AA491*'Customer Base'!$D$26*0.8&gt;5800,"",IF($AE498*$AA491&gt;$AA501,"",IF(($AA$491*GI$488*$AE$498)&lt;=$ED$474,((MOD($ED$474,($AA$491*GI$488*$AE$498)))),"")))</f>
        <v/>
      </c>
      <c r="GJ491" s="209" t="str">
        <f ca="1">IF($AE498*$AA491*'Customer Base'!$D$26*0.8&gt;5800,"",IF($AE498*$AA491&gt;$AA501,"",IF(($AA$491*GJ$488*$AE$498)&lt;=$ED$474,((MOD($ED$474,($AA$491*GJ$488*$AE$498)))),"")))</f>
        <v/>
      </c>
      <c r="GK491" s="209" t="str">
        <f ca="1">IF($AE498*$AA491*'Customer Base'!$D$26*0.8&gt;5800,"",IF($AE498*$AA491&gt;$AA501,"",IF(($AA$491*GK$488*$AE$498)&lt;=$ED$474,((MOD($ED$474,($AA$491*GK$488*$AE$498)))),"")))</f>
        <v/>
      </c>
      <c r="GL491" s="209" t="str">
        <f ca="1">IF($AE498*$AA491*'Customer Base'!$D$26*0.8&gt;5800,"",IF($AE498*$AA491&gt;$AA501,"",IF(($AA$491*GL$488*$AE$498)&lt;=$ED$474,((MOD($ED$474,($AA$491*GL$488*$AE$498)))),"")))</f>
        <v/>
      </c>
      <c r="GM491" s="209" t="str">
        <f ca="1">IF($AE498*$AA491*'Customer Base'!$D$26*0.8&gt;5800,"",IF($AE498*$AA491&gt;$AA501,"",IF(($AA$491*GM$488*$AE$498)&lt;=$ED$474,((MOD($ED$474,($AA$491*GM$488*$AE$498)))),"")))</f>
        <v/>
      </c>
      <c r="GN491" s="209" t="str">
        <f ca="1">IF($AE498*$AA491*'Customer Base'!$D$26*0.8&gt;5800,"",IF($AE498*$AA491&gt;$AA501,"",IF(($AA$491*GN$488*$AE$498)&lt;=$ED$474,((MOD($ED$474,($AA$491*GN$488*$AE$498)))),"")))</f>
        <v/>
      </c>
      <c r="GO491" s="209" t="str">
        <f ca="1">IF($AE498*$AA491*'Customer Base'!$D$26*0.8&gt;5800,"",IF($AE498*$AA491&gt;$AA501,"",IF(($AA$491*GO$488*$AE$498)&lt;=$ED$474,((MOD($ED$474,($AA$491*GO$488*$AE$498)))),"")))</f>
        <v/>
      </c>
      <c r="GP491" s="209" t="str">
        <f ca="1">IF($AE498*$AA491*'Customer Base'!$D$26*0.8&gt;5800,"",IF($AE498*$AA491&gt;$AA501,"",IF(($AA$491*GP$488*$AE$498)&lt;=$ED$474,((MOD($ED$474,($AA$491*GP$488*$AE$498)))),"")))</f>
        <v/>
      </c>
      <c r="GQ491" s="209" t="str">
        <f ca="1">IF($AE498*$AA491*'Customer Base'!$D$26*0.8&gt;5800,"",IF($AE498*$AA491&gt;$AA501,"",IF(($AA$491*GQ$488*$AE$498)&lt;=$ED$474,((MOD($ED$474,($AA$491*GQ$488*$AE$498)))),"")))</f>
        <v/>
      </c>
      <c r="GR491" s="209" t="str">
        <f ca="1">IF($AE498*$AA491*'Customer Base'!$D$26*0.8&gt;5800,"",IF($AE498*$AA491&gt;$AA501,"",IF(($AA$491*GR$488*$AE$498)&lt;=$ED$474,((MOD($ED$474,($AA$491*GR$488*$AE$498)))),"")))</f>
        <v/>
      </c>
      <c r="GS491" s="209" t="str">
        <f ca="1">IF($AE498*$AA491*'Customer Base'!$D$26*0.8&gt;5800,"",IF($AE498*$AA491&gt;$AA501,"",IF(($AA$491*GS$488*$AE$498)&lt;=$ED$474,((MOD($ED$474,($AA$491*GS$488*$AE$498)))),"")))</f>
        <v/>
      </c>
      <c r="GT491" s="209" t="str">
        <f ca="1">IF($AE498*$AA491*'Customer Base'!$D$26*0.8&gt;5800,"",IF($AE498*$AA491&gt;$AA501,"",IF(($AA$491*GT$488*$AE$498)&lt;=$ED$474,((MOD($ED$474,($AA$491*GT$488*$AE$498)))),"")))</f>
        <v/>
      </c>
      <c r="GU491" s="209" t="str">
        <f ca="1">IF($AE498*$AA491*'Customer Base'!$D$26*0.8&gt;5800,"",IF($AE498*$AA491&gt;$AA501,"",IF(($AA$491*GU$488*$AE$498)&lt;=$ED$474,((MOD($ED$474,($AA$491*GU$488*$AE$498)))),"")))</f>
        <v/>
      </c>
      <c r="GV491" s="209" t="str">
        <f ca="1">IF($AE498*$AA491*'Customer Base'!$D$26*0.8&gt;5800,"",IF($AE498*$AA491&gt;$AA501,"",IF(($AA$491*GV$488*$AE$498)&lt;=$ED$474,((MOD($ED$474,($AA$491*GV$488*$AE$498)))),"")))</f>
        <v/>
      </c>
      <c r="GW491" s="209" t="str">
        <f ca="1">IF($AE498*$AA491*'Customer Base'!$D$26*0.8&gt;5800,"",IF($AE498*$AA491&gt;$AA501,"",IF(($AA$491*GW$488*$AE$498)&lt;=$ED$474,((MOD($ED$474,($AA$491*GW$488*$AE$498)))),"")))</f>
        <v/>
      </c>
      <c r="GX491" s="209" t="str">
        <f ca="1">IF($AE498*$AA491*'Customer Base'!$D$26*0.8&gt;5800,"",IF($AE498*$AA491&gt;$AA501,"",IF(($AA$491*GX$488*$AE$498)&lt;=$ED$474,((MOD($ED$474,($AA$491*GX$488*$AE$498)))),"")))</f>
        <v/>
      </c>
      <c r="GY491" s="209" t="str">
        <f ca="1">IF($AE498*$AA491*'Customer Base'!$D$26*0.8&gt;5800,"",IF($AE498*$AA491&gt;$AA501,"",IF(($AA$491*GY$488*$AE$498)&lt;=$ED$474,((MOD($ED$474,($AA$491*GY$488*$AE$498)))),"")))</f>
        <v/>
      </c>
      <c r="GZ491" s="209" t="str">
        <f ca="1">IF($AE498*$AA491*'Customer Base'!$D$26*0.8&gt;5800,"",IF($AE498*$AA491&gt;$AA501,"",IF(($AA$491*GZ$488*$AE$498)&lt;=$ED$474,((MOD($ED$474,($AA$491*GZ$488*$AE$498)))),"")))</f>
        <v/>
      </c>
      <c r="HA491" s="209" t="str">
        <f ca="1">IF($AE498*$AA491*'Customer Base'!$D$26*0.8&gt;5800,"",IF($AE498*$AA491&gt;$AA501,"",IF(($AA$491*HA$488*$AE$498)&lt;=$ED$474,((MOD($ED$474,($AA$491*HA$488*$AE$498)))),"")))</f>
        <v/>
      </c>
      <c r="HB491" s="209" t="str">
        <f ca="1">IF($AE498*$AA491*'Customer Base'!$D$26*0.8&gt;5800,"",IF($AE498*$AA491&gt;$AA501,"",IF(($AA$491*HB$488*$AE$498)&lt;=$ED$474,((MOD($ED$474,($AA$491*HB$488*$AE$498)))),"")))</f>
        <v/>
      </c>
      <c r="HC491" s="209" t="str">
        <f ca="1">IF($AE498*$AA491*'Customer Base'!$D$26*0.8&gt;5800,"",IF($AE498*$AA491&gt;$AA501,"",IF(($AA$491*HC$488*$AE$498)&lt;=$ED$474,((MOD($ED$474,($AA$491*HC$488*$AE$498)))),"")))</f>
        <v/>
      </c>
      <c r="HD491" s="209" t="str">
        <f ca="1">IF($AE498*$AA491*'Customer Base'!$D$26*0.8&gt;5800,"",IF($AE498*$AA491&gt;$AA501,"",IF(($AA$491*HD$488*$AE$498)&lt;=$ED$474,((MOD($ED$474,($AA$491*HD$488*$AE$498)))),"")))</f>
        <v/>
      </c>
      <c r="HE491" s="209" t="str">
        <f ca="1">IF($AE498*$AA491*'Customer Base'!$D$26*0.8&gt;5800,"",IF($AE498*$AA491&gt;$AA501,"",IF(($AA$491*HE$488*$AE$498)&lt;=$ED$474,((MOD($ED$474,($AA$491*HE$488*$AE$498)))),"")))</f>
        <v/>
      </c>
      <c r="HF491" s="209" t="str">
        <f ca="1">IF($AE498*$AA491*'Customer Base'!$D$26*0.8&gt;5800,"",IF($AE498*$AA491&gt;$AA501,"",IF(($AA$491*HF$488*$AE$498)&lt;=$ED$474,((MOD($ED$474,($AA$491*HF$488*$AE$498)))),"")))</f>
        <v/>
      </c>
      <c r="HG491" s="209" t="str">
        <f ca="1">IF($AE498*$AA491*'Customer Base'!$D$26*0.8&gt;5800,"",IF($AE498*$AA491&gt;$AA501,"",IF(($AA$491*HG$488*$AE$498)&lt;=$ED$474,((MOD($ED$474,($AA$491*HG$488*$AE$498)))),"")))</f>
        <v/>
      </c>
      <c r="HH491" s="209" t="str">
        <f ca="1">IF($AE498*$AA491*'Customer Base'!$D$26*0.8&gt;5800,"",IF($AE498*$AA491&gt;$AA501,"",IF(($AA$491*HH$488*$AE$498)&lt;=$ED$474,((MOD($ED$474,($AA$491*HH$488*$AE$498)))),"")))</f>
        <v/>
      </c>
      <c r="HI491" s="209" t="str">
        <f ca="1">IF($AE498*$AA491*'Customer Base'!$D$26*0.8&gt;5800,"",IF($AE498*$AA491&gt;$AA501,"",IF(($AA$491*HI$488*$AE$498)&lt;=$ED$474,((MOD($ED$474,($AA$491*HI$488*$AE$498)))),"")))</f>
        <v/>
      </c>
      <c r="HJ491" s="209" t="str">
        <f ca="1">IF($AE498*$AA491*'Customer Base'!$D$26*0.8&gt;5800,"",IF($AE498*$AA491&gt;$AA501,"",IF(($AA$491*HJ$488*$AE$498)&lt;=$ED$474,((MOD($ED$474,($AA$491*HJ$488*$AE$498)))),"")))</f>
        <v/>
      </c>
      <c r="HK491" s="209" t="str">
        <f ca="1">IF($AE498*$AA491*'Customer Base'!$D$26*0.8&gt;5800,"",IF($AE498*$AA491&gt;$AA501,"",IF(($AA$491*HK$488*$AE$498)&lt;=$ED$474,((MOD($ED$474,($AA$491*HK$488*$AE$498)))),"")))</f>
        <v/>
      </c>
      <c r="HL491" s="209" t="str">
        <f ca="1">IF($AE498*$AA491*'Customer Base'!$D$26*0.8&gt;5800,"",IF($AE498*$AA491&gt;$AA501,"",IF(($AA$491*HL$488*$AE$498)&lt;=$ED$474,((MOD($ED$474,($AA$491*HL$488*$AE$498)))),"")))</f>
        <v/>
      </c>
      <c r="HM491" s="209" t="str">
        <f ca="1">IF($AE498*$AA491*'Customer Base'!$D$26*0.8&gt;5800,"",IF($AE498*$AA491&gt;$AA501,"",IF(($AA$491*HM$488*$AE$498)&lt;=$ED$474,((MOD($ED$474,($AA$491*HM$488*$AE$498)))),"")))</f>
        <v/>
      </c>
      <c r="HN491" s="209" t="str">
        <f ca="1">IF($AE498*$AA491*'Customer Base'!$D$26*0.8&gt;5800,"",IF($AE498*$AA491&gt;$AA501,"",IF(($AA$491*HN$488*$AE$498)&lt;=$ED$474,((MOD($ED$474,($AA$491*HN$488*$AE$498)))),"")))</f>
        <v/>
      </c>
      <c r="HO491" s="209" t="str">
        <f ca="1">IF($AE498*$AA491*'Customer Base'!$D$26*0.8&gt;5800,"",IF($AE498*$AA491&gt;$AA501,"",IF(($AA$491*HO$488*$AE$498)&lt;=$ED$474,((MOD($ED$474,($AA$491*HO$488*$AE$498)))),"")))</f>
        <v/>
      </c>
      <c r="HP491" s="209" t="str">
        <f ca="1">IF($AE498*$AA491*'Customer Base'!$D$26*0.8&gt;5800,"",IF($AE498*$AA491&gt;$AA501,"",IF(($AA$491*HP$488*$AE$498)&lt;=$ED$474,((MOD($ED$474,($AA$491*HP$488*$AE$498)))),"")))</f>
        <v/>
      </c>
      <c r="HQ491" s="209" t="str">
        <f ca="1">IF($AE498*$AA491*'Customer Base'!$D$26*0.8&gt;5800,"",IF($AE498*$AA491&gt;$AA501,"",IF(($AA$491*HQ$488*$AE$498)&lt;=$ED$474,((MOD($ED$474,($AA$491*HQ$488*$AE$498)))),"")))</f>
        <v/>
      </c>
      <c r="HR491" s="209" t="str">
        <f ca="1">IF($AE498*$AA491*'Customer Base'!$D$26*0.8&gt;5800,"",IF($AE498*$AA491&gt;$AA501,"",IF(($AA$491*HR$488*$AE$498)&lt;=$ED$474,((MOD($ED$474,($AA$491*HR$488*$AE$498)))),"")))</f>
        <v/>
      </c>
      <c r="HS491" s="209" t="str">
        <f ca="1">IF($AE498*$AA491*'Customer Base'!$D$26*0.8&gt;5800,"",IF($AE498*$AA491&gt;$AA501,"",IF(($AA$491*HS$488*$AE$498)&lt;=$ED$474,((MOD($ED$474,($AA$491*HS$488*$AE$498)))),"")))</f>
        <v/>
      </c>
      <c r="HT491" s="209" t="str">
        <f ca="1">IF($AE498*$AA491*'Customer Base'!$D$26*0.8&gt;5800,"",IF($AE498*$AA491&gt;$AA501,"",IF(($AA$491*HT$488*$AE$498)&lt;=$ED$474,((MOD($ED$474,($AA$491*HT$488*$AE$498)))),"")))</f>
        <v/>
      </c>
      <c r="HU491" s="209" t="str">
        <f ca="1">IF($AE498*$AA491*'Customer Base'!$D$26*0.8&gt;5800,"",IF($AE498*$AA491&gt;$AA501,"",IF(($AA$491*HU$488*$AE$498)&lt;=$ED$474,((MOD($ED$474,($AA$491*HU$488*$AE$498)))),"")))</f>
        <v/>
      </c>
      <c r="HV491" s="209" t="str">
        <f ca="1">IF($AE498*$AA491*'Customer Base'!$D$26*0.8&gt;5800,"",IF($AE498*$AA491&gt;$AA501,"",IF(($AA$491*HV$488*$AE$498)&lt;=$ED$474,((MOD($ED$474,($AA$491*HV$488*$AE$498)))),"")))</f>
        <v/>
      </c>
      <c r="HW491" s="209" t="str">
        <f ca="1">IF($AE498*$AA491*'Customer Base'!$D$26*0.8&gt;5800,"",IF($AE498*$AA491&gt;$AA501,"",IF(($AA$491*HW$488*$AE$498)&lt;=$ED$474,((MOD($ED$474,($AA$491*HW$488*$AE$498)))),"")))</f>
        <v/>
      </c>
      <c r="HX491" s="209" t="str">
        <f ca="1">IF($AE498*$AA491*'Customer Base'!$D$26*0.8&gt;5800,"",IF($AE498*$AA491&gt;$AA501,"",IF(($AA$491*HX$488*$AE$498)&lt;=$ED$474,((MOD($ED$474,($AA$491*HX$488*$AE$498)))),"")))</f>
        <v/>
      </c>
      <c r="HY491" s="209" t="str">
        <f ca="1">IF($AE498*$AA491*'Customer Base'!$D$26*0.8&gt;5800,"",IF($AE498*$AA491&gt;$AA501,"",IF(($AA$491*HY$488*$AE$498)&lt;=$ED$474,((MOD($ED$474,($AA$491*HY$488*$AE$498)))),"")))</f>
        <v/>
      </c>
      <c r="HZ491" s="209" t="str">
        <f ca="1">IF($AE498*$AA491*'Customer Base'!$D$26*0.8&gt;5800,"",IF($AE498*$AA491&gt;$AA501,"",IF(($AA$491*HZ$488*$AE$498)&lt;=$ED$474,((MOD($ED$474,($AA$491*HZ$488*$AE$498)))),"")))</f>
        <v/>
      </c>
      <c r="IA491" s="209" t="str">
        <f ca="1">IF($AE498*$AA491*'Customer Base'!$D$26*0.8&gt;5800,"",IF($AE498*$AA491&gt;$AA501,"",IF(($AA$491*IA$488*$AE$498)&lt;=$ED$474,((MOD($ED$474,($AA$491*IA$488*$AE$498)))),"")))</f>
        <v/>
      </c>
      <c r="IB491" s="209" t="str">
        <f ca="1">IF($AE498*$AA491*'Customer Base'!$D$26*0.8&gt;5800,"",IF($AE498*$AA491&gt;$AA501,"",IF(($AA$491*IB$488*$AE$498)&lt;=$ED$474,((MOD($ED$474,($AA$491*IB$488*$AE$498)))),"")))</f>
        <v/>
      </c>
      <c r="IC491" s="209" t="str">
        <f ca="1">IF($AE498*$AA491*'Customer Base'!$D$26*0.8&gt;5800,"",IF($AE498*$AA491&gt;$AA501,"",IF(($AA$491*IC$488*$AE$498)&lt;=$ED$474,((MOD($ED$474,($AA$491*IC$488*$AE$498)))),"")))</f>
        <v/>
      </c>
      <c r="ID491" s="209" t="str">
        <f ca="1">IF($AE498*$AA491*'Customer Base'!$D$26*0.8&gt;5800,"",IF($AE498*$AA491&gt;$AA501,"",IF(($AA$491*ID$488*$AE$498)&lt;=$ED$474,((MOD($ED$474,($AA$491*ID$488*$AE$498)))),"")))</f>
        <v/>
      </c>
      <c r="IE491" s="209" t="str">
        <f ca="1">IF($AE498*$AA491*'Customer Base'!$D$26*0.8&gt;5800,"",IF($AE498*$AA491&gt;$AA501,"",IF(($AA$491*IE$488*$AE$498)&lt;=$ED$474,((MOD($ED$474,($AA$491*IE$488*$AE$498)))),"")))</f>
        <v/>
      </c>
      <c r="IF491" s="209" t="str">
        <f ca="1">IF($AE498*$AA491*'Customer Base'!$D$26*0.8&gt;5800,"",IF($AE498*$AA491&gt;$AA501,"",IF(($AA$491*IF$488*$AE$498)&lt;=$ED$474,((MOD($ED$474,($AA$491*IF$488*$AE$498)))),"")))</f>
        <v/>
      </c>
      <c r="IG491" s="209" t="str">
        <f ca="1">IF($AE498*$AA491*'Customer Base'!$D$26*0.8&gt;5800,"",IF($AE498*$AA491&gt;$AA501,"",IF(($AA$491*IG$488*$AE$498)&lt;=$ED$474,((MOD($ED$474,($AA$491*IG$488*$AE$498)))),"")))</f>
        <v/>
      </c>
      <c r="IH491" s="209" t="str">
        <f ca="1">IF($AE498*$AA491*'Customer Base'!$D$26*0.8&gt;5800,"",IF($AE498*$AA491&gt;$AA501,"",IF(($AA$491*IH$488*$AE$498)&lt;=$ED$474,((MOD($ED$474,($AA$491*IH$488*$AE$498)))),"")))</f>
        <v/>
      </c>
      <c r="II491" s="209" t="str">
        <f ca="1">IF($AE498*$AA491*'Customer Base'!$D$26*0.8&gt;5800,"",IF($AE498*$AA491&gt;$AA501,"",IF(($AA$491*II$488*$AE$498)&lt;=$ED$474,((MOD($ED$474,($AA$491*II$488*$AE$498)))),"")))</f>
        <v/>
      </c>
      <c r="IK491" s="209" t="str" cm="1">
        <f t="array" aca="1" ref="IK491" ca="1">IFERROR(LOOKUP(2,1/(EN491:II491&lt;&gt;""),EN$488:II$488),"")</f>
        <v/>
      </c>
      <c r="IL491" s="311" t="str" cm="1">
        <f t="array" aca="1" ref="IL491" ca="1">IF(IK$474=IK491,LOOKUP(2,1/(EN491:II491&lt;&gt;""),EN491:II491),"")</f>
        <v/>
      </c>
      <c r="IM491" s="311" t="str">
        <f ca="1">IF(IL491=IL$474,1,"")</f>
        <v/>
      </c>
    </row>
    <row r="492" spans="2:248" ht="17">
      <c r="B492" s="206" t="s">
        <v>1362</v>
      </c>
      <c r="C492" s="207" t="s">
        <v>1360</v>
      </c>
      <c r="D492" s="207" t="s">
        <v>957</v>
      </c>
      <c r="F492" s="102" t="str">
        <f t="shared" si="15"/>
        <v>N</v>
      </c>
      <c r="G492" s="208" t="s">
        <v>1361</v>
      </c>
      <c r="AC492" s="209" t="s">
        <v>2680</v>
      </c>
      <c r="AD492" s="209" t="s">
        <v>2681</v>
      </c>
    </row>
    <row r="493" spans="2:248" ht="17" customHeight="1">
      <c r="B493" s="206" t="s">
        <v>1807</v>
      </c>
      <c r="C493" s="207" t="s">
        <v>1808</v>
      </c>
      <c r="D493" s="207" t="s">
        <v>957</v>
      </c>
      <c r="F493" s="102" t="str">
        <f t="shared" si="15"/>
        <v>NI</v>
      </c>
      <c r="G493" s="208" t="s">
        <v>1809</v>
      </c>
      <c r="AC493" s="209">
        <f ca="1">IF(AA501=0,0/0,ROUNDDOWN(EH474/AB500,0))</f>
        <v>4</v>
      </c>
      <c r="AD493" s="209">
        <f ca="1">IFERROR(SUM(Items!A242:A254)/AC493,"")</f>
        <v>2.25</v>
      </c>
    </row>
    <row r="494" spans="2:248" ht="17" customHeight="1">
      <c r="B494" s="206" t="s">
        <v>2405</v>
      </c>
      <c r="C494" s="207" t="s">
        <v>2407</v>
      </c>
      <c r="D494" s="207" t="s">
        <v>216</v>
      </c>
      <c r="F494" s="102" t="str">
        <f t="shared" si="15"/>
        <v>NI-F</v>
      </c>
    </row>
    <row r="495" spans="2:248" ht="17" customHeight="1">
      <c r="B495" s="206" t="s">
        <v>2406</v>
      </c>
      <c r="C495" s="207" t="s">
        <v>2407</v>
      </c>
      <c r="D495" s="207" t="s">
        <v>216</v>
      </c>
      <c r="F495" s="102" t="str">
        <f t="shared" si="15"/>
        <v>NI-K</v>
      </c>
      <c r="AA495" s="209">
        <v>75</v>
      </c>
      <c r="AB495" s="209" t="s">
        <v>2684</v>
      </c>
      <c r="AC495" s="209" t="str">
        <f ca="1">IFERROR(VLOOKUP(X500,W$501:AB$516,5,FALSE),"")</f>
        <v/>
      </c>
      <c r="AE495" s="209">
        <f ca="1">ROUNDDOWN(AA495/AB$500,0)</f>
        <v>1</v>
      </c>
    </row>
    <row r="496" spans="2:248" ht="17" customHeight="1">
      <c r="B496" s="206" t="s">
        <v>1363</v>
      </c>
      <c r="C496" s="207" t="s">
        <v>1364</v>
      </c>
      <c r="D496" s="207" t="s">
        <v>958</v>
      </c>
      <c r="E496" s="210" t="s">
        <v>1365</v>
      </c>
      <c r="F496" s="102" t="str">
        <f t="shared" si="15"/>
        <v>BEK</v>
      </c>
      <c r="AA496" s="209">
        <v>100</v>
      </c>
      <c r="AB496" s="209" t="s">
        <v>2684</v>
      </c>
      <c r="AC496" s="209" t="str">
        <f ca="1">IFERROR(VLOOKUP(X501,W$501:AB$516,5,FALSE),"")</f>
        <v/>
      </c>
      <c r="AE496" s="209">
        <f ca="1">ROUNDDOWN(AA496/AB$500,0)</f>
        <v>1</v>
      </c>
    </row>
    <row r="497" spans="2:34" ht="17">
      <c r="B497" s="206" t="s">
        <v>1366</v>
      </c>
      <c r="C497" s="207" t="s">
        <v>1367</v>
      </c>
      <c r="D497" s="207" t="s">
        <v>216</v>
      </c>
      <c r="E497" s="210" t="s">
        <v>1368</v>
      </c>
      <c r="F497" s="102" t="str">
        <f t="shared" si="15"/>
        <v>AT</v>
      </c>
      <c r="AA497" s="209">
        <v>150</v>
      </c>
      <c r="AB497" s="209" t="s">
        <v>2684</v>
      </c>
      <c r="AC497" s="209">
        <f ca="1">IFERROR(VLOOKUP(X502,W$501:AB$516,5,FALSE),"")</f>
        <v>1</v>
      </c>
      <c r="AE497" s="209">
        <f ca="1">ROUNDDOWN(AA497/AB$500,0)</f>
        <v>2</v>
      </c>
    </row>
    <row r="498" spans="2:34" ht="17">
      <c r="B498" s="206" t="s">
        <v>1370</v>
      </c>
      <c r="C498" s="207" t="s">
        <v>1371</v>
      </c>
      <c r="D498" s="207" t="s">
        <v>216</v>
      </c>
      <c r="E498" s="210" t="s">
        <v>1372</v>
      </c>
      <c r="F498" s="102" t="str">
        <f t="shared" si="15"/>
        <v>IQ</v>
      </c>
      <c r="AA498" s="209">
        <v>250</v>
      </c>
      <c r="AB498" s="209" t="s">
        <v>2682</v>
      </c>
      <c r="AC498" s="209">
        <f ca="1">IFERROR(VLOOKUP(X503,W$501:AB$516,5,FALSE),"")</f>
        <v>3</v>
      </c>
      <c r="AE498" s="209">
        <f ca="1">ROUNDDOWN(AA498/AB$500,0)</f>
        <v>4</v>
      </c>
    </row>
    <row r="499" spans="2:34" ht="17">
      <c r="B499" s="206" t="s">
        <v>1373</v>
      </c>
      <c r="C499" s="207" t="s">
        <v>216</v>
      </c>
      <c r="D499" s="207" t="s">
        <v>216</v>
      </c>
      <c r="E499" s="210" t="s">
        <v>1374</v>
      </c>
      <c r="F499" s="102" t="str">
        <f t="shared" si="15"/>
        <v>GK</v>
      </c>
      <c r="Z499" s="309"/>
      <c r="AA499" s="309">
        <v>450</v>
      </c>
      <c r="AB499" s="209" t="s">
        <v>2683</v>
      </c>
      <c r="AC499" s="209" t="str">
        <f ca="1">IFERROR(VLOOKUP(X504,W$501:AB$516,5,FALSE),"")</f>
        <v/>
      </c>
      <c r="AE499" s="209">
        <f ca="1">ROUNDDOWN(AA499/AB$500,0)</f>
        <v>8</v>
      </c>
    </row>
    <row r="500" spans="2:34" ht="17">
      <c r="B500" s="206" t="s">
        <v>1375</v>
      </c>
      <c r="C500" s="207" t="s">
        <v>1150</v>
      </c>
      <c r="D500" s="207" t="s">
        <v>216</v>
      </c>
      <c r="E500" s="210" t="s">
        <v>1376</v>
      </c>
      <c r="F500" s="102" t="str">
        <f t="shared" si="15"/>
        <v>AM</v>
      </c>
      <c r="AB500" s="209" cm="1">
        <f t="array" aca="1" ref="AB500" ca="1">IFERROR(LOOKUP(2,1/(AB502:AB601&lt;&gt;""),AB502:AB601),IF('Customer Base'!D7&lt;&gt;"Backup",SUMPRODUCT(Items!A242:A254,Items!AQ242:AQ254)/SUM(Items!A242:A254),""))</f>
        <v>50.5</v>
      </c>
    </row>
    <row r="501" spans="2:34" ht="17">
      <c r="B501" s="206" t="s">
        <v>1377</v>
      </c>
      <c r="C501" s="207" t="s">
        <v>1378</v>
      </c>
      <c r="D501" s="207" t="s">
        <v>1378</v>
      </c>
      <c r="E501" s="210" t="s">
        <v>1575</v>
      </c>
      <c r="F501" s="102" t="str">
        <f t="shared" si="15"/>
        <v>NATC</v>
      </c>
      <c r="W501" s="209" t="str">
        <f ca="1">IF(AND($AB501&gt;=AB500,$AB501&lt;150),1,IF(AND($AB501&gt;=150,$AB501&lt;250),2,IF(AND($AB501&gt;=250,$AB501&lt;450),3,"")))</f>
        <v/>
      </c>
      <c r="X501" s="209" t="s">
        <v>2673</v>
      </c>
      <c r="Y501" s="209" t="str">
        <f>_xlfn.TEXTJOIN(", ", TRUE, P1:P100)</f>
        <v>9, 3, 1</v>
      </c>
      <c r="Z501" s="309" t="str" cm="1">
        <f t="array" aca="1" ref="Z501" ca="1">IFERROR(LEFT(Y501, MATCH(FALSE, ISNUMBER(MID(Y501, ROW(INDIRECT("1:"&amp;LEN(Y501)+1)), 1) *1), 0) -1),"")</f>
        <v>9</v>
      </c>
      <c r="AA501" s="209">
        <f ca="1">IFERROR(VALUE(Z501),"")</f>
        <v>9</v>
      </c>
      <c r="AB501" s="209">
        <f ca="1">IFERROR(AA501*SUMPRODUCT(Items!A$242:A$254,Items!AQ$242:AQ$254)/SUM(Items!A$242:A$254),"")</f>
        <v>454.5</v>
      </c>
      <c r="AH501" s="309"/>
    </row>
    <row r="502" spans="2:34" ht="17">
      <c r="B502" s="206" t="s">
        <v>1393</v>
      </c>
      <c r="C502" s="207" t="s">
        <v>855</v>
      </c>
      <c r="D502" s="207" t="s">
        <v>955</v>
      </c>
      <c r="E502" s="210" t="s">
        <v>1394</v>
      </c>
      <c r="F502" s="102" t="str">
        <f t="shared" si="15"/>
        <v>LC</v>
      </c>
      <c r="W502" s="209">
        <f ca="1">IF(AND($AB502&gt;=AB500,$AB502&lt;150),1,IF(AND($AB502&gt;=150,$AB502&lt;250),2,IF(AND($AB502&gt;=250,$AB502&lt;450),3,"")))</f>
        <v>2</v>
      </c>
      <c r="X502" s="209">
        <v>1</v>
      </c>
      <c r="Y502" s="209" t="str">
        <f t="shared" ref="Y502:Y512" si="16">IFERROR(IF(LEN(Y$501)-LEN(SUBSTITUTE(Y$501,X$501,""))&lt;=1,"",MID(SUBSTITUTE(Y$501,X$501,"^^",X502),FIND("^^",SUBSTITUTE(Y$501,X$501,"^^",X502))+2,LEN(Y$501))),"")</f>
        <v>3, 1</v>
      </c>
      <c r="Z502" s="309" t="str" cm="1">
        <f t="array" aca="1" ref="Z502" ca="1">IFERROR(LEFT(Y502, MATCH(FALSE, ISNUMBER(MID(Y502, ROW(INDIRECT("1:"&amp;LEN(Y502)+1)), 1) *1), 0) -1),"")</f>
        <v>3</v>
      </c>
      <c r="AA502" s="209">
        <f ca="1">IFERROR(VALUE(Z502),"")</f>
        <v>3</v>
      </c>
      <c r="AB502" s="209">
        <f ca="1">IFERROR(AA502*SUMPRODUCT(Items!A$242:A$254,Items!AQ$242:AQ$254)/SUM(Items!A$242:A$254),"")</f>
        <v>151.5</v>
      </c>
      <c r="AH502" s="309"/>
    </row>
    <row r="503" spans="2:34" ht="17">
      <c r="B503" s="206" t="s">
        <v>1395</v>
      </c>
      <c r="C503" s="207" t="s">
        <v>1396</v>
      </c>
      <c r="D503" s="207" t="s">
        <v>216</v>
      </c>
      <c r="E503" s="210" t="s">
        <v>1397</v>
      </c>
      <c r="F503" s="102" t="str">
        <f t="shared" si="15"/>
        <v>DGW</v>
      </c>
      <c r="W503" s="209">
        <f ca="1">IF(AND($AB503&gt;=AB500,$AB503&lt;150),1,IF(AND($AB503&gt;=150,$AB503&lt;250),2,IF(AND($AB503&gt;=250,$AB503&lt;450),3,"")))</f>
        <v>1</v>
      </c>
      <c r="X503" s="209">
        <v>2</v>
      </c>
      <c r="Y503" s="209" t="str">
        <f t="shared" si="16"/>
        <v>1</v>
      </c>
      <c r="Z503" s="309" t="str" cm="1">
        <f t="array" aca="1" ref="Z503" ca="1">IFERROR(LEFT(Y503, MATCH(FALSE, ISNUMBER(MID(Y503, ROW(INDIRECT("1:"&amp;LEN(Y503)+1)), 1) *1), 0) -1),"")</f>
        <v>1</v>
      </c>
      <c r="AA503" s="209">
        <f t="shared" ref="AA503:AA516" ca="1" si="17">IFERROR(VALUE(Z503),"")</f>
        <v>1</v>
      </c>
      <c r="AB503" s="209">
        <f ca="1">IFERROR(AA503*SUMPRODUCT(Items!A$242:A$254,Items!AQ$242:AQ$254)/SUM(Items!A$242:A$254),"")</f>
        <v>50.5</v>
      </c>
      <c r="AH503" s="309"/>
    </row>
    <row r="504" spans="2:34" ht="17">
      <c r="B504" s="206" t="s">
        <v>1398</v>
      </c>
      <c r="C504" s="207" t="s">
        <v>1399</v>
      </c>
      <c r="D504" s="207" t="s">
        <v>216</v>
      </c>
      <c r="E504" s="210" t="s">
        <v>1400</v>
      </c>
      <c r="F504" s="102" t="str">
        <f t="shared" si="15"/>
        <v>N</v>
      </c>
      <c r="W504" s="209" t="str">
        <f ca="1">IF(AND($AB504&gt;=AB500,$AB504&lt;150),1,IF(AND($AB504&gt;=150,$AB504&lt;250),2,IF(AND($AB504&gt;=250,$AB504&lt;450),3,"")))</f>
        <v/>
      </c>
      <c r="X504" s="209">
        <v>3</v>
      </c>
      <c r="Y504" s="209" t="str">
        <f t="shared" si="16"/>
        <v/>
      </c>
      <c r="Z504" s="309" t="str" cm="1">
        <f t="array" aca="1" ref="Z504" ca="1">IFERROR(LEFT(Y504, MATCH(FALSE, ISNUMBER(MID(Y504, ROW(INDIRECT("1:"&amp;LEN(Y504)+1)), 1) *1), 0) -1),"")</f>
        <v/>
      </c>
      <c r="AA504" s="209" t="str">
        <f t="shared" ca="1" si="17"/>
        <v/>
      </c>
      <c r="AB504" s="209" t="str">
        <f ca="1">IFERROR(AA504*SUMPRODUCT(Items!A$242:A$254,Items!AQ$242:AQ$254)/SUM(Items!A$242:A$254),"")</f>
        <v/>
      </c>
      <c r="AH504" s="309"/>
    </row>
    <row r="505" spans="2:34" ht="17">
      <c r="B505" s="206" t="s">
        <v>1401</v>
      </c>
      <c r="C505" s="207" t="s">
        <v>216</v>
      </c>
      <c r="D505" s="207" t="s">
        <v>216</v>
      </c>
      <c r="E505" s="210" t="s">
        <v>1402</v>
      </c>
      <c r="F505" s="102" t="str">
        <f t="shared" si="15"/>
        <v>M</v>
      </c>
      <c r="W505" s="209" t="str">
        <f ca="1">IF(AND($AB505&gt;=AB500,$AB505&lt;150),1,IF(AND($AB505&gt;=150,$AB505&lt;250),2,IF(AND($AB505&gt;=250,$AB505&lt;450),3,"")))</f>
        <v/>
      </c>
      <c r="X505" s="209">
        <v>4</v>
      </c>
      <c r="Y505" s="209" t="str">
        <f t="shared" si="16"/>
        <v/>
      </c>
      <c r="Z505" s="309" t="str" cm="1">
        <f t="array" aca="1" ref="Z505" ca="1">IFERROR(LEFT(Y505, MATCH(FALSE, ISNUMBER(MID(Y505, ROW(INDIRECT("1:"&amp;LEN(Y505)+1)), 1) *1), 0) -1),"")</f>
        <v/>
      </c>
      <c r="AA505" s="209" t="str">
        <f t="shared" ca="1" si="17"/>
        <v/>
      </c>
      <c r="AB505" s="209" t="str">
        <f ca="1">IFERROR(AA505*SUMPRODUCT(Items!A$242:A$254,Items!AQ$242:AQ$254)/SUM(Items!A$242:A$254),"")</f>
        <v/>
      </c>
      <c r="AH505" s="309"/>
    </row>
    <row r="506" spans="2:34" ht="17">
      <c r="B506" s="206" t="s">
        <v>1403</v>
      </c>
      <c r="C506" s="207" t="s">
        <v>38</v>
      </c>
      <c r="D506" s="207" t="s">
        <v>216</v>
      </c>
      <c r="E506" s="210" t="s">
        <v>1404</v>
      </c>
      <c r="F506" s="102" t="str">
        <f t="shared" si="15"/>
        <v>F</v>
      </c>
      <c r="W506" s="209" t="str">
        <f ca="1">IF(AND($AB506&gt;=AB500,$AB506&lt;150),1,IF(AND($AB506&gt;=150,$AB506&lt;250),2,IF(AND($AB506&gt;=250,$AB506&lt;450),3,"")))</f>
        <v/>
      </c>
      <c r="X506" s="209">
        <v>5</v>
      </c>
      <c r="Y506" s="209" t="str">
        <f t="shared" si="16"/>
        <v/>
      </c>
      <c r="Z506" s="309" t="str" cm="1">
        <f t="array" aca="1" ref="Z506" ca="1">IFERROR(LEFT(Y506, MATCH(FALSE, ISNUMBER(MID(Y506, ROW(INDIRECT("1:"&amp;LEN(Y506)+1)), 1) *1), 0) -1),"")</f>
        <v/>
      </c>
      <c r="AA506" s="209" t="str">
        <f t="shared" ca="1" si="17"/>
        <v/>
      </c>
      <c r="AB506" s="209" t="str">
        <f ca="1">IFERROR(AA506*SUMPRODUCT(Items!A$242:A$254,Items!AQ$242:AQ$254)/SUM(Items!A$242:A$254),"")</f>
        <v/>
      </c>
      <c r="AH506" s="309"/>
    </row>
    <row r="507" spans="2:34" ht="17">
      <c r="B507" s="206" t="s">
        <v>1405</v>
      </c>
      <c r="C507" s="207" t="s">
        <v>216</v>
      </c>
      <c r="D507" s="207" t="s">
        <v>216</v>
      </c>
      <c r="E507" s="210" t="s">
        <v>1406</v>
      </c>
      <c r="F507" s="102" t="str">
        <f t="shared" si="15"/>
        <v>GE</v>
      </c>
      <c r="W507" s="209" t="str">
        <f ca="1">IF(AND($AB507&gt;=AB500,$AB507&lt;150),1,IF(AND($AB507&gt;=150,$AB507&lt;250),2,IF(AND($AB507&gt;=250,$AB507&lt;450),3,"")))</f>
        <v/>
      </c>
      <c r="X507" s="209">
        <v>6</v>
      </c>
      <c r="Y507" s="209" t="str">
        <f t="shared" si="16"/>
        <v/>
      </c>
      <c r="Z507" s="309" t="str" cm="1">
        <f t="array" aca="1" ref="Z507" ca="1">IFERROR(LEFT(Y507, MATCH(FALSE, ISNUMBER(MID(Y507, ROW(INDIRECT("1:"&amp;LEN(Y507)+1)), 1) *1), 0) -1),"")</f>
        <v/>
      </c>
      <c r="AA507" s="209" t="str">
        <f t="shared" ca="1" si="17"/>
        <v/>
      </c>
      <c r="AB507" s="209" t="str">
        <f ca="1">IFERROR(AA507*SUMPRODUCT(Items!A$242:A$254,Items!AQ$242:AQ$254)/SUM(Items!A$242:A$254),"")</f>
        <v/>
      </c>
      <c r="AH507" s="309"/>
    </row>
    <row r="508" spans="2:34" ht="17">
      <c r="B508" s="206" t="s">
        <v>1407</v>
      </c>
      <c r="C508" s="207" t="s">
        <v>856</v>
      </c>
      <c r="D508" s="207" t="s">
        <v>1348</v>
      </c>
      <c r="E508" s="210" t="s">
        <v>1408</v>
      </c>
      <c r="F508" s="102" t="str">
        <f t="shared" si="15"/>
        <v>RS-S</v>
      </c>
      <c r="W508" s="209" t="str">
        <f ca="1">IF(AND($AB508&gt;=AB500,$AB508&lt;150),1,IF(AND($AB508&gt;=150,$AB508&lt;250),2,IF(AND($AB508&gt;=250,$AB508&lt;450),3,"")))</f>
        <v/>
      </c>
      <c r="X508" s="209">
        <v>7</v>
      </c>
      <c r="Y508" s="209" t="str">
        <f t="shared" si="16"/>
        <v/>
      </c>
      <c r="Z508" s="309" t="str" cm="1">
        <f t="array" aca="1" ref="Z508" ca="1">IFERROR(LEFT(Y508, MATCH(FALSE, ISNUMBER(MID(Y508, ROW(INDIRECT("1:"&amp;LEN(Y508)+1)), 1) *1), 0) -1),"")</f>
        <v/>
      </c>
      <c r="AA508" s="209" t="str">
        <f t="shared" ca="1" si="17"/>
        <v/>
      </c>
      <c r="AB508" s="209" t="str">
        <f ca="1">IFERROR(AA508*SUMPRODUCT(Items!A$242:A$254,Items!AQ$242:AQ$254)/SUM(Items!A$242:A$254),"")</f>
        <v/>
      </c>
      <c r="AH508" s="309"/>
    </row>
    <row r="509" spans="2:34" ht="17">
      <c r="B509" s="206" t="s">
        <v>1467</v>
      </c>
      <c r="C509" s="207" t="s">
        <v>352</v>
      </c>
      <c r="D509" s="207" t="s">
        <v>216</v>
      </c>
      <c r="E509" s="210" t="s">
        <v>1409</v>
      </c>
      <c r="F509" s="102" t="str">
        <f t="shared" si="15"/>
        <v>POA-</v>
      </c>
      <c r="W509" s="209" t="str">
        <f ca="1">IF(AND($AB509&gt;=AB500,$AB509&lt;150),1,IF(AND($AB509&gt;=150,$AB509&lt;250),2,IF(AND($AB509&gt;=250,$AB509&lt;450),3,"")))</f>
        <v/>
      </c>
      <c r="X509" s="209">
        <v>8</v>
      </c>
      <c r="Y509" s="209" t="str">
        <f t="shared" si="16"/>
        <v/>
      </c>
      <c r="Z509" s="309" t="str" cm="1">
        <f t="array" aca="1" ref="Z509" ca="1">IFERROR(LEFT(Y509, MATCH(FALSE, ISNUMBER(MID(Y509, ROW(INDIRECT("1:"&amp;LEN(Y509)+1)), 1) *1), 0) -1),"")</f>
        <v/>
      </c>
      <c r="AA509" s="209" t="str">
        <f t="shared" ca="1" si="17"/>
        <v/>
      </c>
      <c r="AB509" s="209" t="str">
        <f ca="1">IFERROR(AA509*SUMPRODUCT(Items!A$242:A$254,Items!AQ$242:AQ$254)/SUM(Items!A$242:A$254),"")</f>
        <v/>
      </c>
      <c r="AH509" s="309"/>
    </row>
    <row r="510" spans="2:34" ht="17">
      <c r="B510" s="206" t="s">
        <v>1410</v>
      </c>
      <c r="C510" s="207" t="s">
        <v>69</v>
      </c>
      <c r="D510" s="207" t="s">
        <v>216</v>
      </c>
      <c r="E510" s="210" t="s">
        <v>1409</v>
      </c>
      <c r="F510" s="102" t="str">
        <f t="shared" si="15"/>
        <v>POA-</v>
      </c>
      <c r="W510" s="209" t="str">
        <f ca="1">IF(AND($AB510&gt;=AB500,$AB510&lt;150),1,IF(AND($AB510&gt;=150,$AB510&lt;250),2,IF(AND($AB510&gt;=250,$AB510&lt;450),3,"")))</f>
        <v/>
      </c>
      <c r="X510" s="209">
        <v>9</v>
      </c>
      <c r="Y510" s="209" t="str">
        <f t="shared" si="16"/>
        <v/>
      </c>
      <c r="Z510" s="309" t="str" cm="1">
        <f t="array" aca="1" ref="Z510" ca="1">IFERROR(LEFT(Y510, MATCH(FALSE, ISNUMBER(MID(Y510, ROW(INDIRECT("1:"&amp;LEN(Y510)+1)), 1) *1), 0) -1),"")</f>
        <v/>
      </c>
      <c r="AA510" s="209" t="str">
        <f t="shared" ca="1" si="17"/>
        <v/>
      </c>
      <c r="AB510" s="209" t="str">
        <f ca="1">IFERROR(AA510*SUMPRODUCT(Items!A$242:A$254,Items!AQ$242:AQ$254)/SUM(Items!A$242:A$254),"")</f>
        <v/>
      </c>
      <c r="AH510" s="309"/>
    </row>
    <row r="511" spans="2:34" ht="17">
      <c r="B511" s="206" t="s">
        <v>1411</v>
      </c>
      <c r="C511" s="207" t="s">
        <v>69</v>
      </c>
      <c r="D511" s="207" t="s">
        <v>216</v>
      </c>
      <c r="E511" s="210" t="s">
        <v>1409</v>
      </c>
      <c r="F511" s="102" t="str">
        <f t="shared" si="15"/>
        <v>POA-</v>
      </c>
      <c r="W511" s="209" t="str">
        <f ca="1">IF(AND($AB511&gt;=AB500,$AB511&lt;150),1,IF(AND($AB511&gt;=150,$AB511&lt;250),2,IF(AND($AB511&gt;=250,$AB511&lt;450),3,"")))</f>
        <v/>
      </c>
      <c r="X511" s="209">
        <v>10</v>
      </c>
      <c r="Y511" s="209" t="str">
        <f t="shared" si="16"/>
        <v/>
      </c>
      <c r="Z511" s="309" t="str" cm="1">
        <f t="array" aca="1" ref="Z511" ca="1">IFERROR(LEFT(Y511, MATCH(FALSE, ISNUMBER(MID(Y511, ROW(INDIRECT("1:"&amp;LEN(Y511)+1)), 1) *1), 0) -1),"")</f>
        <v/>
      </c>
      <c r="AA511" s="209" t="str">
        <f t="shared" ca="1" si="17"/>
        <v/>
      </c>
      <c r="AB511" s="209" t="str">
        <f ca="1">IFERROR(AA511*SUMPRODUCT(Items!A$242:A$254,Items!AQ$242:AQ$254)/SUM(Items!A$242:A$254),"")</f>
        <v/>
      </c>
      <c r="AH511" s="309"/>
    </row>
    <row r="512" spans="2:34" ht="17">
      <c r="B512" s="206" t="s">
        <v>1412</v>
      </c>
      <c r="C512" s="207" t="s">
        <v>216</v>
      </c>
      <c r="D512" s="207" t="s">
        <v>216</v>
      </c>
      <c r="F512" s="102" t="str">
        <f t="shared" si="15"/>
        <v>5H1</v>
      </c>
      <c r="W512" s="209" t="str">
        <f ca="1">IF(AND($AB512&gt;=AB500,$AB512&lt;150),1,IF(AND($AB512&gt;=150,$AB512&lt;250),2,IF(AND($AB512&gt;=250,$AB512&lt;450),3,"")))</f>
        <v/>
      </c>
      <c r="X512" s="209">
        <v>11</v>
      </c>
      <c r="Y512" s="209" t="str">
        <f t="shared" si="16"/>
        <v/>
      </c>
      <c r="Z512" s="309" t="str" cm="1">
        <f t="array" aca="1" ref="Z512" ca="1">IFERROR(LEFT(Y512, MATCH(FALSE, ISNUMBER(MID(Y512, ROW(INDIRECT("1:"&amp;LEN(Y512)+1)), 1) *1), 0) -1),"")</f>
        <v/>
      </c>
      <c r="AA512" s="209" t="str">
        <f t="shared" ca="1" si="17"/>
        <v/>
      </c>
      <c r="AB512" s="209" t="str">
        <f ca="1">IFERROR(AA512*SUMPRODUCT(Items!A$242:A$254,Items!AQ$242:AQ$254)/SUM(Items!A$242:A$254),"")</f>
        <v/>
      </c>
      <c r="AH512" s="309"/>
    </row>
    <row r="513" spans="1:34" ht="17">
      <c r="B513" s="206" t="s">
        <v>1413</v>
      </c>
      <c r="C513" s="207" t="s">
        <v>216</v>
      </c>
      <c r="D513" s="207" t="s">
        <v>216</v>
      </c>
      <c r="F513" s="102" t="str">
        <f t="shared" si="15"/>
        <v>1H2</v>
      </c>
      <c r="W513" s="209" t="str">
        <f ca="1">IF(AND($AB513&gt;=AB500,$AB513&lt;150),1,IF(AND($AB513&gt;=150,$AB513&lt;250),2,IF(AND($AB513&gt;=250,$AB513&lt;450),3,"")))</f>
        <v/>
      </c>
      <c r="X513" s="209">
        <v>12</v>
      </c>
      <c r="Y513" s="209" t="str">
        <f t="shared" ref="Y513:Y516" si="18">IFERROR(IF(LEN(Y$501)-LEN(SUBSTITUTE(Y$501,X$501,""))&lt;=1,"",MID(SUBSTITUTE(Y$501,X$501,"^^",X513),FIND("^^",SUBSTITUTE(Y$501,X$501,"^^",X513))+2,LEN(Y$501))),"")</f>
        <v/>
      </c>
      <c r="Z513" s="309" t="str" cm="1">
        <f t="array" aca="1" ref="Z513" ca="1">IFERROR(LEFT(Y513, MATCH(FALSE, ISNUMBER(MID(Y513, ROW(INDIRECT("1:"&amp;LEN(Y513)+1)), 1) *1), 0) -1),"")</f>
        <v/>
      </c>
      <c r="AA513" s="209" t="str">
        <f t="shared" ca="1" si="17"/>
        <v/>
      </c>
      <c r="AB513" s="209" t="str">
        <f ca="1">IFERROR(AA513*SUMPRODUCT(Items!A$242:A$254,Items!AQ$242:AQ$254)/SUM(Items!A$242:A$254),"")</f>
        <v/>
      </c>
      <c r="AH513" s="309"/>
    </row>
    <row r="514" spans="1:34" ht="17">
      <c r="B514" s="206" t="s">
        <v>1414</v>
      </c>
      <c r="C514" s="207" t="s">
        <v>216</v>
      </c>
      <c r="D514" s="207" t="s">
        <v>216</v>
      </c>
      <c r="F514" s="102" t="str">
        <f t="shared" si="15"/>
        <v>2H4</v>
      </c>
      <c r="W514" s="209" t="str">
        <f ca="1">IF(AND($AB514&gt;=AB500,$AB514&lt;150),1,IF(AND($AB514&gt;=150,$AB514&lt;250),2,IF(AND($AB514&gt;=250,$AB514&lt;450),3,"")))</f>
        <v/>
      </c>
      <c r="X514" s="209">
        <v>13</v>
      </c>
      <c r="Y514" s="209" t="str">
        <f t="shared" si="18"/>
        <v/>
      </c>
      <c r="Z514" s="309" t="str" cm="1">
        <f t="array" aca="1" ref="Z514" ca="1">IFERROR(LEFT(Y514, MATCH(FALSE, ISNUMBER(MID(Y514, ROW(INDIRECT("1:"&amp;LEN(Y514)+1)), 1) *1), 0) -1),"")</f>
        <v/>
      </c>
      <c r="AA514" s="209" t="str">
        <f t="shared" ca="1" si="17"/>
        <v/>
      </c>
      <c r="AB514" s="209" t="str">
        <f ca="1">IFERROR(AA514*SUMPRODUCT(Items!A$242:A$254,Items!AQ$242:AQ$254)/SUM(Items!A$242:A$254),"")</f>
        <v/>
      </c>
      <c r="AH514" s="309"/>
    </row>
    <row r="515" spans="1:34" ht="17">
      <c r="B515" s="206" t="s">
        <v>1415</v>
      </c>
      <c r="C515" s="207" t="s">
        <v>216</v>
      </c>
      <c r="D515" s="207" t="s">
        <v>216</v>
      </c>
      <c r="F515" s="102" t="str">
        <f t="shared" ref="F515:F578" si="19">UPPER(LEFT(B515,1)) &amp; IFERROR(UPPER(LEFT(MID(B515,FIND(" ",B515)+1,LEN(B515)),1)),"") &amp; IFERROR(UPPER(LEFT(MID(B515,FIND(" ",B515,FIND(" ",B515)+1)+1,LEN(B515)),1)),"") &amp; IFERROR(UPPER(LEFT(MID(B515,FIND(" ",B515,FIND(" ",B515,FIND(" ",B515)+1)+1)+1,LEN(B515)),1)),"")</f>
        <v>5H1</v>
      </c>
      <c r="W515" s="209" t="str">
        <f ca="1">IF(AND($AB515&gt;=AB500,$AB515&lt;150),1,IF(AND($AB515&gt;=150,$AB515&lt;250),2,IF(AND($AB515&gt;=250,$AB515&lt;450),3,"")))</f>
        <v/>
      </c>
      <c r="X515" s="209">
        <v>14</v>
      </c>
      <c r="Y515" s="209" t="str">
        <f t="shared" si="18"/>
        <v/>
      </c>
      <c r="Z515" s="309" t="str" cm="1">
        <f t="array" aca="1" ref="Z515" ca="1">IFERROR(LEFT(Y515, MATCH(FALSE, ISNUMBER(MID(Y515, ROW(INDIRECT("1:"&amp;LEN(Y515)+1)), 1) *1), 0) -1),"")</f>
        <v/>
      </c>
      <c r="AA515" s="209" t="str">
        <f t="shared" ca="1" si="17"/>
        <v/>
      </c>
      <c r="AB515" s="209" t="str">
        <f ca="1">IFERROR(AA515*SUMPRODUCT(Items!A$242:A$254,Items!AQ$242:AQ$254)/SUM(Items!A$242:A$254),"")</f>
        <v/>
      </c>
      <c r="AH515" s="309"/>
    </row>
    <row r="516" spans="1:34" ht="17">
      <c r="B516" s="206" t="s">
        <v>1416</v>
      </c>
      <c r="C516" s="207" t="s">
        <v>960</v>
      </c>
      <c r="D516" s="207" t="s">
        <v>960</v>
      </c>
      <c r="F516" s="102" t="str">
        <f t="shared" si="19"/>
        <v>DR</v>
      </c>
      <c r="W516" s="209" t="str">
        <f ca="1">IF(AND($AB516&gt;=AB500,$AB516&lt;150),1,IF(AND($AB516&gt;=150,$AB516&lt;250),2,IF(AND($AB516&gt;=250,$AB516&lt;450),3,"")))</f>
        <v/>
      </c>
      <c r="X516" s="209">
        <v>15</v>
      </c>
      <c r="Y516" s="209" t="str">
        <f t="shared" si="18"/>
        <v/>
      </c>
      <c r="Z516" s="309" t="str" cm="1">
        <f t="array" aca="1" ref="Z516" ca="1">IFERROR(LEFT(Y516, MATCH(FALSE, ISNUMBER(MID(Y516, ROW(INDIRECT("1:"&amp;LEN(Y516)+1)), 1) *1), 0) -1),"")</f>
        <v/>
      </c>
      <c r="AA516" s="209" t="str">
        <f t="shared" ca="1" si="17"/>
        <v/>
      </c>
      <c r="AB516" s="209" t="str">
        <f ca="1">IFERROR(AA516*SUMPRODUCT(Items!A$242:A$254,Items!AQ$242:AQ$254)/SUM(Items!A$242:A$254),"")</f>
        <v/>
      </c>
      <c r="AH516" s="309"/>
    </row>
    <row r="517" spans="1:34" ht="17">
      <c r="B517" s="206" t="s">
        <v>1417</v>
      </c>
      <c r="C517" s="207" t="s">
        <v>1086</v>
      </c>
      <c r="D517" s="207" t="s">
        <v>1086</v>
      </c>
      <c r="E517" s="210" t="s">
        <v>1418</v>
      </c>
      <c r="F517" s="102" t="str">
        <f t="shared" si="19"/>
        <v>KBD</v>
      </c>
      <c r="W517" s="209" t="str">
        <f t="shared" ref="W517:W580" ca="1" si="20">IF(AND($AB517&gt;=AB501,$AB517&lt;150),1,IF(AND($AB517&gt;=150,$AB517&lt;250),2,IF(AND($AB517&gt;=250,$AB517&lt;450),3,"")))</f>
        <v/>
      </c>
      <c r="X517" s="209">
        <v>16</v>
      </c>
      <c r="Y517" s="209" t="str">
        <f t="shared" ref="Y517:Y561" si="21">IFERROR(IF(LEN(Y$501)-LEN(SUBSTITUTE(Y$501,X$501,""))&lt;=1,"",MID(SUBSTITUTE(Y$501,X$501,"^^",X517),FIND("^^",SUBSTITUTE(Y$501,X$501,"^^",X517))+2,LEN(Y$501))),"")</f>
        <v/>
      </c>
      <c r="Z517" s="309" t="str" cm="1">
        <f t="array" aca="1" ref="Z517" ca="1">IFERROR(LEFT(Y517, MATCH(FALSE, ISNUMBER(MID(Y517, ROW(INDIRECT("1:"&amp;LEN(Y517)+1)), 1) *1), 0) -1),"")</f>
        <v/>
      </c>
      <c r="AA517" s="209" t="str">
        <f t="shared" ref="AA517:AA561" ca="1" si="22">IFERROR(VALUE(Z517),"")</f>
        <v/>
      </c>
      <c r="AB517" s="209" t="str">
        <f ca="1">IFERROR(AA517*SUMPRODUCT(Items!A$242:A$254,Items!AQ$242:AQ$254)/SUM(Items!A$242:A$254),"")</f>
        <v/>
      </c>
    </row>
    <row r="518" spans="1:34" ht="17">
      <c r="B518" s="206" t="s">
        <v>1464</v>
      </c>
      <c r="C518" s="207" t="s">
        <v>216</v>
      </c>
      <c r="D518" s="207" t="s">
        <v>956</v>
      </c>
      <c r="F518" s="102" t="str">
        <f t="shared" si="19"/>
        <v>2F</v>
      </c>
      <c r="W518" s="209" t="str">
        <f t="shared" ca="1" si="20"/>
        <v/>
      </c>
      <c r="X518" s="209">
        <v>17</v>
      </c>
      <c r="Y518" s="209" t="str">
        <f t="shared" si="21"/>
        <v/>
      </c>
      <c r="Z518" s="309" t="str" cm="1">
        <f t="array" aca="1" ref="Z518" ca="1">IFERROR(LEFT(Y518, MATCH(FALSE, ISNUMBER(MID(Y518, ROW(INDIRECT("1:"&amp;LEN(Y518)+1)), 1) *1), 0) -1),"")</f>
        <v/>
      </c>
      <c r="AA518" s="209" t="str">
        <f t="shared" ca="1" si="22"/>
        <v/>
      </c>
      <c r="AB518" s="209" t="str">
        <f ca="1">IFERROR(AA518*SUMPRODUCT(Items!A$242:A$254,Items!AQ$242:AQ$254)/SUM(Items!A$242:A$254),"")</f>
        <v/>
      </c>
    </row>
    <row r="519" spans="1:34" ht="17">
      <c r="B519" s="206" t="s">
        <v>1472</v>
      </c>
      <c r="C519" s="207" t="s">
        <v>51</v>
      </c>
      <c r="D519" s="207" t="s">
        <v>51</v>
      </c>
      <c r="E519" s="210" t="s">
        <v>430</v>
      </c>
      <c r="F519" s="102" t="str">
        <f t="shared" si="19"/>
        <v>PPF2</v>
      </c>
      <c r="W519" s="209" t="str">
        <f t="shared" ca="1" si="20"/>
        <v/>
      </c>
      <c r="X519" s="209">
        <v>18</v>
      </c>
      <c r="Y519" s="209" t="str">
        <f t="shared" si="21"/>
        <v/>
      </c>
      <c r="Z519" s="309" t="str" cm="1">
        <f t="array" aca="1" ref="Z519" ca="1">IFERROR(LEFT(Y519, MATCH(FALSE, ISNUMBER(MID(Y519, ROW(INDIRECT("1:"&amp;LEN(Y519)+1)), 1) *1), 0) -1),"")</f>
        <v/>
      </c>
      <c r="AA519" s="209" t="str">
        <f t="shared" ca="1" si="22"/>
        <v/>
      </c>
      <c r="AB519" s="209" t="str">
        <f ca="1">IFERROR(AA519*SUMPRODUCT(Items!A$242:A$254,Items!AQ$242:AQ$254)/SUM(Items!A$242:A$254),"")</f>
        <v/>
      </c>
    </row>
    <row r="520" spans="1:34" ht="17">
      <c r="B520" s="206" t="s">
        <v>1469</v>
      </c>
      <c r="C520" s="207" t="s">
        <v>51</v>
      </c>
      <c r="D520" s="207" t="s">
        <v>51</v>
      </c>
      <c r="E520" s="210" t="s">
        <v>430</v>
      </c>
      <c r="F520" s="102" t="str">
        <f t="shared" si="19"/>
        <v>PPF3</v>
      </c>
      <c r="W520" s="209" t="str">
        <f t="shared" ca="1" si="20"/>
        <v/>
      </c>
      <c r="X520" s="209">
        <v>19</v>
      </c>
      <c r="Y520" s="209" t="str">
        <f t="shared" si="21"/>
        <v/>
      </c>
      <c r="Z520" s="309" t="str" cm="1">
        <f t="array" aca="1" ref="Z520" ca="1">IFERROR(LEFT(Y520, MATCH(FALSE, ISNUMBER(MID(Y520, ROW(INDIRECT("1:"&amp;LEN(Y520)+1)), 1) *1), 0) -1),"")</f>
        <v/>
      </c>
      <c r="AA520" s="209" t="str">
        <f t="shared" ca="1" si="22"/>
        <v/>
      </c>
      <c r="AB520" s="209" t="str">
        <f ca="1">IFERROR(AA520*SUMPRODUCT(Items!A$242:A$254,Items!AQ$242:AQ$254)/SUM(Items!A$242:A$254),"")</f>
        <v/>
      </c>
    </row>
    <row r="521" spans="1:34" ht="17">
      <c r="A521" s="213"/>
      <c r="B521" s="214" t="s">
        <v>1468</v>
      </c>
      <c r="C521" s="215" t="s">
        <v>51</v>
      </c>
      <c r="D521" s="215" t="s">
        <v>51</v>
      </c>
      <c r="E521" s="216" t="s">
        <v>430</v>
      </c>
      <c r="F521" s="102" t="str">
        <f t="shared" si="19"/>
        <v>PPF5</v>
      </c>
      <c r="W521" s="209" t="str">
        <f t="shared" ca="1" si="20"/>
        <v/>
      </c>
      <c r="X521" s="209">
        <v>20</v>
      </c>
      <c r="Y521" s="209" t="str">
        <f t="shared" si="21"/>
        <v/>
      </c>
      <c r="Z521" s="309" t="str" cm="1">
        <f t="array" aca="1" ref="Z521" ca="1">IFERROR(LEFT(Y521, MATCH(FALSE, ISNUMBER(MID(Y521, ROW(INDIRECT("1:"&amp;LEN(Y521)+1)), 1) *1), 0) -1),"")</f>
        <v/>
      </c>
      <c r="AA521" s="209" t="str">
        <f t="shared" ca="1" si="22"/>
        <v/>
      </c>
      <c r="AB521" s="209" t="str">
        <f ca="1">IFERROR(AA521*SUMPRODUCT(Items!A$242:A$254,Items!AQ$242:AQ$254)/SUM(Items!A$242:A$254),"")</f>
        <v/>
      </c>
    </row>
    <row r="522" spans="1:34" ht="17">
      <c r="A522" s="213"/>
      <c r="B522" s="214" t="s">
        <v>1470</v>
      </c>
      <c r="C522" s="215" t="s">
        <v>51</v>
      </c>
      <c r="D522" s="215" t="s">
        <v>51</v>
      </c>
      <c r="E522" s="216" t="s">
        <v>430</v>
      </c>
      <c r="F522" s="102" t="str">
        <f t="shared" si="19"/>
        <v>PPF8</v>
      </c>
      <c r="W522" s="209" t="str">
        <f t="shared" ca="1" si="20"/>
        <v/>
      </c>
      <c r="X522" s="209">
        <v>21</v>
      </c>
      <c r="Y522" s="209" t="str">
        <f t="shared" si="21"/>
        <v/>
      </c>
      <c r="Z522" s="309" t="str" cm="1">
        <f t="array" aca="1" ref="Z522" ca="1">IFERROR(LEFT(Y522, MATCH(FALSE, ISNUMBER(MID(Y522, ROW(INDIRECT("1:"&amp;LEN(Y522)+1)), 1) *1), 0) -1),"")</f>
        <v/>
      </c>
      <c r="AA522" s="209" t="str">
        <f t="shared" ca="1" si="22"/>
        <v/>
      </c>
      <c r="AB522" s="209" t="str">
        <f ca="1">IFERROR(AA522*SUMPRODUCT(Items!A$242:A$254,Items!AQ$242:AQ$254)/SUM(Items!A$242:A$254),"")</f>
        <v/>
      </c>
    </row>
    <row r="523" spans="1:34" ht="17">
      <c r="A523" s="213"/>
      <c r="B523" s="214" t="s">
        <v>1471</v>
      </c>
      <c r="C523" s="215" t="s">
        <v>51</v>
      </c>
      <c r="D523" s="215" t="s">
        <v>51</v>
      </c>
      <c r="E523" s="216" t="s">
        <v>430</v>
      </c>
      <c r="F523" s="102" t="str">
        <f t="shared" si="19"/>
        <v>PPF1</v>
      </c>
      <c r="W523" s="209" t="str">
        <f t="shared" ca="1" si="20"/>
        <v/>
      </c>
      <c r="X523" s="209">
        <v>22</v>
      </c>
      <c r="Y523" s="209" t="str">
        <f t="shared" si="21"/>
        <v/>
      </c>
      <c r="Z523" s="309" t="str" cm="1">
        <f t="array" aca="1" ref="Z523" ca="1">IFERROR(LEFT(Y523, MATCH(FALSE, ISNUMBER(MID(Y523, ROW(INDIRECT("1:"&amp;LEN(Y523)+1)), 1) *1), 0) -1),"")</f>
        <v/>
      </c>
      <c r="AA523" s="209" t="str">
        <f t="shared" ca="1" si="22"/>
        <v/>
      </c>
      <c r="AB523" s="209" t="str">
        <f ca="1">IFERROR(AA523*SUMPRODUCT(Items!A$242:A$254,Items!AQ$242:AQ$254)/SUM(Items!A$242:A$254),"")</f>
        <v/>
      </c>
    </row>
    <row r="524" spans="1:34" ht="17">
      <c r="B524" s="206" t="s">
        <v>1474</v>
      </c>
      <c r="C524" s="207" t="s">
        <v>1240</v>
      </c>
      <c r="D524" s="207" t="s">
        <v>216</v>
      </c>
      <c r="E524" s="207" t="s">
        <v>1475</v>
      </c>
      <c r="F524" s="102" t="str">
        <f t="shared" si="19"/>
        <v>DMS</v>
      </c>
      <c r="W524" s="209" t="str">
        <f t="shared" ca="1" si="20"/>
        <v/>
      </c>
      <c r="X524" s="209">
        <v>23</v>
      </c>
      <c r="Y524" s="209" t="str">
        <f t="shared" si="21"/>
        <v/>
      </c>
      <c r="Z524" s="309" t="str" cm="1">
        <f t="array" aca="1" ref="Z524" ca="1">IFERROR(LEFT(Y524, MATCH(FALSE, ISNUMBER(MID(Y524, ROW(INDIRECT("1:"&amp;LEN(Y524)+1)), 1) *1), 0) -1),"")</f>
        <v/>
      </c>
      <c r="AA524" s="209" t="str">
        <f t="shared" ca="1" si="22"/>
        <v/>
      </c>
      <c r="AB524" s="209" t="str">
        <f ca="1">IFERROR(AA524*SUMPRODUCT(Items!A$242:A$254,Items!AQ$242:AQ$254)/SUM(Items!A$242:A$254),"")</f>
        <v/>
      </c>
    </row>
    <row r="525" spans="1:34" ht="17">
      <c r="B525" s="206" t="s">
        <v>1476</v>
      </c>
      <c r="C525" s="207" t="s">
        <v>216</v>
      </c>
      <c r="D525" s="207" t="s">
        <v>216</v>
      </c>
      <c r="E525" s="210" t="s">
        <v>1477</v>
      </c>
      <c r="F525" s="102" t="str">
        <f t="shared" si="19"/>
        <v>NB</v>
      </c>
      <c r="W525" s="209" t="str">
        <f t="shared" ca="1" si="20"/>
        <v/>
      </c>
      <c r="X525" s="209">
        <v>24</v>
      </c>
      <c r="Y525" s="209" t="str">
        <f t="shared" si="21"/>
        <v/>
      </c>
      <c r="Z525" s="309" t="str" cm="1">
        <f t="array" aca="1" ref="Z525" ca="1">IFERROR(LEFT(Y525, MATCH(FALSE, ISNUMBER(MID(Y525, ROW(INDIRECT("1:"&amp;LEN(Y525)+1)), 1) *1), 0) -1),"")</f>
        <v/>
      </c>
      <c r="AA525" s="209" t="str">
        <f t="shared" ca="1" si="22"/>
        <v/>
      </c>
      <c r="AB525" s="209" t="str">
        <f ca="1">IFERROR(AA525*SUMPRODUCT(Items!A$242:A$254,Items!AQ$242:AQ$254)/SUM(Items!A$242:A$254),"")</f>
        <v/>
      </c>
    </row>
    <row r="526" spans="1:34" ht="17">
      <c r="B526" s="206" t="s">
        <v>1478</v>
      </c>
      <c r="C526" s="207" t="s">
        <v>342</v>
      </c>
      <c r="D526" s="207" t="s">
        <v>342</v>
      </c>
      <c r="E526" s="210" t="s">
        <v>1479</v>
      </c>
      <c r="F526" s="102" t="str">
        <f t="shared" si="19"/>
        <v>H-RL</v>
      </c>
      <c r="W526" s="209" t="str">
        <f t="shared" ca="1" si="20"/>
        <v/>
      </c>
      <c r="X526" s="209">
        <v>25</v>
      </c>
      <c r="Y526" s="209" t="str">
        <f t="shared" si="21"/>
        <v/>
      </c>
      <c r="Z526" s="309" t="str" cm="1">
        <f t="array" aca="1" ref="Z526" ca="1">IFERROR(LEFT(Y526, MATCH(FALSE, ISNUMBER(MID(Y526, ROW(INDIRECT("1:"&amp;LEN(Y526)+1)), 1) *1), 0) -1),"")</f>
        <v/>
      </c>
      <c r="AA526" s="209" t="str">
        <f t="shared" ca="1" si="22"/>
        <v/>
      </c>
      <c r="AB526" s="209" t="str">
        <f ca="1">IFERROR(AA526*SUMPRODUCT(Items!A$242:A$254,Items!AQ$242:AQ$254)/SUM(Items!A$242:A$254),"")</f>
        <v/>
      </c>
    </row>
    <row r="527" spans="1:34" ht="17">
      <c r="B527" s="206" t="s">
        <v>1480</v>
      </c>
      <c r="C527" s="207" t="s">
        <v>1378</v>
      </c>
      <c r="D527" s="207" t="s">
        <v>1378</v>
      </c>
      <c r="F527" s="102" t="str">
        <f t="shared" si="19"/>
        <v>UL</v>
      </c>
      <c r="W527" s="209" t="str">
        <f t="shared" ca="1" si="20"/>
        <v/>
      </c>
      <c r="X527" s="209">
        <v>26</v>
      </c>
      <c r="Y527" s="209" t="str">
        <f t="shared" si="21"/>
        <v/>
      </c>
      <c r="Z527" s="309" t="str" cm="1">
        <f t="array" aca="1" ref="Z527" ca="1">IFERROR(LEFT(Y527, MATCH(FALSE, ISNUMBER(MID(Y527, ROW(INDIRECT("1:"&amp;LEN(Y527)+1)), 1) *1), 0) -1),"")</f>
        <v/>
      </c>
      <c r="AA527" s="209" t="str">
        <f t="shared" ca="1" si="22"/>
        <v/>
      </c>
      <c r="AB527" s="209" t="str">
        <f ca="1">IFERROR(AA527*SUMPRODUCT(Items!A$242:A$254,Items!AQ$242:AQ$254)/SUM(Items!A$242:A$254),"")</f>
        <v/>
      </c>
    </row>
    <row r="528" spans="1:34" ht="17">
      <c r="B528" s="206" t="s">
        <v>1481</v>
      </c>
      <c r="C528" s="207" t="s">
        <v>355</v>
      </c>
      <c r="D528" s="207" t="s">
        <v>216</v>
      </c>
      <c r="E528" s="210" t="s">
        <v>1482</v>
      </c>
      <c r="F528" s="102" t="str">
        <f t="shared" si="19"/>
        <v>MA</v>
      </c>
      <c r="W528" s="209" t="str">
        <f t="shared" ca="1" si="20"/>
        <v/>
      </c>
      <c r="X528" s="209">
        <v>27</v>
      </c>
      <c r="Y528" s="209" t="str">
        <f t="shared" si="21"/>
        <v/>
      </c>
      <c r="Z528" s="309" t="str" cm="1">
        <f t="array" aca="1" ref="Z528" ca="1">IFERROR(LEFT(Y528, MATCH(FALSE, ISNUMBER(MID(Y528, ROW(INDIRECT("1:"&amp;LEN(Y528)+1)), 1) *1), 0) -1),"")</f>
        <v/>
      </c>
      <c r="AA528" s="209" t="str">
        <f t="shared" ca="1" si="22"/>
        <v/>
      </c>
      <c r="AB528" s="209" t="str">
        <f ca="1">IFERROR(AA528*SUMPRODUCT(Items!A$242:A$254,Items!AQ$242:AQ$254)/SUM(Items!A$242:A$254),"")</f>
        <v/>
      </c>
    </row>
    <row r="529" spans="2:28" ht="34">
      <c r="B529" s="206" t="s">
        <v>1485</v>
      </c>
      <c r="C529" s="207" t="s">
        <v>51</v>
      </c>
      <c r="D529" s="207" t="s">
        <v>51</v>
      </c>
      <c r="E529" s="210" t="s">
        <v>1483</v>
      </c>
      <c r="F529" s="102" t="str">
        <f t="shared" si="19"/>
        <v>SO-C</v>
      </c>
      <c r="W529" s="209" t="str">
        <f t="shared" ca="1" si="20"/>
        <v/>
      </c>
      <c r="X529" s="209">
        <v>28</v>
      </c>
      <c r="Y529" s="209" t="str">
        <f t="shared" si="21"/>
        <v/>
      </c>
      <c r="Z529" s="309" t="str" cm="1">
        <f t="array" aca="1" ref="Z529" ca="1">IFERROR(LEFT(Y529, MATCH(FALSE, ISNUMBER(MID(Y529, ROW(INDIRECT("1:"&amp;LEN(Y529)+1)), 1) *1), 0) -1),"")</f>
        <v/>
      </c>
      <c r="AA529" s="209" t="str">
        <f t="shared" ca="1" si="22"/>
        <v/>
      </c>
      <c r="AB529" s="209" t="str">
        <f ca="1">IFERROR(AA529*SUMPRODUCT(Items!A$242:A$254,Items!AQ$242:AQ$254)/SUM(Items!A$242:A$254),"")</f>
        <v/>
      </c>
    </row>
    <row r="530" spans="2:28" ht="17">
      <c r="B530" s="206" t="s">
        <v>1495</v>
      </c>
      <c r="C530" s="207" t="s">
        <v>1496</v>
      </c>
      <c r="D530" s="207" t="s">
        <v>1496</v>
      </c>
      <c r="F530" s="102" t="str">
        <f t="shared" si="19"/>
        <v>RRH</v>
      </c>
      <c r="W530" s="209" t="str">
        <f t="shared" ca="1" si="20"/>
        <v/>
      </c>
      <c r="X530" s="209">
        <v>29</v>
      </c>
      <c r="Y530" s="209" t="str">
        <f t="shared" si="21"/>
        <v/>
      </c>
      <c r="Z530" s="309" t="str" cm="1">
        <f t="array" aca="1" ref="Z530" ca="1">IFERROR(LEFT(Y530, MATCH(FALSE, ISNUMBER(MID(Y530, ROW(INDIRECT("1:"&amp;LEN(Y530)+1)), 1) *1), 0) -1),"")</f>
        <v/>
      </c>
      <c r="AA530" s="209" t="str">
        <f t="shared" ca="1" si="22"/>
        <v/>
      </c>
      <c r="AB530" s="209" t="str">
        <f ca="1">IFERROR(AA530*SUMPRODUCT(Items!A$242:A$254,Items!AQ$242:AQ$254)/SUM(Items!A$242:A$254),"")</f>
        <v/>
      </c>
    </row>
    <row r="531" spans="2:28" ht="17">
      <c r="B531" s="206" t="s">
        <v>1500</v>
      </c>
      <c r="C531" s="207" t="s">
        <v>1501</v>
      </c>
      <c r="D531" s="207" t="s">
        <v>1502</v>
      </c>
      <c r="E531" s="210" t="s">
        <v>1503</v>
      </c>
      <c r="F531" s="102" t="str">
        <f t="shared" si="19"/>
        <v>MKA</v>
      </c>
      <c r="W531" s="209" t="str">
        <f t="shared" ca="1" si="20"/>
        <v/>
      </c>
      <c r="X531" s="209">
        <v>30</v>
      </c>
      <c r="Y531" s="209" t="str">
        <f t="shared" si="21"/>
        <v/>
      </c>
      <c r="Z531" s="309" t="str" cm="1">
        <f t="array" aca="1" ref="Z531" ca="1">IFERROR(LEFT(Y531, MATCH(FALSE, ISNUMBER(MID(Y531, ROW(INDIRECT("1:"&amp;LEN(Y531)+1)), 1) *1), 0) -1),"")</f>
        <v/>
      </c>
      <c r="AA531" s="209" t="str">
        <f t="shared" ca="1" si="22"/>
        <v/>
      </c>
      <c r="AB531" s="209" t="str">
        <f ca="1">IFERROR(AA531*SUMPRODUCT(Items!A$242:A$254,Items!AQ$242:AQ$254)/SUM(Items!A$242:A$254),"")</f>
        <v/>
      </c>
    </row>
    <row r="532" spans="2:28" ht="17">
      <c r="B532" s="206" t="s">
        <v>1504</v>
      </c>
      <c r="C532" s="207" t="s">
        <v>216</v>
      </c>
      <c r="D532" s="207" t="s">
        <v>216</v>
      </c>
      <c r="F532" s="102" t="str">
        <f t="shared" si="19"/>
        <v>MKB</v>
      </c>
      <c r="W532" s="209" t="str">
        <f t="shared" ca="1" si="20"/>
        <v/>
      </c>
      <c r="X532" s="209">
        <v>31</v>
      </c>
      <c r="Y532" s="209" t="str">
        <f t="shared" si="21"/>
        <v/>
      </c>
      <c r="Z532" s="309" t="str" cm="1">
        <f t="array" aca="1" ref="Z532" ca="1">IFERROR(LEFT(Y532, MATCH(FALSE, ISNUMBER(MID(Y532, ROW(INDIRECT("1:"&amp;LEN(Y532)+1)), 1) *1), 0) -1),"")</f>
        <v/>
      </c>
      <c r="AA532" s="209" t="str">
        <f t="shared" ca="1" si="22"/>
        <v/>
      </c>
      <c r="AB532" s="209" t="str">
        <f ca="1">IFERROR(AA532*SUMPRODUCT(Items!A$242:A$254,Items!AQ$242:AQ$254)/SUM(Items!A$242:A$254),"")</f>
        <v/>
      </c>
    </row>
    <row r="533" spans="2:28" ht="34">
      <c r="B533" s="206" t="s">
        <v>1505</v>
      </c>
      <c r="C533" s="207" t="s">
        <v>1506</v>
      </c>
      <c r="D533" s="207" t="s">
        <v>954</v>
      </c>
      <c r="E533" s="210" t="s">
        <v>1507</v>
      </c>
      <c r="F533" s="102" t="str">
        <f t="shared" si="19"/>
        <v>AB</v>
      </c>
      <c r="W533" s="209" t="str">
        <f t="shared" ca="1" si="20"/>
        <v/>
      </c>
      <c r="X533" s="209">
        <v>32</v>
      </c>
      <c r="Y533" s="209" t="str">
        <f t="shared" si="21"/>
        <v/>
      </c>
      <c r="Z533" s="309" t="str" cm="1">
        <f t="array" aca="1" ref="Z533" ca="1">IFERROR(LEFT(Y533, MATCH(FALSE, ISNUMBER(MID(Y533, ROW(INDIRECT("1:"&amp;LEN(Y533)+1)), 1) *1), 0) -1),"")</f>
        <v/>
      </c>
      <c r="AA533" s="209" t="str">
        <f t="shared" ca="1" si="22"/>
        <v/>
      </c>
      <c r="AB533" s="209" t="str">
        <f ca="1">IFERROR(AA533*SUMPRODUCT(Items!A$242:A$254,Items!AQ$242:AQ$254)/SUM(Items!A$242:A$254),"")</f>
        <v/>
      </c>
    </row>
    <row r="534" spans="2:28" ht="17">
      <c r="B534" s="206" t="s">
        <v>1508</v>
      </c>
      <c r="C534" s="207" t="s">
        <v>32</v>
      </c>
      <c r="D534" s="207" t="s">
        <v>216</v>
      </c>
      <c r="E534" s="210" t="s">
        <v>1509</v>
      </c>
      <c r="F534" s="102" t="str">
        <f t="shared" si="19"/>
        <v>MBC</v>
      </c>
      <c r="W534" s="209" t="str">
        <f t="shared" ca="1" si="20"/>
        <v/>
      </c>
      <c r="X534" s="209">
        <v>33</v>
      </c>
      <c r="Y534" s="209" t="str">
        <f t="shared" si="21"/>
        <v/>
      </c>
      <c r="Z534" s="309" t="str" cm="1">
        <f t="array" aca="1" ref="Z534" ca="1">IFERROR(LEFT(Y534, MATCH(FALSE, ISNUMBER(MID(Y534, ROW(INDIRECT("1:"&amp;LEN(Y534)+1)), 1) *1), 0) -1),"")</f>
        <v/>
      </c>
      <c r="AA534" s="209" t="str">
        <f t="shared" ca="1" si="22"/>
        <v/>
      </c>
      <c r="AB534" s="209" t="str">
        <f ca="1">IFERROR(AA534*SUMPRODUCT(Items!A$242:A$254,Items!AQ$242:AQ$254)/SUM(Items!A$242:A$254),"")</f>
        <v/>
      </c>
    </row>
    <row r="535" spans="2:28" ht="17">
      <c r="B535" s="206" t="s">
        <v>1510</v>
      </c>
      <c r="C535" s="207" t="s">
        <v>446</v>
      </c>
      <c r="D535" s="207" t="s">
        <v>35</v>
      </c>
      <c r="E535" s="210" t="s">
        <v>447</v>
      </c>
      <c r="F535" s="102" t="str">
        <f t="shared" si="19"/>
        <v>AA</v>
      </c>
      <c r="W535" s="209" t="str">
        <f t="shared" ca="1" si="20"/>
        <v/>
      </c>
      <c r="X535" s="209">
        <v>34</v>
      </c>
      <c r="Y535" s="209" t="str">
        <f t="shared" si="21"/>
        <v/>
      </c>
      <c r="Z535" s="309" t="str" cm="1">
        <f t="array" aca="1" ref="Z535" ca="1">IFERROR(LEFT(Y535, MATCH(FALSE, ISNUMBER(MID(Y535, ROW(INDIRECT("1:"&amp;LEN(Y535)+1)), 1) *1), 0) -1),"")</f>
        <v/>
      </c>
      <c r="AA535" s="209" t="str">
        <f t="shared" ca="1" si="22"/>
        <v/>
      </c>
      <c r="AB535" s="209" t="str">
        <f ca="1">IFERROR(AA535*SUMPRODUCT(Items!A$242:A$254,Items!AQ$242:AQ$254)/SUM(Items!A$242:A$254),"")</f>
        <v/>
      </c>
    </row>
    <row r="536" spans="2:28" ht="17">
      <c r="B536" s="206" t="s">
        <v>1512</v>
      </c>
      <c r="C536" s="207" t="s">
        <v>342</v>
      </c>
      <c r="D536" s="207" t="s">
        <v>342</v>
      </c>
      <c r="F536" s="102" t="str">
        <f t="shared" si="19"/>
        <v>U-T</v>
      </c>
      <c r="W536" s="209" t="str">
        <f t="shared" ca="1" si="20"/>
        <v/>
      </c>
      <c r="X536" s="209">
        <v>35</v>
      </c>
      <c r="Y536" s="209" t="str">
        <f t="shared" si="21"/>
        <v/>
      </c>
      <c r="Z536" s="309" t="str" cm="1">
        <f t="array" aca="1" ref="Z536" ca="1">IFERROR(LEFT(Y536, MATCH(FALSE, ISNUMBER(MID(Y536, ROW(INDIRECT("1:"&amp;LEN(Y536)+1)), 1) *1), 0) -1),"")</f>
        <v/>
      </c>
      <c r="AA536" s="209" t="str">
        <f t="shared" ca="1" si="22"/>
        <v/>
      </c>
      <c r="AB536" s="209" t="str">
        <f ca="1">IFERROR(AA536*SUMPRODUCT(Items!A$242:A$254,Items!AQ$242:AQ$254)/SUM(Items!A$242:A$254),"")</f>
        <v/>
      </c>
    </row>
    <row r="537" spans="2:28" ht="17">
      <c r="B537" s="206" t="s">
        <v>1513</v>
      </c>
      <c r="C537" s="207" t="s">
        <v>216</v>
      </c>
      <c r="D537" s="207" t="s">
        <v>216</v>
      </c>
      <c r="E537" s="210" t="s">
        <v>1514</v>
      </c>
      <c r="F537" s="102" t="str">
        <f t="shared" si="19"/>
        <v>NNJ</v>
      </c>
      <c r="W537" s="209" t="str">
        <f t="shared" ca="1" si="20"/>
        <v/>
      </c>
      <c r="X537" s="209">
        <v>36</v>
      </c>
      <c r="Y537" s="209" t="str">
        <f t="shared" si="21"/>
        <v/>
      </c>
      <c r="Z537" s="309" t="str" cm="1">
        <f t="array" aca="1" ref="Z537" ca="1">IFERROR(LEFT(Y537, MATCH(FALSE, ISNUMBER(MID(Y537, ROW(INDIRECT("1:"&amp;LEN(Y537)+1)), 1) *1), 0) -1),"")</f>
        <v/>
      </c>
      <c r="AA537" s="209" t="str">
        <f t="shared" ca="1" si="22"/>
        <v/>
      </c>
      <c r="AB537" s="209" t="str">
        <f ca="1">IFERROR(AA537*SUMPRODUCT(Items!A$242:A$254,Items!AQ$242:AQ$254)/SUM(Items!A$242:A$254),"")</f>
        <v/>
      </c>
    </row>
    <row r="538" spans="2:28" ht="17">
      <c r="B538" s="206" t="s">
        <v>1515</v>
      </c>
      <c r="C538" s="207" t="s">
        <v>69</v>
      </c>
      <c r="D538" s="207" t="s">
        <v>216</v>
      </c>
      <c r="E538" s="210" t="s">
        <v>1516</v>
      </c>
      <c r="F538" s="102" t="str">
        <f t="shared" si="19"/>
        <v>ME</v>
      </c>
      <c r="W538" s="209" t="str">
        <f t="shared" ca="1" si="20"/>
        <v/>
      </c>
      <c r="X538" s="209">
        <v>37</v>
      </c>
      <c r="Y538" s="209" t="str">
        <f t="shared" si="21"/>
        <v/>
      </c>
      <c r="Z538" s="309" t="str" cm="1">
        <f t="array" aca="1" ref="Z538" ca="1">IFERROR(LEFT(Y538, MATCH(FALSE, ISNUMBER(MID(Y538, ROW(INDIRECT("1:"&amp;LEN(Y538)+1)), 1) *1), 0) -1),"")</f>
        <v/>
      </c>
      <c r="AA538" s="209" t="str">
        <f t="shared" ca="1" si="22"/>
        <v/>
      </c>
      <c r="AB538" s="209" t="str">
        <f ca="1">IFERROR(AA538*SUMPRODUCT(Items!A$242:A$254,Items!AQ$242:AQ$254)/SUM(Items!A$242:A$254),"")</f>
        <v/>
      </c>
    </row>
    <row r="539" spans="2:28" ht="17">
      <c r="B539" s="206" t="s">
        <v>1517</v>
      </c>
      <c r="C539" s="207" t="s">
        <v>216</v>
      </c>
      <c r="D539" s="207" t="s">
        <v>216</v>
      </c>
      <c r="F539" s="102" t="str">
        <f t="shared" si="19"/>
        <v>ML</v>
      </c>
      <c r="G539" s="208" t="s">
        <v>1518</v>
      </c>
      <c r="W539" s="209" t="str">
        <f t="shared" ca="1" si="20"/>
        <v/>
      </c>
      <c r="X539" s="209">
        <v>38</v>
      </c>
      <c r="Y539" s="209" t="str">
        <f t="shared" si="21"/>
        <v/>
      </c>
      <c r="Z539" s="309" t="str" cm="1">
        <f t="array" aca="1" ref="Z539" ca="1">IFERROR(LEFT(Y539, MATCH(FALSE, ISNUMBER(MID(Y539, ROW(INDIRECT("1:"&amp;LEN(Y539)+1)), 1) *1), 0) -1),"")</f>
        <v/>
      </c>
      <c r="AA539" s="209" t="str">
        <f t="shared" ca="1" si="22"/>
        <v/>
      </c>
      <c r="AB539" s="209" t="str">
        <f ca="1">IFERROR(AA539*SUMPRODUCT(Items!A$242:A$254,Items!AQ$242:AQ$254)/SUM(Items!A$242:A$254),"")</f>
        <v/>
      </c>
    </row>
    <row r="540" spans="2:28" ht="17">
      <c r="B540" s="206" t="s">
        <v>1519</v>
      </c>
      <c r="C540" s="207" t="s">
        <v>216</v>
      </c>
      <c r="D540" s="207" t="s">
        <v>216</v>
      </c>
      <c r="E540" s="210" t="s">
        <v>1521</v>
      </c>
      <c r="F540" s="102" t="str">
        <f t="shared" si="19"/>
        <v>TP</v>
      </c>
      <c r="G540" s="217" t="s">
        <v>1520</v>
      </c>
      <c r="W540" s="209" t="str">
        <f t="shared" ca="1" si="20"/>
        <v/>
      </c>
      <c r="X540" s="209">
        <v>39</v>
      </c>
      <c r="Y540" s="209" t="str">
        <f t="shared" si="21"/>
        <v/>
      </c>
      <c r="Z540" s="309" t="str" cm="1">
        <f t="array" aca="1" ref="Z540" ca="1">IFERROR(LEFT(Y540, MATCH(FALSE, ISNUMBER(MID(Y540, ROW(INDIRECT("1:"&amp;LEN(Y540)+1)), 1) *1), 0) -1),"")</f>
        <v/>
      </c>
      <c r="AA540" s="209" t="str">
        <f t="shared" ca="1" si="22"/>
        <v/>
      </c>
      <c r="AB540" s="209" t="str">
        <f ca="1">IFERROR(AA540*SUMPRODUCT(Items!A$242:A$254,Items!AQ$242:AQ$254)/SUM(Items!A$242:A$254),"")</f>
        <v/>
      </c>
    </row>
    <row r="541" spans="2:28" ht="17">
      <c r="B541" s="206" t="s">
        <v>629</v>
      </c>
      <c r="C541" s="207" t="s">
        <v>960</v>
      </c>
      <c r="D541" s="207" t="s">
        <v>960</v>
      </c>
      <c r="E541" s="210" t="s">
        <v>1522</v>
      </c>
      <c r="F541" s="102" t="str">
        <f t="shared" si="19"/>
        <v>S</v>
      </c>
      <c r="W541" s="209" t="str">
        <f t="shared" ca="1" si="20"/>
        <v/>
      </c>
      <c r="X541" s="209">
        <v>40</v>
      </c>
      <c r="Y541" s="209" t="str">
        <f t="shared" si="21"/>
        <v/>
      </c>
      <c r="Z541" s="309" t="str" cm="1">
        <f t="array" aca="1" ref="Z541" ca="1">IFERROR(LEFT(Y541, MATCH(FALSE, ISNUMBER(MID(Y541, ROW(INDIRECT("1:"&amp;LEN(Y541)+1)), 1) *1), 0) -1),"")</f>
        <v/>
      </c>
      <c r="AA541" s="209" t="str">
        <f t="shared" ca="1" si="22"/>
        <v/>
      </c>
      <c r="AB541" s="209" t="str">
        <f ca="1">IFERROR(AA541*SUMPRODUCT(Items!A$242:A$254,Items!AQ$242:AQ$254)/SUM(Items!A$242:A$254),"")</f>
        <v/>
      </c>
    </row>
    <row r="542" spans="2:28" ht="17">
      <c r="B542" s="206" t="s">
        <v>1523</v>
      </c>
      <c r="C542" s="207" t="s">
        <v>1524</v>
      </c>
      <c r="D542" s="207" t="s">
        <v>35</v>
      </c>
      <c r="F542" s="102" t="str">
        <f t="shared" si="19"/>
        <v>PC</v>
      </c>
      <c r="W542" s="209" t="str">
        <f t="shared" ca="1" si="20"/>
        <v/>
      </c>
      <c r="X542" s="209">
        <v>41</v>
      </c>
      <c r="Y542" s="209" t="str">
        <f t="shared" si="21"/>
        <v/>
      </c>
      <c r="Z542" s="309" t="str" cm="1">
        <f t="array" aca="1" ref="Z542" ca="1">IFERROR(LEFT(Y542, MATCH(FALSE, ISNUMBER(MID(Y542, ROW(INDIRECT("1:"&amp;LEN(Y542)+1)), 1) *1), 0) -1),"")</f>
        <v/>
      </c>
      <c r="AA542" s="209" t="str">
        <f t="shared" ca="1" si="22"/>
        <v/>
      </c>
      <c r="AB542" s="209" t="str">
        <f ca="1">IFERROR(AA542*SUMPRODUCT(Items!A$242:A$254,Items!AQ$242:AQ$254)/SUM(Items!A$242:A$254),"")</f>
        <v/>
      </c>
    </row>
    <row r="543" spans="2:28" ht="17">
      <c r="B543" s="206" t="s">
        <v>1530</v>
      </c>
      <c r="C543" s="207" t="s">
        <v>1531</v>
      </c>
      <c r="D543" s="207" t="s">
        <v>35</v>
      </c>
      <c r="F543" s="102" t="str">
        <f t="shared" si="19"/>
        <v>MMF</v>
      </c>
      <c r="W543" s="209" t="str">
        <f t="shared" ca="1" si="20"/>
        <v/>
      </c>
      <c r="X543" s="209">
        <v>42</v>
      </c>
      <c r="Y543" s="209" t="str">
        <f t="shared" si="21"/>
        <v/>
      </c>
      <c r="Z543" s="309" t="str" cm="1">
        <f t="array" aca="1" ref="Z543" ca="1">IFERROR(LEFT(Y543, MATCH(FALSE, ISNUMBER(MID(Y543, ROW(INDIRECT("1:"&amp;LEN(Y543)+1)), 1) *1), 0) -1),"")</f>
        <v/>
      </c>
      <c r="AA543" s="209" t="str">
        <f t="shared" ca="1" si="22"/>
        <v/>
      </c>
      <c r="AB543" s="209" t="str">
        <f ca="1">IFERROR(AA543*SUMPRODUCT(Items!A$242:A$254,Items!AQ$242:AQ$254)/SUM(Items!A$242:A$254),"")</f>
        <v/>
      </c>
    </row>
    <row r="544" spans="2:28" ht="17">
      <c r="B544" s="206" t="s">
        <v>1532</v>
      </c>
      <c r="C544" s="207" t="s">
        <v>219</v>
      </c>
      <c r="D544" s="207" t="s">
        <v>216</v>
      </c>
      <c r="E544" s="210" t="s">
        <v>1534</v>
      </c>
      <c r="F544" s="102" t="str">
        <f t="shared" si="19"/>
        <v>AE</v>
      </c>
      <c r="G544" s="208" t="s">
        <v>1533</v>
      </c>
      <c r="W544" s="209" t="str">
        <f t="shared" ca="1" si="20"/>
        <v/>
      </c>
      <c r="X544" s="209">
        <v>43</v>
      </c>
      <c r="Y544" s="209" t="str">
        <f t="shared" si="21"/>
        <v/>
      </c>
      <c r="Z544" s="309" t="str" cm="1">
        <f t="array" aca="1" ref="Z544" ca="1">IFERROR(LEFT(Y544, MATCH(FALSE, ISNUMBER(MID(Y544, ROW(INDIRECT("1:"&amp;LEN(Y544)+1)), 1) *1), 0) -1),"")</f>
        <v/>
      </c>
      <c r="AA544" s="209" t="str">
        <f t="shared" ca="1" si="22"/>
        <v/>
      </c>
      <c r="AB544" s="209" t="str">
        <f ca="1">IFERROR(AA544*SUMPRODUCT(Items!A$242:A$254,Items!AQ$242:AQ$254)/SUM(Items!A$242:A$254),"")</f>
        <v/>
      </c>
    </row>
    <row r="545" spans="2:28" ht="17">
      <c r="B545" s="206" t="s">
        <v>1535</v>
      </c>
      <c r="C545" s="207" t="s">
        <v>1536</v>
      </c>
      <c r="D545" s="207" t="s">
        <v>216</v>
      </c>
      <c r="E545" s="210" t="s">
        <v>1537</v>
      </c>
      <c r="F545" s="102" t="str">
        <f t="shared" si="19"/>
        <v>ES</v>
      </c>
      <c r="W545" s="209" t="str">
        <f t="shared" ca="1" si="20"/>
        <v/>
      </c>
      <c r="X545" s="209">
        <v>44</v>
      </c>
      <c r="Y545" s="209" t="str">
        <f t="shared" si="21"/>
        <v/>
      </c>
      <c r="Z545" s="309" t="str" cm="1">
        <f t="array" aca="1" ref="Z545" ca="1">IFERROR(LEFT(Y545, MATCH(FALSE, ISNUMBER(MID(Y545, ROW(INDIRECT("1:"&amp;LEN(Y545)+1)), 1) *1), 0) -1),"")</f>
        <v/>
      </c>
      <c r="AA545" s="209" t="str">
        <f t="shared" ca="1" si="22"/>
        <v/>
      </c>
      <c r="AB545" s="209" t="str">
        <f ca="1">IFERROR(AA545*SUMPRODUCT(Items!A$242:A$254,Items!AQ$242:AQ$254)/SUM(Items!A$242:A$254),"")</f>
        <v/>
      </c>
    </row>
    <row r="546" spans="2:28" ht="17">
      <c r="B546" s="206" t="s">
        <v>1540</v>
      </c>
      <c r="C546" s="207" t="s">
        <v>216</v>
      </c>
      <c r="D546" s="207" t="s">
        <v>216</v>
      </c>
      <c r="E546" s="210" t="s">
        <v>1541</v>
      </c>
      <c r="F546" s="102" t="str">
        <f t="shared" si="19"/>
        <v>NK</v>
      </c>
      <c r="W546" s="209" t="str">
        <f t="shared" ca="1" si="20"/>
        <v/>
      </c>
      <c r="X546" s="209">
        <v>45</v>
      </c>
      <c r="Y546" s="209" t="str">
        <f t="shared" si="21"/>
        <v/>
      </c>
      <c r="Z546" s="309" t="str" cm="1">
        <f t="array" aca="1" ref="Z546" ca="1">IFERROR(LEFT(Y546, MATCH(FALSE, ISNUMBER(MID(Y546, ROW(INDIRECT("1:"&amp;LEN(Y546)+1)), 1) *1), 0) -1),"")</f>
        <v/>
      </c>
      <c r="AA546" s="209" t="str">
        <f t="shared" ca="1" si="22"/>
        <v/>
      </c>
      <c r="AB546" s="209" t="str">
        <f ca="1">IFERROR(AA546*SUMPRODUCT(Items!A$242:A$254,Items!AQ$242:AQ$254)/SUM(Items!A$242:A$254),"")</f>
        <v/>
      </c>
    </row>
    <row r="547" spans="2:28" ht="17">
      <c r="B547" s="206" t="s">
        <v>1542</v>
      </c>
      <c r="C547" s="207" t="s">
        <v>182</v>
      </c>
      <c r="D547" s="207" t="s">
        <v>216</v>
      </c>
      <c r="E547" s="210" t="s">
        <v>1543</v>
      </c>
      <c r="F547" s="102" t="str">
        <f t="shared" si="19"/>
        <v>S</v>
      </c>
      <c r="W547" s="209" t="str">
        <f t="shared" ca="1" si="20"/>
        <v/>
      </c>
      <c r="X547" s="209">
        <v>46</v>
      </c>
      <c r="Y547" s="209" t="str">
        <f t="shared" si="21"/>
        <v/>
      </c>
      <c r="Z547" s="309" t="str" cm="1">
        <f t="array" aca="1" ref="Z547" ca="1">IFERROR(LEFT(Y547, MATCH(FALSE, ISNUMBER(MID(Y547, ROW(INDIRECT("1:"&amp;LEN(Y547)+1)), 1) *1), 0) -1),"")</f>
        <v/>
      </c>
      <c r="AA547" s="209" t="str">
        <f t="shared" ca="1" si="22"/>
        <v/>
      </c>
      <c r="AB547" s="209" t="str">
        <f ca="1">IFERROR(AA547*SUMPRODUCT(Items!A$242:A$254,Items!AQ$242:AQ$254)/SUM(Items!A$242:A$254),"")</f>
        <v/>
      </c>
    </row>
    <row r="548" spans="2:28" ht="17">
      <c r="B548" s="206" t="s">
        <v>1544</v>
      </c>
      <c r="C548" s="207" t="s">
        <v>342</v>
      </c>
      <c r="D548" s="207" t="s">
        <v>342</v>
      </c>
      <c r="F548" s="102" t="str">
        <f t="shared" si="19"/>
        <v>D</v>
      </c>
      <c r="W548" s="209" t="str">
        <f t="shared" ca="1" si="20"/>
        <v/>
      </c>
      <c r="X548" s="209">
        <v>47</v>
      </c>
      <c r="Y548" s="209" t="str">
        <f t="shared" si="21"/>
        <v/>
      </c>
      <c r="Z548" s="309" t="str" cm="1">
        <f t="array" aca="1" ref="Z548" ca="1">IFERROR(LEFT(Y548, MATCH(FALSE, ISNUMBER(MID(Y548, ROW(INDIRECT("1:"&amp;LEN(Y548)+1)), 1) *1), 0) -1),"")</f>
        <v/>
      </c>
      <c r="AA548" s="209" t="str">
        <f t="shared" ca="1" si="22"/>
        <v/>
      </c>
      <c r="AB548" s="209" t="str">
        <f ca="1">IFERROR(AA548*SUMPRODUCT(Items!A$242:A$254,Items!AQ$242:AQ$254)/SUM(Items!A$242:A$254),"")</f>
        <v/>
      </c>
    </row>
    <row r="549" spans="2:28" ht="17">
      <c r="B549" s="206" t="s">
        <v>1547</v>
      </c>
      <c r="C549" s="207" t="s">
        <v>32</v>
      </c>
      <c r="D549" s="207" t="s">
        <v>216</v>
      </c>
      <c r="F549" s="102" t="str">
        <f t="shared" si="19"/>
        <v>NS</v>
      </c>
      <c r="W549" s="209" t="str">
        <f t="shared" ca="1" si="20"/>
        <v/>
      </c>
      <c r="X549" s="209">
        <v>48</v>
      </c>
      <c r="Y549" s="209" t="str">
        <f t="shared" si="21"/>
        <v/>
      </c>
      <c r="Z549" s="309" t="str" cm="1">
        <f t="array" aca="1" ref="Z549" ca="1">IFERROR(LEFT(Y549, MATCH(FALSE, ISNUMBER(MID(Y549, ROW(INDIRECT("1:"&amp;LEN(Y549)+1)), 1) *1), 0) -1),"")</f>
        <v/>
      </c>
      <c r="AA549" s="209" t="str">
        <f t="shared" ca="1" si="22"/>
        <v/>
      </c>
      <c r="AB549" s="209" t="str">
        <f ca="1">IFERROR(AA549*SUMPRODUCT(Items!A$242:A$254,Items!AQ$242:AQ$254)/SUM(Items!A$242:A$254),"")</f>
        <v/>
      </c>
    </row>
    <row r="550" spans="2:28" ht="17">
      <c r="B550" s="206" t="s">
        <v>1551</v>
      </c>
      <c r="C550" s="207" t="s">
        <v>216</v>
      </c>
      <c r="D550" s="207" t="s">
        <v>216</v>
      </c>
      <c r="E550" s="210" t="s">
        <v>1550</v>
      </c>
      <c r="F550" s="102" t="str">
        <f t="shared" si="19"/>
        <v>N</v>
      </c>
      <c r="W550" s="209" t="str">
        <f t="shared" ca="1" si="20"/>
        <v/>
      </c>
      <c r="X550" s="209">
        <v>49</v>
      </c>
      <c r="Y550" s="209" t="str">
        <f t="shared" si="21"/>
        <v/>
      </c>
      <c r="Z550" s="309" t="str" cm="1">
        <f t="array" aca="1" ref="Z550" ca="1">IFERROR(LEFT(Y550, MATCH(FALSE, ISNUMBER(MID(Y550, ROW(INDIRECT("1:"&amp;LEN(Y550)+1)), 1) *1), 0) -1),"")</f>
        <v/>
      </c>
      <c r="AA550" s="209" t="str">
        <f t="shared" ca="1" si="22"/>
        <v/>
      </c>
      <c r="AB550" s="209" t="str">
        <f ca="1">IFERROR(AA550*SUMPRODUCT(Items!A$242:A$254,Items!AQ$242:AQ$254)/SUM(Items!A$242:A$254),"")</f>
        <v/>
      </c>
    </row>
    <row r="551" spans="2:28" ht="17">
      <c r="B551" s="206" t="s">
        <v>1552</v>
      </c>
      <c r="C551" s="207" t="s">
        <v>216</v>
      </c>
      <c r="D551" s="207" t="s">
        <v>216</v>
      </c>
      <c r="E551" s="210" t="s">
        <v>1095</v>
      </c>
      <c r="F551" s="102" t="str">
        <f t="shared" si="19"/>
        <v>BA</v>
      </c>
      <c r="W551" s="209" t="str">
        <f t="shared" ca="1" si="20"/>
        <v/>
      </c>
      <c r="X551" s="209">
        <v>50</v>
      </c>
      <c r="Y551" s="209" t="str">
        <f t="shared" si="21"/>
        <v/>
      </c>
      <c r="Z551" s="309" t="str" cm="1">
        <f t="array" aca="1" ref="Z551" ca="1">IFERROR(LEFT(Y551, MATCH(FALSE, ISNUMBER(MID(Y551, ROW(INDIRECT("1:"&amp;LEN(Y551)+1)), 1) *1), 0) -1),"")</f>
        <v/>
      </c>
      <c r="AA551" s="209" t="str">
        <f t="shared" ca="1" si="22"/>
        <v/>
      </c>
      <c r="AB551" s="209" t="str">
        <f ca="1">IFERROR(AA551*SUMPRODUCT(Items!A$242:A$254,Items!AQ$242:AQ$254)/SUM(Items!A$242:A$254),"")</f>
        <v/>
      </c>
    </row>
    <row r="552" spans="2:28" ht="17">
      <c r="B552" s="206" t="s">
        <v>1554</v>
      </c>
      <c r="C552" s="207" t="s">
        <v>51</v>
      </c>
      <c r="D552" s="207" t="s">
        <v>51</v>
      </c>
      <c r="E552" s="210" t="s">
        <v>1555</v>
      </c>
      <c r="F552" s="102" t="str">
        <f t="shared" si="19"/>
        <v>ASAL</v>
      </c>
      <c r="G552" s="208" t="s">
        <v>1556</v>
      </c>
      <c r="W552" s="209" t="str">
        <f t="shared" ca="1" si="20"/>
        <v/>
      </c>
      <c r="X552" s="209">
        <v>51</v>
      </c>
      <c r="Y552" s="209" t="str">
        <f t="shared" si="21"/>
        <v/>
      </c>
      <c r="Z552" s="309" t="str" cm="1">
        <f t="array" aca="1" ref="Z552" ca="1">IFERROR(LEFT(Y552, MATCH(FALSE, ISNUMBER(MID(Y552, ROW(INDIRECT("1:"&amp;LEN(Y552)+1)), 1) *1), 0) -1),"")</f>
        <v/>
      </c>
      <c r="AA552" s="209" t="str">
        <f t="shared" ca="1" si="22"/>
        <v/>
      </c>
      <c r="AB552" s="209" t="str">
        <f ca="1">IFERROR(AA552*SUMPRODUCT(Items!A$242:A$254,Items!AQ$242:AQ$254)/SUM(Items!A$242:A$254),"")</f>
        <v/>
      </c>
    </row>
    <row r="553" spans="2:28" ht="17">
      <c r="B553" s="206" t="s">
        <v>1557</v>
      </c>
      <c r="C553" s="207" t="s">
        <v>216</v>
      </c>
      <c r="D553" s="207" t="s">
        <v>216</v>
      </c>
      <c r="E553" s="210" t="s">
        <v>1558</v>
      </c>
      <c r="F553" s="102" t="str">
        <f t="shared" si="19"/>
        <v>RA</v>
      </c>
      <c r="W553" s="209" t="str">
        <f t="shared" ca="1" si="20"/>
        <v/>
      </c>
      <c r="X553" s="209">
        <v>52</v>
      </c>
      <c r="Y553" s="209" t="str">
        <f t="shared" si="21"/>
        <v/>
      </c>
      <c r="Z553" s="309" t="str" cm="1">
        <f t="array" aca="1" ref="Z553" ca="1">IFERROR(LEFT(Y553, MATCH(FALSE, ISNUMBER(MID(Y553, ROW(INDIRECT("1:"&amp;LEN(Y553)+1)), 1) *1), 0) -1),"")</f>
        <v/>
      </c>
      <c r="AA553" s="209" t="str">
        <f t="shared" ca="1" si="22"/>
        <v/>
      </c>
      <c r="AB553" s="209" t="str">
        <f ca="1">IFERROR(AA553*SUMPRODUCT(Items!A$242:A$254,Items!AQ$242:AQ$254)/SUM(Items!A$242:A$254),"")</f>
        <v/>
      </c>
    </row>
    <row r="554" spans="2:28" ht="34">
      <c r="B554" s="206" t="s">
        <v>1560</v>
      </c>
      <c r="C554" s="207" t="s">
        <v>566</v>
      </c>
      <c r="D554" s="207" t="s">
        <v>216</v>
      </c>
      <c r="E554" s="210" t="s">
        <v>1561</v>
      </c>
      <c r="F554" s="102" t="str">
        <f t="shared" si="19"/>
        <v>CHUC</v>
      </c>
      <c r="W554" s="209" t="str">
        <f t="shared" ca="1" si="20"/>
        <v/>
      </c>
      <c r="X554" s="209">
        <v>53</v>
      </c>
      <c r="Y554" s="209" t="str">
        <f t="shared" si="21"/>
        <v/>
      </c>
      <c r="Z554" s="309" t="str" cm="1">
        <f t="array" aca="1" ref="Z554" ca="1">IFERROR(LEFT(Y554, MATCH(FALSE, ISNUMBER(MID(Y554, ROW(INDIRECT("1:"&amp;LEN(Y554)+1)), 1) *1), 0) -1),"")</f>
        <v/>
      </c>
      <c r="AA554" s="209" t="str">
        <f t="shared" ca="1" si="22"/>
        <v/>
      </c>
      <c r="AB554" s="209" t="str">
        <f ca="1">IFERROR(AA554*SUMPRODUCT(Items!A$242:A$254,Items!AQ$242:AQ$254)/SUM(Items!A$242:A$254),"")</f>
        <v/>
      </c>
    </row>
    <row r="555" spans="2:28" ht="17">
      <c r="B555" s="206" t="s">
        <v>1570</v>
      </c>
      <c r="C555" s="207" t="s">
        <v>352</v>
      </c>
      <c r="D555" s="207" t="s">
        <v>216</v>
      </c>
      <c r="E555" s="210" t="s">
        <v>1571</v>
      </c>
      <c r="F555" s="102" t="str">
        <f t="shared" si="19"/>
        <v>NB</v>
      </c>
      <c r="W555" s="209" t="str">
        <f t="shared" ca="1" si="20"/>
        <v/>
      </c>
      <c r="X555" s="209">
        <v>54</v>
      </c>
      <c r="Y555" s="209" t="str">
        <f t="shared" si="21"/>
        <v/>
      </c>
      <c r="Z555" s="309" t="str" cm="1">
        <f t="array" aca="1" ref="Z555" ca="1">IFERROR(LEFT(Y555, MATCH(FALSE, ISNUMBER(MID(Y555, ROW(INDIRECT("1:"&amp;LEN(Y555)+1)), 1) *1), 0) -1),"")</f>
        <v/>
      </c>
      <c r="AA555" s="209" t="str">
        <f t="shared" ca="1" si="22"/>
        <v/>
      </c>
      <c r="AB555" s="209" t="str">
        <f ca="1">IFERROR(AA555*SUMPRODUCT(Items!A$242:A$254,Items!AQ$242:AQ$254)/SUM(Items!A$242:A$254),"")</f>
        <v/>
      </c>
    </row>
    <row r="556" spans="2:28" ht="17">
      <c r="B556" s="206" t="s">
        <v>1572</v>
      </c>
      <c r="C556" s="207" t="s">
        <v>216</v>
      </c>
      <c r="D556" s="207" t="s">
        <v>216</v>
      </c>
      <c r="E556" s="210" t="s">
        <v>1573</v>
      </c>
      <c r="F556" s="102" t="str">
        <f t="shared" si="19"/>
        <v>R</v>
      </c>
      <c r="W556" s="209" t="str">
        <f t="shared" ca="1" si="20"/>
        <v/>
      </c>
      <c r="X556" s="209">
        <v>55</v>
      </c>
      <c r="Y556" s="209" t="str">
        <f t="shared" si="21"/>
        <v/>
      </c>
      <c r="Z556" s="309" t="str" cm="1">
        <f t="array" aca="1" ref="Z556" ca="1">IFERROR(LEFT(Y556, MATCH(FALSE, ISNUMBER(MID(Y556, ROW(INDIRECT("1:"&amp;LEN(Y556)+1)), 1) *1), 0) -1),"")</f>
        <v/>
      </c>
      <c r="AA556" s="209" t="str">
        <f t="shared" ca="1" si="22"/>
        <v/>
      </c>
      <c r="AB556" s="209" t="str">
        <f ca="1">IFERROR(AA556*SUMPRODUCT(Items!A$242:A$254,Items!AQ$242:AQ$254)/SUM(Items!A$242:A$254),"")</f>
        <v/>
      </c>
    </row>
    <row r="557" spans="2:28" ht="17">
      <c r="B557" s="206" t="s">
        <v>1574</v>
      </c>
      <c r="C557" s="207" t="s">
        <v>32</v>
      </c>
      <c r="D557" s="207" t="s">
        <v>216</v>
      </c>
      <c r="F557" s="102" t="str">
        <f t="shared" si="19"/>
        <v>DG</v>
      </c>
      <c r="W557" s="209" t="str">
        <f t="shared" ca="1" si="20"/>
        <v/>
      </c>
      <c r="X557" s="209">
        <v>56</v>
      </c>
      <c r="Y557" s="209" t="str">
        <f t="shared" si="21"/>
        <v/>
      </c>
      <c r="Z557" s="309" t="str" cm="1">
        <f t="array" aca="1" ref="Z557" ca="1">IFERROR(LEFT(Y557, MATCH(FALSE, ISNUMBER(MID(Y557, ROW(INDIRECT("1:"&amp;LEN(Y557)+1)), 1) *1), 0) -1),"")</f>
        <v/>
      </c>
      <c r="AA557" s="209" t="str">
        <f t="shared" ca="1" si="22"/>
        <v/>
      </c>
      <c r="AB557" s="209" t="str">
        <f ca="1">IFERROR(AA557*SUMPRODUCT(Items!A$242:A$254,Items!AQ$242:AQ$254)/SUM(Items!A$242:A$254),"")</f>
        <v/>
      </c>
    </row>
    <row r="558" spans="2:28" ht="17">
      <c r="B558" s="206" t="s">
        <v>1355</v>
      </c>
      <c r="C558" s="207" t="s">
        <v>295</v>
      </c>
      <c r="D558" s="207" t="s">
        <v>295</v>
      </c>
      <c r="E558" s="210" t="s">
        <v>309</v>
      </c>
      <c r="F558" s="102" t="str">
        <f t="shared" si="19"/>
        <v>CQ</v>
      </c>
      <c r="W558" s="209" t="str">
        <f t="shared" ca="1" si="20"/>
        <v/>
      </c>
      <c r="X558" s="209">
        <v>57</v>
      </c>
      <c r="Y558" s="209" t="str">
        <f t="shared" si="21"/>
        <v/>
      </c>
      <c r="Z558" s="309" t="str" cm="1">
        <f t="array" aca="1" ref="Z558" ca="1">IFERROR(LEFT(Y558, MATCH(FALSE, ISNUMBER(MID(Y558, ROW(INDIRECT("1:"&amp;LEN(Y558)+1)), 1) *1), 0) -1),"")</f>
        <v/>
      </c>
      <c r="AA558" s="209" t="str">
        <f t="shared" ca="1" si="22"/>
        <v/>
      </c>
      <c r="AB558" s="209" t="str">
        <f ca="1">IFERROR(AA558*SUMPRODUCT(Items!A$242:A$254,Items!AQ$242:AQ$254)/SUM(Items!A$242:A$254),"")</f>
        <v/>
      </c>
    </row>
    <row r="559" spans="2:28" ht="17">
      <c r="B559" s="206" t="s">
        <v>1634</v>
      </c>
      <c r="C559" s="207" t="s">
        <v>192</v>
      </c>
      <c r="D559" s="207" t="s">
        <v>216</v>
      </c>
      <c r="E559" s="210" t="s">
        <v>1577</v>
      </c>
      <c r="F559" s="102" t="str">
        <f t="shared" si="19"/>
        <v>ODC</v>
      </c>
      <c r="G559" s="208" t="s">
        <v>1576</v>
      </c>
      <c r="W559" s="209" t="str">
        <f t="shared" ca="1" si="20"/>
        <v/>
      </c>
      <c r="X559" s="209">
        <v>58</v>
      </c>
      <c r="Y559" s="209" t="str">
        <f t="shared" si="21"/>
        <v/>
      </c>
      <c r="Z559" s="309" t="str" cm="1">
        <f t="array" aca="1" ref="Z559" ca="1">IFERROR(LEFT(Y559, MATCH(FALSE, ISNUMBER(MID(Y559, ROW(INDIRECT("1:"&amp;LEN(Y559)+1)), 1) *1), 0) -1),"")</f>
        <v/>
      </c>
      <c r="AA559" s="209" t="str">
        <f t="shared" ca="1" si="22"/>
        <v/>
      </c>
      <c r="AB559" s="209" t="str">
        <f ca="1">IFERROR(AA559*SUMPRODUCT(Items!A$242:A$254,Items!AQ$242:AQ$254)/SUM(Items!A$242:A$254),"")</f>
        <v/>
      </c>
    </row>
    <row r="560" spans="2:28" ht="17">
      <c r="B560" s="206" t="s">
        <v>2429</v>
      </c>
      <c r="C560" s="207" t="s">
        <v>1579</v>
      </c>
      <c r="D560" s="207" t="s">
        <v>35</v>
      </c>
      <c r="E560" s="210" t="s">
        <v>1580</v>
      </c>
      <c r="F560" s="102" t="str">
        <f t="shared" si="19"/>
        <v>F-T</v>
      </c>
      <c r="W560" s="209" t="str">
        <f t="shared" ca="1" si="20"/>
        <v/>
      </c>
      <c r="X560" s="209">
        <v>59</v>
      </c>
      <c r="Y560" s="209" t="str">
        <f t="shared" si="21"/>
        <v/>
      </c>
      <c r="Z560" s="309" t="str" cm="1">
        <f t="array" aca="1" ref="Z560" ca="1">IFERROR(LEFT(Y560, MATCH(FALSE, ISNUMBER(MID(Y560, ROW(INDIRECT("1:"&amp;LEN(Y560)+1)), 1) *1), 0) -1),"")</f>
        <v/>
      </c>
      <c r="AA560" s="209" t="str">
        <f t="shared" ca="1" si="22"/>
        <v/>
      </c>
      <c r="AB560" s="209" t="str">
        <f ca="1">IFERROR(AA560*SUMPRODUCT(Items!A$242:A$254,Items!AQ$242:AQ$254)/SUM(Items!A$242:A$254),"")</f>
        <v/>
      </c>
    </row>
    <row r="561" spans="2:28" ht="17">
      <c r="B561" s="206" t="s">
        <v>1584</v>
      </c>
      <c r="C561" s="207" t="s">
        <v>1582</v>
      </c>
      <c r="D561" s="207" t="s">
        <v>216</v>
      </c>
      <c r="E561" s="210" t="s">
        <v>1583</v>
      </c>
      <c r="F561" s="102" t="str">
        <f t="shared" si="19"/>
        <v>G</v>
      </c>
      <c r="W561" s="209" t="str">
        <f t="shared" ca="1" si="20"/>
        <v/>
      </c>
      <c r="X561" s="209">
        <v>60</v>
      </c>
      <c r="Y561" s="209" t="str">
        <f t="shared" si="21"/>
        <v/>
      </c>
      <c r="Z561" s="309" t="str" cm="1">
        <f t="array" aca="1" ref="Z561" ca="1">IFERROR(LEFT(Y561, MATCH(FALSE, ISNUMBER(MID(Y561, ROW(INDIRECT("1:"&amp;LEN(Y561)+1)), 1) *1), 0) -1),"")</f>
        <v/>
      </c>
      <c r="AA561" s="209" t="str">
        <f t="shared" ca="1" si="22"/>
        <v/>
      </c>
      <c r="AB561" s="209" t="str">
        <f ca="1">IFERROR(AA561*SUMPRODUCT(Items!A$242:A$254,Items!AQ$242:AQ$254)/SUM(Items!A$242:A$254),"")</f>
        <v/>
      </c>
    </row>
    <row r="562" spans="2:28" ht="17">
      <c r="B562" s="206" t="s">
        <v>1585</v>
      </c>
      <c r="C562" s="207" t="s">
        <v>93</v>
      </c>
      <c r="D562" s="207" t="s">
        <v>216</v>
      </c>
      <c r="E562" s="210" t="s">
        <v>1586</v>
      </c>
      <c r="F562" s="102" t="str">
        <f t="shared" si="19"/>
        <v>FF</v>
      </c>
      <c r="W562" s="209" t="str">
        <f t="shared" ca="1" si="20"/>
        <v/>
      </c>
      <c r="X562" s="209">
        <v>61</v>
      </c>
      <c r="Y562" s="209" t="str">
        <f t="shared" ref="Y562:Y601" si="23">IFERROR(IF(LEN(Y$501)-LEN(SUBSTITUTE(Y$501,X$501,""))&lt;=1,"",MID(SUBSTITUTE(Y$501,X$501,"^^",X562),FIND("^^",SUBSTITUTE(Y$501,X$501,"^^",X562))+2,LEN(Y$501))),"")</f>
        <v/>
      </c>
      <c r="Z562" s="309" t="str" cm="1">
        <f t="array" aca="1" ref="Z562" ca="1">IFERROR(LEFT(Y562, MATCH(FALSE, ISNUMBER(MID(Y562, ROW(INDIRECT("1:"&amp;LEN(Y562)+1)), 1) *1), 0) -1),"")</f>
        <v/>
      </c>
      <c r="AA562" s="209" t="str">
        <f t="shared" ref="AA562:AA601" ca="1" si="24">IFERROR(VALUE(Z562),"")</f>
        <v/>
      </c>
      <c r="AB562" s="209" t="str">
        <f ca="1">IFERROR(AA562*SUMPRODUCT(Items!A$242:A$254,Items!AQ$242:AQ$254)/SUM(Items!A$242:A$254),"")</f>
        <v/>
      </c>
    </row>
    <row r="563" spans="2:28" ht="17">
      <c r="B563" s="206" t="s">
        <v>1587</v>
      </c>
      <c r="C563" s="207" t="s">
        <v>46</v>
      </c>
      <c r="D563" s="207" t="s">
        <v>216</v>
      </c>
      <c r="F563" s="102" t="str">
        <f t="shared" si="19"/>
        <v>MS</v>
      </c>
      <c r="W563" s="209" t="str">
        <f t="shared" ca="1" si="20"/>
        <v/>
      </c>
      <c r="X563" s="209">
        <v>62</v>
      </c>
      <c r="Y563" s="209" t="str">
        <f t="shared" si="23"/>
        <v/>
      </c>
      <c r="Z563" s="309" t="str" cm="1">
        <f t="array" aca="1" ref="Z563" ca="1">IFERROR(LEFT(Y563, MATCH(FALSE, ISNUMBER(MID(Y563, ROW(INDIRECT("1:"&amp;LEN(Y563)+1)), 1) *1), 0) -1),"")</f>
        <v/>
      </c>
      <c r="AA563" s="209" t="str">
        <f t="shared" ca="1" si="24"/>
        <v/>
      </c>
      <c r="AB563" s="209" t="str">
        <f ca="1">IFERROR(AA563*SUMPRODUCT(Items!A$242:A$254,Items!AQ$242:AQ$254)/SUM(Items!A$242:A$254),"")</f>
        <v/>
      </c>
    </row>
    <row r="564" spans="2:28" ht="17">
      <c r="B564" s="206" t="s">
        <v>1711</v>
      </c>
      <c r="C564" s="207" t="s">
        <v>182</v>
      </c>
      <c r="D564" s="207" t="s">
        <v>216</v>
      </c>
      <c r="E564" s="210" t="s">
        <v>1708</v>
      </c>
      <c r="F564" s="102" t="str">
        <f t="shared" si="19"/>
        <v>NA-A</v>
      </c>
      <c r="W564" s="209" t="str">
        <f t="shared" ca="1" si="20"/>
        <v/>
      </c>
      <c r="X564" s="209">
        <v>63</v>
      </c>
      <c r="Y564" s="209" t="str">
        <f t="shared" si="23"/>
        <v/>
      </c>
      <c r="Z564" s="309" t="str" cm="1">
        <f t="array" aca="1" ref="Z564" ca="1">IFERROR(LEFT(Y564, MATCH(FALSE, ISNUMBER(MID(Y564, ROW(INDIRECT("1:"&amp;LEN(Y564)+1)), 1) *1), 0) -1),"")</f>
        <v/>
      </c>
      <c r="AA564" s="209" t="str">
        <f t="shared" ca="1" si="24"/>
        <v/>
      </c>
      <c r="AB564" s="209" t="str">
        <f ca="1">IFERROR(AA564*SUMPRODUCT(Items!A$242:A$254,Items!AQ$242:AQ$254)/SUM(Items!A$242:A$254),"")</f>
        <v/>
      </c>
    </row>
    <row r="565" spans="2:28" ht="34">
      <c r="B565" s="206" t="s">
        <v>1709</v>
      </c>
      <c r="C565" s="207" t="s">
        <v>1399</v>
      </c>
      <c r="D565" s="207" t="s">
        <v>216</v>
      </c>
      <c r="E565" s="210" t="s">
        <v>1592</v>
      </c>
      <c r="F565" s="102" t="str">
        <f t="shared" si="19"/>
        <v>NA-N</v>
      </c>
      <c r="W565" s="209" t="str">
        <f t="shared" ca="1" si="20"/>
        <v/>
      </c>
      <c r="X565" s="209">
        <v>64</v>
      </c>
      <c r="Y565" s="209" t="str">
        <f t="shared" si="23"/>
        <v/>
      </c>
      <c r="Z565" s="309" t="str" cm="1">
        <f t="array" aca="1" ref="Z565" ca="1">IFERROR(LEFT(Y565, MATCH(FALSE, ISNUMBER(MID(Y565, ROW(INDIRECT("1:"&amp;LEN(Y565)+1)), 1) *1), 0) -1),"")</f>
        <v/>
      </c>
      <c r="AA565" s="209" t="str">
        <f t="shared" ca="1" si="24"/>
        <v/>
      </c>
      <c r="AB565" s="209" t="str">
        <f ca="1">IFERROR(AA565*SUMPRODUCT(Items!A$242:A$254,Items!AQ$242:AQ$254)/SUM(Items!A$242:A$254),"")</f>
        <v/>
      </c>
    </row>
    <row r="566" spans="2:28" ht="17">
      <c r="B566" s="206" t="s">
        <v>1710</v>
      </c>
      <c r="C566" s="207" t="s">
        <v>396</v>
      </c>
      <c r="D566" s="207" t="s">
        <v>216</v>
      </c>
      <c r="E566" s="210" t="s">
        <v>1593</v>
      </c>
      <c r="F566" s="102" t="str">
        <f t="shared" si="19"/>
        <v>NA-O</v>
      </c>
      <c r="W566" s="209" t="str">
        <f t="shared" ca="1" si="20"/>
        <v/>
      </c>
      <c r="X566" s="209">
        <v>65</v>
      </c>
      <c r="Y566" s="209" t="str">
        <f t="shared" si="23"/>
        <v/>
      </c>
      <c r="Z566" s="309" t="str" cm="1">
        <f t="array" aca="1" ref="Z566" ca="1">IFERROR(LEFT(Y566, MATCH(FALSE, ISNUMBER(MID(Y566, ROW(INDIRECT("1:"&amp;LEN(Y566)+1)), 1) *1), 0) -1),"")</f>
        <v/>
      </c>
      <c r="AA566" s="209" t="str">
        <f t="shared" ca="1" si="24"/>
        <v/>
      </c>
      <c r="AB566" s="209" t="str">
        <f ca="1">IFERROR(AA566*SUMPRODUCT(Items!A$242:A$254,Items!AQ$242:AQ$254)/SUM(Items!A$242:A$254),"")</f>
        <v/>
      </c>
    </row>
    <row r="567" spans="2:28" ht="17">
      <c r="B567" s="206" t="s">
        <v>1596</v>
      </c>
      <c r="C567" s="207" t="s">
        <v>35</v>
      </c>
      <c r="D567" s="207" t="s">
        <v>35</v>
      </c>
      <c r="E567" s="210" t="s">
        <v>1594</v>
      </c>
      <c r="F567" s="102" t="str">
        <f t="shared" si="19"/>
        <v>SEL</v>
      </c>
      <c r="G567" s="208" t="s">
        <v>1595</v>
      </c>
      <c r="W567" s="209" t="str">
        <f t="shared" ca="1" si="20"/>
        <v/>
      </c>
      <c r="X567" s="209">
        <v>66</v>
      </c>
      <c r="Y567" s="209" t="str">
        <f t="shared" si="23"/>
        <v/>
      </c>
      <c r="Z567" s="309" t="str" cm="1">
        <f t="array" aca="1" ref="Z567" ca="1">IFERROR(LEFT(Y567, MATCH(FALSE, ISNUMBER(MID(Y567, ROW(INDIRECT("1:"&amp;LEN(Y567)+1)), 1) *1), 0) -1),"")</f>
        <v/>
      </c>
      <c r="AA567" s="209" t="str">
        <f t="shared" ca="1" si="24"/>
        <v/>
      </c>
      <c r="AB567" s="209" t="str">
        <f ca="1">IFERROR(AA567*SUMPRODUCT(Items!A$242:A$254,Items!AQ$242:AQ$254)/SUM(Items!A$242:A$254),"")</f>
        <v/>
      </c>
    </row>
    <row r="568" spans="2:28" ht="17">
      <c r="B568" s="214" t="s">
        <v>1927</v>
      </c>
      <c r="C568" s="215" t="s">
        <v>1928</v>
      </c>
      <c r="D568" s="215" t="s">
        <v>216</v>
      </c>
      <c r="E568" s="216" t="s">
        <v>1594</v>
      </c>
      <c r="F568" s="102" t="str">
        <f t="shared" si="19"/>
        <v>SEL-</v>
      </c>
      <c r="G568" s="218" t="s">
        <v>1595</v>
      </c>
      <c r="W568" s="209" t="str">
        <f t="shared" ca="1" si="20"/>
        <v/>
      </c>
      <c r="X568" s="209">
        <v>67</v>
      </c>
      <c r="Y568" s="209" t="str">
        <f t="shared" si="23"/>
        <v/>
      </c>
      <c r="Z568" s="309" t="str" cm="1">
        <f t="array" aca="1" ref="Z568" ca="1">IFERROR(LEFT(Y568, MATCH(FALSE, ISNUMBER(MID(Y568, ROW(INDIRECT("1:"&amp;LEN(Y568)+1)), 1) *1), 0) -1),"")</f>
        <v/>
      </c>
      <c r="AA568" s="209" t="str">
        <f t="shared" ca="1" si="24"/>
        <v/>
      </c>
      <c r="AB568" s="209" t="str">
        <f ca="1">IFERROR(AA568*SUMPRODUCT(Items!A$242:A$254,Items!AQ$242:AQ$254)/SUM(Items!A$242:A$254),"")</f>
        <v/>
      </c>
    </row>
    <row r="569" spans="2:28" ht="17">
      <c r="B569" s="206" t="s">
        <v>1598</v>
      </c>
      <c r="C569" s="207" t="s">
        <v>274</v>
      </c>
      <c r="D569" s="207" t="s">
        <v>35</v>
      </c>
      <c r="E569" s="210" t="s">
        <v>1599</v>
      </c>
      <c r="F569" s="102" t="str">
        <f t="shared" si="19"/>
        <v>NA</v>
      </c>
      <c r="W569" s="209" t="str">
        <f t="shared" ca="1" si="20"/>
        <v/>
      </c>
      <c r="X569" s="209">
        <v>68</v>
      </c>
      <c r="Y569" s="209" t="str">
        <f t="shared" si="23"/>
        <v/>
      </c>
      <c r="Z569" s="309" t="str" cm="1">
        <f t="array" aca="1" ref="Z569" ca="1">IFERROR(LEFT(Y569, MATCH(FALSE, ISNUMBER(MID(Y569, ROW(INDIRECT("1:"&amp;LEN(Y569)+1)), 1) *1), 0) -1),"")</f>
        <v/>
      </c>
      <c r="AA569" s="209" t="str">
        <f t="shared" ca="1" si="24"/>
        <v/>
      </c>
      <c r="AB569" s="209" t="str">
        <f ca="1">IFERROR(AA569*SUMPRODUCT(Items!A$242:A$254,Items!AQ$242:AQ$254)/SUM(Items!A$242:A$254),"")</f>
        <v/>
      </c>
    </row>
    <row r="570" spans="2:28" ht="17">
      <c r="B570" s="206" t="s">
        <v>1600</v>
      </c>
      <c r="C570" s="207" t="s">
        <v>29</v>
      </c>
      <c r="D570" s="207" t="s">
        <v>1502</v>
      </c>
      <c r="E570" s="210" t="s">
        <v>1601</v>
      </c>
      <c r="F570" s="102" t="str">
        <f t="shared" si="19"/>
        <v>A</v>
      </c>
      <c r="W570" s="209" t="str">
        <f t="shared" ca="1" si="20"/>
        <v/>
      </c>
      <c r="X570" s="209">
        <v>69</v>
      </c>
      <c r="Y570" s="209" t="str">
        <f t="shared" si="23"/>
        <v/>
      </c>
      <c r="Z570" s="309" t="str" cm="1">
        <f t="array" aca="1" ref="Z570" ca="1">IFERROR(LEFT(Y570, MATCH(FALSE, ISNUMBER(MID(Y570, ROW(INDIRECT("1:"&amp;LEN(Y570)+1)), 1) *1), 0) -1),"")</f>
        <v/>
      </c>
      <c r="AA570" s="209" t="str">
        <f t="shared" ca="1" si="24"/>
        <v/>
      </c>
      <c r="AB570" s="209" t="str">
        <f ca="1">IFERROR(AA570*SUMPRODUCT(Items!A$242:A$254,Items!AQ$242:AQ$254)/SUM(Items!A$242:A$254),"")</f>
        <v/>
      </c>
    </row>
    <row r="571" spans="2:28" ht="17">
      <c r="B571" s="206" t="s">
        <v>1602</v>
      </c>
      <c r="C571" s="207" t="s">
        <v>414</v>
      </c>
      <c r="D571" s="207" t="s">
        <v>216</v>
      </c>
      <c r="E571" s="210" t="s">
        <v>1573</v>
      </c>
      <c r="F571" s="102" t="str">
        <f t="shared" si="19"/>
        <v>WL</v>
      </c>
      <c r="W571" s="209" t="str">
        <f t="shared" ca="1" si="20"/>
        <v/>
      </c>
      <c r="X571" s="209">
        <v>70</v>
      </c>
      <c r="Y571" s="209" t="str">
        <f t="shared" si="23"/>
        <v/>
      </c>
      <c r="Z571" s="309" t="str" cm="1">
        <f t="array" aca="1" ref="Z571" ca="1">IFERROR(LEFT(Y571, MATCH(FALSE, ISNUMBER(MID(Y571, ROW(INDIRECT("1:"&amp;LEN(Y571)+1)), 1) *1), 0) -1),"")</f>
        <v/>
      </c>
      <c r="AA571" s="209" t="str">
        <f t="shared" ca="1" si="24"/>
        <v/>
      </c>
      <c r="AB571" s="209" t="str">
        <f ca="1">IFERROR(AA571*SUMPRODUCT(Items!A$242:A$254,Items!AQ$242:AQ$254)/SUM(Items!A$242:A$254),"")</f>
        <v/>
      </c>
    </row>
    <row r="572" spans="2:28" ht="17">
      <c r="B572" s="206" t="s">
        <v>1603</v>
      </c>
      <c r="C572" s="207" t="s">
        <v>120</v>
      </c>
      <c r="D572" s="207" t="s">
        <v>216</v>
      </c>
      <c r="E572" s="210" t="s">
        <v>1573</v>
      </c>
      <c r="F572" s="102" t="str">
        <f t="shared" si="19"/>
        <v>CB</v>
      </c>
      <c r="W572" s="209" t="str">
        <f t="shared" ca="1" si="20"/>
        <v/>
      </c>
      <c r="X572" s="209">
        <v>71</v>
      </c>
      <c r="Y572" s="209" t="str">
        <f t="shared" si="23"/>
        <v/>
      </c>
      <c r="Z572" s="309" t="str" cm="1">
        <f t="array" aca="1" ref="Z572" ca="1">IFERROR(LEFT(Y572, MATCH(FALSE, ISNUMBER(MID(Y572, ROW(INDIRECT("1:"&amp;LEN(Y572)+1)), 1) *1), 0) -1),"")</f>
        <v/>
      </c>
      <c r="AA572" s="209" t="str">
        <f t="shared" ca="1" si="24"/>
        <v/>
      </c>
      <c r="AB572" s="209" t="str">
        <f ca="1">IFERROR(AA572*SUMPRODUCT(Items!A$242:A$254,Items!AQ$242:AQ$254)/SUM(Items!A$242:A$254),"")</f>
        <v/>
      </c>
    </row>
    <row r="573" spans="2:28" ht="17">
      <c r="B573" s="206" t="s">
        <v>1604</v>
      </c>
      <c r="C573" s="207" t="s">
        <v>120</v>
      </c>
      <c r="D573" s="207" t="s">
        <v>216</v>
      </c>
      <c r="E573" s="210" t="s">
        <v>1605</v>
      </c>
      <c r="F573" s="102" t="str">
        <f t="shared" si="19"/>
        <v>DF</v>
      </c>
      <c r="W573" s="209" t="str">
        <f t="shared" ca="1" si="20"/>
        <v/>
      </c>
      <c r="X573" s="209">
        <v>72</v>
      </c>
      <c r="Y573" s="209" t="str">
        <f t="shared" si="23"/>
        <v/>
      </c>
      <c r="Z573" s="309" t="str" cm="1">
        <f t="array" aca="1" ref="Z573" ca="1">IFERROR(LEFT(Y573, MATCH(FALSE, ISNUMBER(MID(Y573, ROW(INDIRECT("1:"&amp;LEN(Y573)+1)), 1) *1), 0) -1),"")</f>
        <v/>
      </c>
      <c r="AA573" s="209" t="str">
        <f t="shared" ca="1" si="24"/>
        <v/>
      </c>
      <c r="AB573" s="209" t="str">
        <f ca="1">IFERROR(AA573*SUMPRODUCT(Items!A$242:A$254,Items!AQ$242:AQ$254)/SUM(Items!A$242:A$254),"")</f>
        <v/>
      </c>
    </row>
    <row r="574" spans="2:28" ht="17">
      <c r="B574" s="206" t="s">
        <v>1606</v>
      </c>
      <c r="C574" s="207" t="s">
        <v>627</v>
      </c>
      <c r="D574" s="207" t="s">
        <v>216</v>
      </c>
      <c r="F574" s="102" t="str">
        <f t="shared" si="19"/>
        <v>SCL</v>
      </c>
      <c r="W574" s="209" t="str">
        <f t="shared" ca="1" si="20"/>
        <v/>
      </c>
      <c r="X574" s="209">
        <v>73</v>
      </c>
      <c r="Y574" s="209" t="str">
        <f t="shared" si="23"/>
        <v/>
      </c>
      <c r="Z574" s="309" t="str" cm="1">
        <f t="array" aca="1" ref="Z574" ca="1">IFERROR(LEFT(Y574, MATCH(FALSE, ISNUMBER(MID(Y574, ROW(INDIRECT("1:"&amp;LEN(Y574)+1)), 1) *1), 0) -1),"")</f>
        <v/>
      </c>
      <c r="AA574" s="209" t="str">
        <f t="shared" ca="1" si="24"/>
        <v/>
      </c>
      <c r="AB574" s="209" t="str">
        <f ca="1">IFERROR(AA574*SUMPRODUCT(Items!A$242:A$254,Items!AQ$242:AQ$254)/SUM(Items!A$242:A$254),"")</f>
        <v/>
      </c>
    </row>
    <row r="575" spans="2:28" ht="34">
      <c r="B575" s="206" t="s">
        <v>1610</v>
      </c>
      <c r="C575" s="207" t="s">
        <v>1608</v>
      </c>
      <c r="D575" s="207" t="s">
        <v>216</v>
      </c>
      <c r="E575" s="210" t="s">
        <v>1611</v>
      </c>
      <c r="F575" s="102" t="str">
        <f t="shared" si="19"/>
        <v>GI-G</v>
      </c>
      <c r="G575" s="208" t="s">
        <v>1609</v>
      </c>
      <c r="W575" s="209" t="str">
        <f t="shared" ca="1" si="20"/>
        <v/>
      </c>
      <c r="X575" s="209">
        <v>74</v>
      </c>
      <c r="Y575" s="209" t="str">
        <f t="shared" si="23"/>
        <v/>
      </c>
      <c r="Z575" s="309" t="str" cm="1">
        <f t="array" aca="1" ref="Z575" ca="1">IFERROR(LEFT(Y575, MATCH(FALSE, ISNUMBER(MID(Y575, ROW(INDIRECT("1:"&amp;LEN(Y575)+1)), 1) *1), 0) -1),"")</f>
        <v/>
      </c>
      <c r="AA575" s="209" t="str">
        <f t="shared" ca="1" si="24"/>
        <v/>
      </c>
      <c r="AB575" s="209" t="str">
        <f ca="1">IFERROR(AA575*SUMPRODUCT(Items!A$242:A$254,Items!AQ$242:AQ$254)/SUM(Items!A$242:A$254),"")</f>
        <v/>
      </c>
    </row>
    <row r="576" spans="2:28" ht="17">
      <c r="B576" s="206" t="s">
        <v>1612</v>
      </c>
      <c r="C576" s="207" t="s">
        <v>1613</v>
      </c>
      <c r="D576" s="207" t="s">
        <v>35</v>
      </c>
      <c r="E576" s="210" t="s">
        <v>1614</v>
      </c>
      <c r="F576" s="102" t="str">
        <f t="shared" si="19"/>
        <v>DTL</v>
      </c>
      <c r="G576" s="208" t="s">
        <v>1616</v>
      </c>
      <c r="W576" s="209" t="str">
        <f t="shared" ca="1" si="20"/>
        <v/>
      </c>
      <c r="X576" s="209">
        <v>75</v>
      </c>
      <c r="Y576" s="209" t="str">
        <f t="shared" si="23"/>
        <v/>
      </c>
      <c r="Z576" s="309" t="str" cm="1">
        <f t="array" aca="1" ref="Z576" ca="1">IFERROR(LEFT(Y576, MATCH(FALSE, ISNUMBER(MID(Y576, ROW(INDIRECT("1:"&amp;LEN(Y576)+1)), 1) *1), 0) -1),"")</f>
        <v/>
      </c>
      <c r="AA576" s="209" t="str">
        <f t="shared" ca="1" si="24"/>
        <v/>
      </c>
      <c r="AB576" s="209" t="str">
        <f ca="1">IFERROR(AA576*SUMPRODUCT(Items!A$242:A$254,Items!AQ$242:AQ$254)/SUM(Items!A$242:A$254),"")</f>
        <v/>
      </c>
    </row>
    <row r="577" spans="2:28" ht="17">
      <c r="B577" s="206" t="s">
        <v>1578</v>
      </c>
      <c r="C577" s="207" t="s">
        <v>216</v>
      </c>
      <c r="D577" s="207" t="s">
        <v>216</v>
      </c>
      <c r="E577" s="210" t="s">
        <v>1617</v>
      </c>
      <c r="F577" s="102" t="str">
        <f t="shared" si="19"/>
        <v>F</v>
      </c>
      <c r="W577" s="209" t="str">
        <f t="shared" ca="1" si="20"/>
        <v/>
      </c>
      <c r="X577" s="209">
        <v>76</v>
      </c>
      <c r="Y577" s="209" t="str">
        <f t="shared" si="23"/>
        <v/>
      </c>
      <c r="Z577" s="309" t="str" cm="1">
        <f t="array" aca="1" ref="Z577" ca="1">IFERROR(LEFT(Y577, MATCH(FALSE, ISNUMBER(MID(Y577, ROW(INDIRECT("1:"&amp;LEN(Y577)+1)), 1) *1), 0) -1),"")</f>
        <v/>
      </c>
      <c r="AA577" s="209" t="str">
        <f t="shared" ca="1" si="24"/>
        <v/>
      </c>
      <c r="AB577" s="209" t="str">
        <f ca="1">IFERROR(AA577*SUMPRODUCT(Items!A$242:A$254,Items!AQ$242:AQ$254)/SUM(Items!A$242:A$254),"")</f>
        <v/>
      </c>
    </row>
    <row r="578" spans="2:28" ht="17">
      <c r="B578" s="206" t="s">
        <v>1620</v>
      </c>
      <c r="C578" s="207" t="s">
        <v>1621</v>
      </c>
      <c r="D578" s="207" t="s">
        <v>1621</v>
      </c>
      <c r="E578" s="210" t="s">
        <v>1622</v>
      </c>
      <c r="F578" s="102" t="str">
        <f t="shared" si="19"/>
        <v>ST</v>
      </c>
      <c r="W578" s="209" t="str">
        <f t="shared" ca="1" si="20"/>
        <v/>
      </c>
      <c r="X578" s="209">
        <v>77</v>
      </c>
      <c r="Y578" s="209" t="str">
        <f t="shared" si="23"/>
        <v/>
      </c>
      <c r="Z578" s="309" t="str" cm="1">
        <f t="array" aca="1" ref="Z578" ca="1">IFERROR(LEFT(Y578, MATCH(FALSE, ISNUMBER(MID(Y578, ROW(INDIRECT("1:"&amp;LEN(Y578)+1)), 1) *1), 0) -1),"")</f>
        <v/>
      </c>
      <c r="AA578" s="209" t="str">
        <f t="shared" ca="1" si="24"/>
        <v/>
      </c>
      <c r="AB578" s="209" t="str">
        <f ca="1">IFERROR(AA578*SUMPRODUCT(Items!A$242:A$254,Items!AQ$242:AQ$254)/SUM(Items!A$242:A$254),"")</f>
        <v/>
      </c>
    </row>
    <row r="579" spans="2:28" ht="17">
      <c r="B579" s="206" t="s">
        <v>1623</v>
      </c>
      <c r="C579" s="207" t="s">
        <v>595</v>
      </c>
      <c r="D579" s="207" t="s">
        <v>216</v>
      </c>
      <c r="E579" s="210" t="s">
        <v>1624</v>
      </c>
      <c r="F579" s="102" t="str">
        <f t="shared" ref="F579:F642" si="25">UPPER(LEFT(B579,1)) &amp; IFERROR(UPPER(LEFT(MID(B579,FIND(" ",B579)+1,LEN(B579)),1)),"") &amp; IFERROR(UPPER(LEFT(MID(B579,FIND(" ",B579,FIND(" ",B579)+1)+1,LEN(B579)),1)),"") &amp; IFERROR(UPPER(LEFT(MID(B579,FIND(" ",B579,FIND(" ",B579,FIND(" ",B579)+1)+1)+1,LEN(B579)),1)),"")</f>
        <v>MC</v>
      </c>
      <c r="W579" s="209" t="str">
        <f t="shared" ca="1" si="20"/>
        <v/>
      </c>
      <c r="X579" s="209">
        <v>78</v>
      </c>
      <c r="Y579" s="209" t="str">
        <f t="shared" si="23"/>
        <v/>
      </c>
      <c r="Z579" s="309" t="str" cm="1">
        <f t="array" aca="1" ref="Z579" ca="1">IFERROR(LEFT(Y579, MATCH(FALSE, ISNUMBER(MID(Y579, ROW(INDIRECT("1:"&amp;LEN(Y579)+1)), 1) *1), 0) -1),"")</f>
        <v/>
      </c>
      <c r="AA579" s="209" t="str">
        <f t="shared" ca="1" si="24"/>
        <v/>
      </c>
      <c r="AB579" s="209" t="str">
        <f ca="1">IFERROR(AA579*SUMPRODUCT(Items!A$242:A$254,Items!AQ$242:AQ$254)/SUM(Items!A$242:A$254),"")</f>
        <v/>
      </c>
    </row>
    <row r="580" spans="2:28" ht="17">
      <c r="B580" s="206" t="s">
        <v>1627</v>
      </c>
      <c r="C580" s="207" t="s">
        <v>305</v>
      </c>
      <c r="D580" s="207" t="s">
        <v>305</v>
      </c>
      <c r="F580" s="102" t="str">
        <f t="shared" si="25"/>
        <v>MS-S</v>
      </c>
      <c r="W580" s="209" t="str">
        <f t="shared" ca="1" si="20"/>
        <v/>
      </c>
      <c r="X580" s="209">
        <v>79</v>
      </c>
      <c r="Y580" s="209" t="str">
        <f t="shared" si="23"/>
        <v/>
      </c>
      <c r="Z580" s="309" t="str" cm="1">
        <f t="array" aca="1" ref="Z580" ca="1">IFERROR(LEFT(Y580, MATCH(FALSE, ISNUMBER(MID(Y580, ROW(INDIRECT("1:"&amp;LEN(Y580)+1)), 1) *1), 0) -1),"")</f>
        <v/>
      </c>
      <c r="AA580" s="209" t="str">
        <f t="shared" ca="1" si="24"/>
        <v/>
      </c>
      <c r="AB580" s="209" t="str">
        <f ca="1">IFERROR(AA580*SUMPRODUCT(Items!A$242:A$254,Items!AQ$242:AQ$254)/SUM(Items!A$242:A$254),"")</f>
        <v/>
      </c>
    </row>
    <row r="581" spans="2:28" ht="17">
      <c r="B581" s="206" t="s">
        <v>1628</v>
      </c>
      <c r="C581" s="207" t="s">
        <v>305</v>
      </c>
      <c r="D581" s="207" t="s">
        <v>305</v>
      </c>
      <c r="F581" s="102" t="str">
        <f t="shared" si="25"/>
        <v>MS-P</v>
      </c>
      <c r="W581" s="209" t="str">
        <f t="shared" ref="W581:W601" ca="1" si="26">IF(AND($AB581&gt;=AB565,$AB581&lt;150),1,IF(AND($AB581&gt;=150,$AB581&lt;250),2,IF(AND($AB581&gt;=250,$AB581&lt;450),3,"")))</f>
        <v/>
      </c>
      <c r="X581" s="209">
        <v>80</v>
      </c>
      <c r="Y581" s="209" t="str">
        <f t="shared" si="23"/>
        <v/>
      </c>
      <c r="Z581" s="309" t="str" cm="1">
        <f t="array" aca="1" ref="Z581" ca="1">IFERROR(LEFT(Y581, MATCH(FALSE, ISNUMBER(MID(Y581, ROW(INDIRECT("1:"&amp;LEN(Y581)+1)), 1) *1), 0) -1),"")</f>
        <v/>
      </c>
      <c r="AA581" s="209" t="str">
        <f t="shared" ca="1" si="24"/>
        <v/>
      </c>
      <c r="AB581" s="209" t="str">
        <f ca="1">IFERROR(AA581*SUMPRODUCT(Items!A$242:A$254,Items!AQ$242:AQ$254)/SUM(Items!A$242:A$254),"")</f>
        <v/>
      </c>
    </row>
    <row r="582" spans="2:28" ht="17">
      <c r="B582" s="206" t="s">
        <v>1629</v>
      </c>
      <c r="C582" s="207" t="s">
        <v>305</v>
      </c>
      <c r="D582" s="207" t="s">
        <v>305</v>
      </c>
      <c r="F582" s="102" t="str">
        <f t="shared" si="25"/>
        <v>MS-L</v>
      </c>
      <c r="W582" s="209" t="str">
        <f t="shared" ca="1" si="26"/>
        <v/>
      </c>
      <c r="X582" s="209">
        <v>81</v>
      </c>
      <c r="Y582" s="209" t="str">
        <f t="shared" si="23"/>
        <v/>
      </c>
      <c r="Z582" s="309" t="str" cm="1">
        <f t="array" aca="1" ref="Z582" ca="1">IFERROR(LEFT(Y582, MATCH(FALSE, ISNUMBER(MID(Y582, ROW(INDIRECT("1:"&amp;LEN(Y582)+1)), 1) *1), 0) -1),"")</f>
        <v/>
      </c>
      <c r="AA582" s="209" t="str">
        <f t="shared" ca="1" si="24"/>
        <v/>
      </c>
      <c r="AB582" s="209" t="str">
        <f ca="1">IFERROR(AA582*SUMPRODUCT(Items!A$242:A$254,Items!AQ$242:AQ$254)/SUM(Items!A$242:A$254),"")</f>
        <v/>
      </c>
    </row>
    <row r="583" spans="2:28" ht="17">
      <c r="B583" s="206" t="s">
        <v>1630</v>
      </c>
      <c r="C583" s="207" t="s">
        <v>305</v>
      </c>
      <c r="D583" s="207" t="s">
        <v>305</v>
      </c>
      <c r="F583" s="102" t="str">
        <f t="shared" si="25"/>
        <v>MS-F</v>
      </c>
      <c r="W583" s="209" t="str">
        <f t="shared" ca="1" si="26"/>
        <v/>
      </c>
      <c r="X583" s="209">
        <v>82</v>
      </c>
      <c r="Y583" s="209" t="str">
        <f t="shared" si="23"/>
        <v/>
      </c>
      <c r="Z583" s="309" t="str" cm="1">
        <f t="array" aca="1" ref="Z583" ca="1">IFERROR(LEFT(Y583, MATCH(FALSE, ISNUMBER(MID(Y583, ROW(INDIRECT("1:"&amp;LEN(Y583)+1)), 1) *1), 0) -1),"")</f>
        <v/>
      </c>
      <c r="AA583" s="209" t="str">
        <f t="shared" ca="1" si="24"/>
        <v/>
      </c>
      <c r="AB583" s="209" t="str">
        <f ca="1">IFERROR(AA583*SUMPRODUCT(Items!A$242:A$254,Items!AQ$242:AQ$254)/SUM(Items!A$242:A$254),"")</f>
        <v/>
      </c>
    </row>
    <row r="584" spans="2:28" ht="17">
      <c r="B584" s="206" t="s">
        <v>1631</v>
      </c>
      <c r="C584" s="207" t="s">
        <v>305</v>
      </c>
      <c r="D584" s="207" t="s">
        <v>305</v>
      </c>
      <c r="F584" s="102" t="str">
        <f t="shared" si="25"/>
        <v>MS-B</v>
      </c>
      <c r="W584" s="209" t="str">
        <f t="shared" ca="1" si="26"/>
        <v/>
      </c>
      <c r="X584" s="209">
        <v>83</v>
      </c>
      <c r="Y584" s="209" t="str">
        <f t="shared" si="23"/>
        <v/>
      </c>
      <c r="Z584" s="309" t="str" cm="1">
        <f t="array" aca="1" ref="Z584" ca="1">IFERROR(LEFT(Y584, MATCH(FALSE, ISNUMBER(MID(Y584, ROW(INDIRECT("1:"&amp;LEN(Y584)+1)), 1) *1), 0) -1),"")</f>
        <v/>
      </c>
      <c r="AA584" s="209" t="str">
        <f t="shared" ca="1" si="24"/>
        <v/>
      </c>
      <c r="AB584" s="209" t="str">
        <f ca="1">IFERROR(AA584*SUMPRODUCT(Items!A$242:A$254,Items!AQ$242:AQ$254)/SUM(Items!A$242:A$254),"")</f>
        <v/>
      </c>
    </row>
    <row r="585" spans="2:28" ht="17">
      <c r="B585" s="206" t="s">
        <v>1632</v>
      </c>
      <c r="C585" s="207" t="s">
        <v>305</v>
      </c>
      <c r="D585" s="207" t="s">
        <v>305</v>
      </c>
      <c r="F585" s="102" t="str">
        <f t="shared" si="25"/>
        <v>MS-B</v>
      </c>
      <c r="W585" s="209" t="str">
        <f t="shared" ca="1" si="26"/>
        <v/>
      </c>
      <c r="X585" s="209">
        <v>84</v>
      </c>
      <c r="Y585" s="209" t="str">
        <f t="shared" si="23"/>
        <v/>
      </c>
      <c r="Z585" s="309" t="str" cm="1">
        <f t="array" aca="1" ref="Z585" ca="1">IFERROR(LEFT(Y585, MATCH(FALSE, ISNUMBER(MID(Y585, ROW(INDIRECT("1:"&amp;LEN(Y585)+1)), 1) *1), 0) -1),"")</f>
        <v/>
      </c>
      <c r="AA585" s="209" t="str">
        <f t="shared" ca="1" si="24"/>
        <v/>
      </c>
      <c r="AB585" s="209" t="str">
        <f ca="1">IFERROR(AA585*SUMPRODUCT(Items!A$242:A$254,Items!AQ$242:AQ$254)/SUM(Items!A$242:A$254),"")</f>
        <v/>
      </c>
    </row>
    <row r="586" spans="2:28" ht="17">
      <c r="B586" s="206" t="s">
        <v>1633</v>
      </c>
      <c r="C586" s="207" t="s">
        <v>305</v>
      </c>
      <c r="D586" s="207" t="s">
        <v>305</v>
      </c>
      <c r="F586" s="102" t="str">
        <f t="shared" si="25"/>
        <v>MS-A</v>
      </c>
      <c r="W586" s="209" t="str">
        <f t="shared" ca="1" si="26"/>
        <v/>
      </c>
      <c r="X586" s="209">
        <v>85</v>
      </c>
      <c r="Y586" s="209" t="str">
        <f t="shared" si="23"/>
        <v/>
      </c>
      <c r="Z586" s="309" t="str" cm="1">
        <f t="array" aca="1" ref="Z586" ca="1">IFERROR(LEFT(Y586, MATCH(FALSE, ISNUMBER(MID(Y586, ROW(INDIRECT("1:"&amp;LEN(Y586)+1)), 1) *1), 0) -1),"")</f>
        <v/>
      </c>
      <c r="AA586" s="209" t="str">
        <f t="shared" ca="1" si="24"/>
        <v/>
      </c>
      <c r="AB586" s="209" t="str">
        <f ca="1">IFERROR(AA586*SUMPRODUCT(Items!A$242:A$254,Items!AQ$242:AQ$254)/SUM(Items!A$242:A$254),"")</f>
        <v/>
      </c>
    </row>
    <row r="587" spans="2:28" ht="17">
      <c r="B587" s="206" t="s">
        <v>1635</v>
      </c>
      <c r="C587" s="207" t="s">
        <v>120</v>
      </c>
      <c r="D587" s="207" t="s">
        <v>216</v>
      </c>
      <c r="F587" s="102" t="str">
        <f t="shared" si="25"/>
        <v>ACI</v>
      </c>
      <c r="W587" s="209" t="str">
        <f t="shared" ca="1" si="26"/>
        <v/>
      </c>
      <c r="X587" s="209">
        <v>86</v>
      </c>
      <c r="Y587" s="209" t="str">
        <f t="shared" si="23"/>
        <v/>
      </c>
      <c r="Z587" s="309" t="str" cm="1">
        <f t="array" aca="1" ref="Z587" ca="1">IFERROR(LEFT(Y587, MATCH(FALSE, ISNUMBER(MID(Y587, ROW(INDIRECT("1:"&amp;LEN(Y587)+1)), 1) *1), 0) -1),"")</f>
        <v/>
      </c>
      <c r="AA587" s="209" t="str">
        <f t="shared" ca="1" si="24"/>
        <v/>
      </c>
      <c r="AB587" s="209" t="str">
        <f ca="1">IFERROR(AA587*SUMPRODUCT(Items!A$242:A$254,Items!AQ$242:AQ$254)/SUM(Items!A$242:A$254),"")</f>
        <v/>
      </c>
    </row>
    <row r="588" spans="2:28" ht="51">
      <c r="B588" s="206" t="s">
        <v>1649</v>
      </c>
      <c r="C588" s="207" t="s">
        <v>1650</v>
      </c>
      <c r="D588" s="207" t="s">
        <v>35</v>
      </c>
      <c r="F588" s="102" t="str">
        <f t="shared" si="25"/>
        <v>RA</v>
      </c>
      <c r="H588" s="219" t="s">
        <v>1651</v>
      </c>
      <c r="W588" s="209" t="str">
        <f t="shared" ca="1" si="26"/>
        <v/>
      </c>
      <c r="X588" s="209">
        <v>87</v>
      </c>
      <c r="Y588" s="209" t="str">
        <f t="shared" si="23"/>
        <v/>
      </c>
      <c r="Z588" s="309" t="str" cm="1">
        <f t="array" aca="1" ref="Z588" ca="1">IFERROR(LEFT(Y588, MATCH(FALSE, ISNUMBER(MID(Y588, ROW(INDIRECT("1:"&amp;LEN(Y588)+1)), 1) *1), 0) -1),"")</f>
        <v/>
      </c>
      <c r="AA588" s="209" t="str">
        <f t="shared" ca="1" si="24"/>
        <v/>
      </c>
      <c r="AB588" s="209" t="str">
        <f ca="1">IFERROR(AA588*SUMPRODUCT(Items!A$242:A$254,Items!AQ$242:AQ$254)/SUM(Items!A$242:A$254),"")</f>
        <v/>
      </c>
    </row>
    <row r="589" spans="2:28" ht="17">
      <c r="B589" s="206" t="s">
        <v>1653</v>
      </c>
      <c r="C589" s="207" t="s">
        <v>1654</v>
      </c>
      <c r="D589" s="207" t="s">
        <v>954</v>
      </c>
      <c r="F589" s="102" t="str">
        <f t="shared" si="25"/>
        <v>MO</v>
      </c>
      <c r="W589" s="209" t="str">
        <f t="shared" ca="1" si="26"/>
        <v/>
      </c>
      <c r="X589" s="209">
        <v>88</v>
      </c>
      <c r="Y589" s="209" t="str">
        <f t="shared" si="23"/>
        <v/>
      </c>
      <c r="Z589" s="309" t="str" cm="1">
        <f t="array" aca="1" ref="Z589" ca="1">IFERROR(LEFT(Y589, MATCH(FALSE, ISNUMBER(MID(Y589, ROW(INDIRECT("1:"&amp;LEN(Y589)+1)), 1) *1), 0) -1),"")</f>
        <v/>
      </c>
      <c r="AA589" s="209" t="str">
        <f t="shared" ca="1" si="24"/>
        <v/>
      </c>
      <c r="AB589" s="209" t="str">
        <f ca="1">IFERROR(AA589*SUMPRODUCT(Items!A$242:A$254,Items!AQ$242:AQ$254)/SUM(Items!A$242:A$254),"")</f>
        <v/>
      </c>
    </row>
    <row r="590" spans="2:28" ht="17">
      <c r="B590" s="206" t="s">
        <v>1559</v>
      </c>
      <c r="C590" s="207" t="s">
        <v>1656</v>
      </c>
      <c r="D590" s="207" t="s">
        <v>35</v>
      </c>
      <c r="E590" s="210" t="s">
        <v>1657</v>
      </c>
      <c r="F590" s="102" t="str">
        <f t="shared" si="25"/>
        <v>GN</v>
      </c>
      <c r="W590" s="209" t="str">
        <f t="shared" ca="1" si="26"/>
        <v/>
      </c>
      <c r="X590" s="209">
        <v>89</v>
      </c>
      <c r="Y590" s="209" t="str">
        <f t="shared" si="23"/>
        <v/>
      </c>
      <c r="Z590" s="309" t="str" cm="1">
        <f t="array" aca="1" ref="Z590" ca="1">IFERROR(LEFT(Y590, MATCH(FALSE, ISNUMBER(MID(Y590, ROW(INDIRECT("1:"&amp;LEN(Y590)+1)), 1) *1), 0) -1),"")</f>
        <v/>
      </c>
      <c r="AA590" s="209" t="str">
        <f t="shared" ca="1" si="24"/>
        <v/>
      </c>
      <c r="AB590" s="209" t="str">
        <f ca="1">IFERROR(AA590*SUMPRODUCT(Items!A$242:A$254,Items!AQ$242:AQ$254)/SUM(Items!A$242:A$254),"")</f>
        <v/>
      </c>
    </row>
    <row r="591" spans="2:28" ht="17">
      <c r="B591" s="206" t="s">
        <v>1666</v>
      </c>
      <c r="C591" s="207" t="s">
        <v>770</v>
      </c>
      <c r="D591" s="207" t="s">
        <v>35</v>
      </c>
      <c r="E591" s="210" t="s">
        <v>1667</v>
      </c>
      <c r="F591" s="102" t="str">
        <f t="shared" si="25"/>
        <v>GA</v>
      </c>
      <c r="W591" s="209" t="str">
        <f t="shared" ca="1" si="26"/>
        <v/>
      </c>
      <c r="X591" s="209">
        <v>90</v>
      </c>
      <c r="Y591" s="209" t="str">
        <f t="shared" si="23"/>
        <v/>
      </c>
      <c r="Z591" s="309" t="str" cm="1">
        <f t="array" aca="1" ref="Z591" ca="1">IFERROR(LEFT(Y591, MATCH(FALSE, ISNUMBER(MID(Y591, ROW(INDIRECT("1:"&amp;LEN(Y591)+1)), 1) *1), 0) -1),"")</f>
        <v/>
      </c>
      <c r="AA591" s="209" t="str">
        <f t="shared" ca="1" si="24"/>
        <v/>
      </c>
      <c r="AB591" s="209" t="str">
        <f ca="1">IFERROR(AA591*SUMPRODUCT(Items!A$242:A$254,Items!AQ$242:AQ$254)/SUM(Items!A$242:A$254),"")</f>
        <v/>
      </c>
    </row>
    <row r="592" spans="2:28" ht="17">
      <c r="B592" s="206" t="s">
        <v>1668</v>
      </c>
      <c r="C592" s="207" t="s">
        <v>1669</v>
      </c>
      <c r="D592" s="207" t="s">
        <v>216</v>
      </c>
      <c r="E592" s="210" t="s">
        <v>1670</v>
      </c>
      <c r="F592" s="102" t="str">
        <f t="shared" si="25"/>
        <v>A</v>
      </c>
      <c r="W592" s="209" t="str">
        <f t="shared" ca="1" si="26"/>
        <v/>
      </c>
      <c r="X592" s="209">
        <v>91</v>
      </c>
      <c r="Y592" s="209" t="str">
        <f t="shared" si="23"/>
        <v/>
      </c>
      <c r="Z592" s="309" t="str" cm="1">
        <f t="array" aca="1" ref="Z592" ca="1">IFERROR(LEFT(Y592, MATCH(FALSE, ISNUMBER(MID(Y592, ROW(INDIRECT("1:"&amp;LEN(Y592)+1)), 1) *1), 0) -1),"")</f>
        <v/>
      </c>
      <c r="AA592" s="209" t="str">
        <f t="shared" ca="1" si="24"/>
        <v/>
      </c>
      <c r="AB592" s="209" t="str">
        <f ca="1">IFERROR(AA592*SUMPRODUCT(Items!A$242:A$254,Items!AQ$242:AQ$254)/SUM(Items!A$242:A$254),"")</f>
        <v/>
      </c>
    </row>
    <row r="593" spans="2:28" ht="17">
      <c r="B593" s="206" t="s">
        <v>1671</v>
      </c>
      <c r="C593" s="207" t="s">
        <v>1672</v>
      </c>
      <c r="D593" s="207" t="s">
        <v>35</v>
      </c>
      <c r="E593" s="210" t="s">
        <v>1673</v>
      </c>
      <c r="F593" s="102" t="str">
        <f t="shared" si="25"/>
        <v>VSL</v>
      </c>
      <c r="W593" s="209" t="str">
        <f t="shared" ca="1" si="26"/>
        <v/>
      </c>
      <c r="X593" s="209">
        <v>92</v>
      </c>
      <c r="Y593" s="209" t="str">
        <f t="shared" si="23"/>
        <v/>
      </c>
      <c r="Z593" s="309" t="str" cm="1">
        <f t="array" aca="1" ref="Z593" ca="1">IFERROR(LEFT(Y593, MATCH(FALSE, ISNUMBER(MID(Y593, ROW(INDIRECT("1:"&amp;LEN(Y593)+1)), 1) *1), 0) -1),"")</f>
        <v/>
      </c>
      <c r="AA593" s="209" t="str">
        <f t="shared" ca="1" si="24"/>
        <v/>
      </c>
      <c r="AB593" s="209" t="str">
        <f ca="1">IFERROR(AA593*SUMPRODUCT(Items!A$242:A$254,Items!AQ$242:AQ$254)/SUM(Items!A$242:A$254),"")</f>
        <v/>
      </c>
    </row>
    <row r="594" spans="2:28" ht="17">
      <c r="B594" s="206" t="s">
        <v>1674</v>
      </c>
      <c r="C594" s="207" t="s">
        <v>120</v>
      </c>
      <c r="D594" s="207" t="s">
        <v>216</v>
      </c>
      <c r="E594" s="210" t="s">
        <v>1676</v>
      </c>
      <c r="F594" s="102" t="str">
        <f t="shared" si="25"/>
        <v>IVPG</v>
      </c>
      <c r="G594" s="217" t="s">
        <v>1675</v>
      </c>
      <c r="W594" s="209" t="str">
        <f t="shared" ca="1" si="26"/>
        <v/>
      </c>
      <c r="X594" s="209">
        <v>93</v>
      </c>
      <c r="Y594" s="209" t="str">
        <f t="shared" si="23"/>
        <v/>
      </c>
      <c r="Z594" s="309" t="str" cm="1">
        <f t="array" aca="1" ref="Z594" ca="1">IFERROR(LEFT(Y594, MATCH(FALSE, ISNUMBER(MID(Y594, ROW(INDIRECT("1:"&amp;LEN(Y594)+1)), 1) *1), 0) -1),"")</f>
        <v/>
      </c>
      <c r="AA594" s="209" t="str">
        <f t="shared" ca="1" si="24"/>
        <v/>
      </c>
      <c r="AB594" s="209" t="str">
        <f ca="1">IFERROR(AA594*SUMPRODUCT(Items!A$242:A$254,Items!AQ$242:AQ$254)/SUM(Items!A$242:A$254),"")</f>
        <v/>
      </c>
    </row>
    <row r="595" spans="2:28" ht="17">
      <c r="B595" s="206" t="s">
        <v>662</v>
      </c>
      <c r="C595" s="207" t="s">
        <v>1677</v>
      </c>
      <c r="D595" s="207" t="s">
        <v>954</v>
      </c>
      <c r="E595" s="210" t="s">
        <v>663</v>
      </c>
      <c r="F595" s="102" t="str">
        <f t="shared" si="25"/>
        <v>APS</v>
      </c>
      <c r="W595" s="209" t="str">
        <f t="shared" ca="1" si="26"/>
        <v/>
      </c>
      <c r="X595" s="209">
        <v>94</v>
      </c>
      <c r="Y595" s="209" t="str">
        <f t="shared" si="23"/>
        <v/>
      </c>
      <c r="Z595" s="309" t="str" cm="1">
        <f t="array" aca="1" ref="Z595" ca="1">IFERROR(LEFT(Y595, MATCH(FALSE, ISNUMBER(MID(Y595, ROW(INDIRECT("1:"&amp;LEN(Y595)+1)), 1) *1), 0) -1),"")</f>
        <v/>
      </c>
      <c r="AA595" s="209" t="str">
        <f t="shared" ca="1" si="24"/>
        <v/>
      </c>
      <c r="AB595" s="209" t="str">
        <f ca="1">IFERROR(AA595*SUMPRODUCT(Items!A$242:A$254,Items!AQ$242:AQ$254)/SUM(Items!A$242:A$254),"")</f>
        <v/>
      </c>
    </row>
    <row r="596" spans="2:28" ht="17">
      <c r="B596" s="206" t="s">
        <v>1680</v>
      </c>
      <c r="C596" s="207" t="s">
        <v>1681</v>
      </c>
      <c r="D596" s="207" t="s">
        <v>216</v>
      </c>
      <c r="E596" s="210" t="s">
        <v>1682</v>
      </c>
      <c r="F596" s="102" t="str">
        <f t="shared" si="25"/>
        <v>A-JP</v>
      </c>
      <c r="W596" s="209" t="str">
        <f t="shared" ca="1" si="26"/>
        <v/>
      </c>
      <c r="X596" s="209">
        <v>95</v>
      </c>
      <c r="Y596" s="209" t="str">
        <f t="shared" si="23"/>
        <v/>
      </c>
      <c r="Z596" s="309" t="str" cm="1">
        <f t="array" aca="1" ref="Z596" ca="1">IFERROR(LEFT(Y596, MATCH(FALSE, ISNUMBER(MID(Y596, ROW(INDIRECT("1:"&amp;LEN(Y596)+1)), 1) *1), 0) -1),"")</f>
        <v/>
      </c>
      <c r="AA596" s="209" t="str">
        <f t="shared" ca="1" si="24"/>
        <v/>
      </c>
      <c r="AB596" s="209" t="str">
        <f ca="1">IFERROR(AA596*SUMPRODUCT(Items!A$242:A$254,Items!AQ$242:AQ$254)/SUM(Items!A$242:A$254),"")</f>
        <v/>
      </c>
    </row>
    <row r="597" spans="2:28" ht="17">
      <c r="B597" s="206" t="s">
        <v>1683</v>
      </c>
      <c r="C597" s="207" t="s">
        <v>32</v>
      </c>
      <c r="D597" s="207" t="s">
        <v>216</v>
      </c>
      <c r="E597" s="210" t="s">
        <v>1685</v>
      </c>
      <c r="F597" s="102" t="str">
        <f t="shared" si="25"/>
        <v>O&amp;A</v>
      </c>
      <c r="G597" s="217" t="s">
        <v>1684</v>
      </c>
      <c r="W597" s="209" t="str">
        <f t="shared" ca="1" si="26"/>
        <v/>
      </c>
      <c r="X597" s="209">
        <v>96</v>
      </c>
      <c r="Y597" s="209" t="str">
        <f t="shared" si="23"/>
        <v/>
      </c>
      <c r="Z597" s="309" t="str" cm="1">
        <f t="array" aca="1" ref="Z597" ca="1">IFERROR(LEFT(Y597, MATCH(FALSE, ISNUMBER(MID(Y597, ROW(INDIRECT("1:"&amp;LEN(Y597)+1)), 1) *1), 0) -1),"")</f>
        <v/>
      </c>
      <c r="AA597" s="209" t="str">
        <f t="shared" ca="1" si="24"/>
        <v/>
      </c>
      <c r="AB597" s="209" t="str">
        <f ca="1">IFERROR(AA597*SUMPRODUCT(Items!A$242:A$254,Items!AQ$242:AQ$254)/SUM(Items!A$242:A$254),"")</f>
        <v/>
      </c>
    </row>
    <row r="598" spans="2:28" ht="17">
      <c r="B598" s="206" t="s">
        <v>1686</v>
      </c>
      <c r="C598" s="207" t="s">
        <v>216</v>
      </c>
      <c r="D598" s="207" t="s">
        <v>216</v>
      </c>
      <c r="E598" s="210" t="s">
        <v>1687</v>
      </c>
      <c r="F598" s="102" t="str">
        <f t="shared" si="25"/>
        <v>EAQ</v>
      </c>
      <c r="W598" s="209" t="str">
        <f t="shared" ca="1" si="26"/>
        <v/>
      </c>
      <c r="X598" s="209">
        <v>97</v>
      </c>
      <c r="Y598" s="209" t="str">
        <f t="shared" si="23"/>
        <v/>
      </c>
      <c r="Z598" s="309" t="str" cm="1">
        <f t="array" aca="1" ref="Z598" ca="1">IFERROR(LEFT(Y598, MATCH(FALSE, ISNUMBER(MID(Y598, ROW(INDIRECT("1:"&amp;LEN(Y598)+1)), 1) *1), 0) -1),"")</f>
        <v/>
      </c>
      <c r="AA598" s="209" t="str">
        <f t="shared" ca="1" si="24"/>
        <v/>
      </c>
      <c r="AB598" s="209" t="str">
        <f ca="1">IFERROR(AA598*SUMPRODUCT(Items!A$242:A$254,Items!AQ$242:AQ$254)/SUM(Items!A$242:A$254),"")</f>
        <v/>
      </c>
    </row>
    <row r="599" spans="2:28" ht="17">
      <c r="B599" s="206" t="s">
        <v>1688</v>
      </c>
      <c r="C599" s="207" t="s">
        <v>216</v>
      </c>
      <c r="D599" s="207" t="s">
        <v>216</v>
      </c>
      <c r="F599" s="102" t="str">
        <f t="shared" si="25"/>
        <v>A</v>
      </c>
      <c r="W599" s="209" t="str">
        <f t="shared" ca="1" si="26"/>
        <v/>
      </c>
      <c r="X599" s="209">
        <v>98</v>
      </c>
      <c r="Y599" s="209" t="str">
        <f t="shared" si="23"/>
        <v/>
      </c>
      <c r="Z599" s="309" t="str" cm="1">
        <f t="array" aca="1" ref="Z599" ca="1">IFERROR(LEFT(Y599, MATCH(FALSE, ISNUMBER(MID(Y599, ROW(INDIRECT("1:"&amp;LEN(Y599)+1)), 1) *1), 0) -1),"")</f>
        <v/>
      </c>
      <c r="AA599" s="209" t="str">
        <f t="shared" ca="1" si="24"/>
        <v/>
      </c>
      <c r="AB599" s="209" t="str">
        <f ca="1">IFERROR(AA599*SUMPRODUCT(Items!A$242:A$254,Items!AQ$242:AQ$254)/SUM(Items!A$242:A$254),"")</f>
        <v/>
      </c>
    </row>
    <row r="600" spans="2:28" ht="17">
      <c r="B600" s="206" t="s">
        <v>1692</v>
      </c>
      <c r="C600" s="207" t="s">
        <v>438</v>
      </c>
      <c r="D600" s="207" t="s">
        <v>216</v>
      </c>
      <c r="E600" s="210" t="s">
        <v>1691</v>
      </c>
      <c r="F600" s="102" t="str">
        <f t="shared" si="25"/>
        <v>A-T</v>
      </c>
      <c r="W600" s="209" t="str">
        <f t="shared" ca="1" si="26"/>
        <v/>
      </c>
      <c r="X600" s="209">
        <v>99</v>
      </c>
      <c r="Y600" s="209" t="str">
        <f t="shared" si="23"/>
        <v/>
      </c>
      <c r="Z600" s="309" t="str" cm="1">
        <f t="array" aca="1" ref="Z600" ca="1">IFERROR(LEFT(Y600, MATCH(FALSE, ISNUMBER(MID(Y600, ROW(INDIRECT("1:"&amp;LEN(Y600)+1)), 1) *1), 0) -1),"")</f>
        <v/>
      </c>
      <c r="AA600" s="209" t="str">
        <f t="shared" ca="1" si="24"/>
        <v/>
      </c>
      <c r="AB600" s="209" t="str">
        <f ca="1">IFERROR(AA600*SUMPRODUCT(Items!A$242:A$254,Items!AQ$242:AQ$254)/SUM(Items!A$242:A$254),"")</f>
        <v/>
      </c>
    </row>
    <row r="601" spans="2:28" ht="17">
      <c r="B601" s="206" t="s">
        <v>1693</v>
      </c>
      <c r="C601" s="207" t="s">
        <v>32</v>
      </c>
      <c r="D601" s="207" t="s">
        <v>216</v>
      </c>
      <c r="E601" s="210" t="s">
        <v>1694</v>
      </c>
      <c r="F601" s="102" t="str">
        <f t="shared" si="25"/>
        <v>AL</v>
      </c>
      <c r="W601" s="209" t="str">
        <f t="shared" ca="1" si="26"/>
        <v/>
      </c>
      <c r="X601" s="209">
        <v>100</v>
      </c>
      <c r="Y601" s="209" t="str">
        <f t="shared" si="23"/>
        <v/>
      </c>
      <c r="Z601" s="309" t="str" cm="1">
        <f t="array" aca="1" ref="Z601" ca="1">IFERROR(LEFT(Y601, MATCH(FALSE, ISNUMBER(MID(Y601, ROW(INDIRECT("1:"&amp;LEN(Y601)+1)), 1) *1), 0) -1),"")</f>
        <v/>
      </c>
      <c r="AA601" s="209" t="str">
        <f t="shared" ca="1" si="24"/>
        <v/>
      </c>
      <c r="AB601" s="209" t="str">
        <f ca="1">IFERROR(AA601*SUMPRODUCT(Items!A$242:A$254,Items!AQ$242:AQ$254)/SUM(Items!A$242:A$254),"")</f>
        <v/>
      </c>
    </row>
    <row r="602" spans="2:28" ht="17">
      <c r="B602" s="206" t="s">
        <v>1697</v>
      </c>
      <c r="C602" s="207" t="s">
        <v>38</v>
      </c>
      <c r="D602" s="207" t="s">
        <v>216</v>
      </c>
      <c r="E602" s="210" t="s">
        <v>1696</v>
      </c>
      <c r="F602" s="102" t="str">
        <f t="shared" si="25"/>
        <v>A</v>
      </c>
      <c r="Z602" s="309"/>
    </row>
    <row r="603" spans="2:28" ht="17">
      <c r="B603" s="206" t="s">
        <v>1700</v>
      </c>
      <c r="C603" s="207" t="s">
        <v>446</v>
      </c>
      <c r="D603" s="207" t="s">
        <v>35</v>
      </c>
      <c r="E603" s="210" t="s">
        <v>1701</v>
      </c>
      <c r="F603" s="102" t="str">
        <f t="shared" si="25"/>
        <v>DA</v>
      </c>
    </row>
    <row r="604" spans="2:28" ht="17">
      <c r="B604" s="206" t="s">
        <v>1702</v>
      </c>
      <c r="C604" s="207" t="s">
        <v>1621</v>
      </c>
      <c r="D604" s="207" t="s">
        <v>1621</v>
      </c>
      <c r="E604" s="210" t="s">
        <v>1703</v>
      </c>
      <c r="F604" s="102" t="str">
        <f t="shared" si="25"/>
        <v>AP</v>
      </c>
    </row>
    <row r="605" spans="2:28" ht="17">
      <c r="B605" s="206" t="s">
        <v>1704</v>
      </c>
      <c r="C605" s="207" t="s">
        <v>438</v>
      </c>
      <c r="D605" s="207" t="s">
        <v>216</v>
      </c>
      <c r="E605" s="210" t="s">
        <v>1705</v>
      </c>
      <c r="F605" s="102" t="str">
        <f t="shared" si="25"/>
        <v>S</v>
      </c>
      <c r="G605" s="208" t="s">
        <v>1706</v>
      </c>
    </row>
    <row r="606" spans="2:28" ht="17">
      <c r="B606" s="206" t="s">
        <v>1712</v>
      </c>
      <c r="C606" s="207" t="s">
        <v>342</v>
      </c>
      <c r="D606" s="207" t="s">
        <v>342</v>
      </c>
      <c r="E606" s="210" t="s">
        <v>1713</v>
      </c>
      <c r="F606" s="102" t="str">
        <f t="shared" si="25"/>
        <v>T-T</v>
      </c>
    </row>
    <row r="607" spans="2:28" ht="17">
      <c r="B607" s="206" t="s">
        <v>1714</v>
      </c>
      <c r="C607" s="207" t="s">
        <v>438</v>
      </c>
      <c r="D607" s="207" t="s">
        <v>216</v>
      </c>
      <c r="E607" s="210" t="s">
        <v>1715</v>
      </c>
      <c r="F607" s="102" t="str">
        <f t="shared" si="25"/>
        <v>MR</v>
      </c>
    </row>
    <row r="608" spans="2:28" ht="17">
      <c r="B608" s="206" t="s">
        <v>1716</v>
      </c>
      <c r="C608" s="207" t="s">
        <v>1719</v>
      </c>
      <c r="D608" s="207" t="s">
        <v>216</v>
      </c>
      <c r="E608" s="210" t="s">
        <v>1717</v>
      </c>
      <c r="F608" s="102" t="str">
        <f t="shared" si="25"/>
        <v>QIC</v>
      </c>
      <c r="G608" s="208" t="s">
        <v>1718</v>
      </c>
    </row>
    <row r="609" spans="2:8" ht="17">
      <c r="B609" s="206" t="s">
        <v>1720</v>
      </c>
      <c r="C609" s="207" t="s">
        <v>192</v>
      </c>
      <c r="D609" s="207" t="s">
        <v>216</v>
      </c>
      <c r="E609" s="210" t="s">
        <v>1721</v>
      </c>
      <c r="F609" s="102" t="str">
        <f t="shared" si="25"/>
        <v>T</v>
      </c>
    </row>
    <row r="610" spans="2:8" ht="17">
      <c r="B610" s="206" t="s">
        <v>1722</v>
      </c>
      <c r="C610" s="207" t="s">
        <v>342</v>
      </c>
      <c r="D610" s="207" t="s">
        <v>342</v>
      </c>
      <c r="E610" s="210" t="s">
        <v>1723</v>
      </c>
      <c r="F610" s="102" t="str">
        <f t="shared" si="25"/>
        <v>A</v>
      </c>
    </row>
    <row r="611" spans="2:8" ht="17">
      <c r="B611" s="206" t="s">
        <v>1724</v>
      </c>
      <c r="C611" s="207" t="s">
        <v>1725</v>
      </c>
      <c r="D611" s="207" t="s">
        <v>216</v>
      </c>
      <c r="F611" s="102" t="str">
        <f t="shared" si="25"/>
        <v>AK</v>
      </c>
    </row>
    <row r="612" spans="2:8" ht="17">
      <c r="B612" s="206" t="s">
        <v>1726</v>
      </c>
      <c r="C612" s="207" t="s">
        <v>182</v>
      </c>
      <c r="D612" s="207" t="s">
        <v>216</v>
      </c>
      <c r="E612" s="210" t="s">
        <v>1727</v>
      </c>
      <c r="F612" s="102" t="str">
        <f t="shared" si="25"/>
        <v>SE</v>
      </c>
      <c r="G612" s="208" t="s">
        <v>1728</v>
      </c>
      <c r="H612" s="219" t="s">
        <v>1730</v>
      </c>
    </row>
    <row r="613" spans="2:8" ht="17">
      <c r="B613" s="206" t="s">
        <v>1731</v>
      </c>
      <c r="C613" s="207" t="s">
        <v>216</v>
      </c>
      <c r="D613" s="207" t="s">
        <v>216</v>
      </c>
      <c r="E613" s="210" t="s">
        <v>1732</v>
      </c>
      <c r="F613" s="102" t="str">
        <f t="shared" si="25"/>
        <v>JA</v>
      </c>
    </row>
    <row r="614" spans="2:8" ht="17">
      <c r="B614" s="206" t="s">
        <v>1733</v>
      </c>
      <c r="C614" s="207" t="s">
        <v>971</v>
      </c>
      <c r="D614" s="207" t="s">
        <v>216</v>
      </c>
      <c r="E614" s="210" t="s">
        <v>1734</v>
      </c>
      <c r="F614" s="102" t="str">
        <f t="shared" si="25"/>
        <v>BS</v>
      </c>
    </row>
    <row r="615" spans="2:8" ht="17">
      <c r="B615" s="206" t="s">
        <v>1737</v>
      </c>
      <c r="C615" s="207" t="s">
        <v>1735</v>
      </c>
      <c r="D615" s="207" t="s">
        <v>957</v>
      </c>
      <c r="E615" s="210" t="s">
        <v>1736</v>
      </c>
      <c r="F615" s="102" t="str">
        <f t="shared" si="25"/>
        <v>E-E</v>
      </c>
    </row>
    <row r="616" spans="2:8" ht="34">
      <c r="B616" s="206" t="s">
        <v>1740</v>
      </c>
      <c r="C616" s="207" t="s">
        <v>1738</v>
      </c>
      <c r="D616" s="207" t="s">
        <v>216</v>
      </c>
      <c r="E616" s="210" t="s">
        <v>1739</v>
      </c>
      <c r="F616" s="102" t="str">
        <f t="shared" si="25"/>
        <v>MS</v>
      </c>
    </row>
    <row r="617" spans="2:8" ht="17">
      <c r="B617" s="206" t="s">
        <v>1743</v>
      </c>
      <c r="C617" s="207" t="s">
        <v>426</v>
      </c>
      <c r="D617" s="207" t="s">
        <v>216</v>
      </c>
      <c r="F617" s="102" t="str">
        <f t="shared" si="25"/>
        <v>AIS</v>
      </c>
    </row>
    <row r="618" spans="2:8" ht="34">
      <c r="B618" s="206" t="s">
        <v>1759</v>
      </c>
      <c r="C618" s="207" t="s">
        <v>35</v>
      </c>
      <c r="D618" s="207" t="s">
        <v>35</v>
      </c>
      <c r="E618" s="210" t="s">
        <v>1760</v>
      </c>
      <c r="F618" s="102" t="str">
        <f t="shared" si="25"/>
        <v>CWL</v>
      </c>
      <c r="G618" s="208" t="s">
        <v>1761</v>
      </c>
    </row>
    <row r="619" spans="2:8" ht="17">
      <c r="B619" s="206" t="s">
        <v>1762</v>
      </c>
      <c r="C619" s="207" t="s">
        <v>216</v>
      </c>
      <c r="D619" s="207" t="s">
        <v>216</v>
      </c>
      <c r="E619" s="210" t="s">
        <v>1763</v>
      </c>
      <c r="F619" s="102" t="str">
        <f t="shared" si="25"/>
        <v>R</v>
      </c>
    </row>
    <row r="620" spans="2:8" ht="17">
      <c r="B620" s="206" t="s">
        <v>1764</v>
      </c>
      <c r="C620" s="207" t="s">
        <v>216</v>
      </c>
      <c r="D620" s="207" t="s">
        <v>216</v>
      </c>
      <c r="E620" s="210" t="s">
        <v>1765</v>
      </c>
      <c r="F620" s="102" t="str">
        <f t="shared" si="25"/>
        <v>PA</v>
      </c>
    </row>
    <row r="621" spans="2:8" ht="17">
      <c r="B621" s="206" t="s">
        <v>2829</v>
      </c>
      <c r="C621" s="207" t="s">
        <v>216</v>
      </c>
      <c r="D621" s="207" t="s">
        <v>216</v>
      </c>
      <c r="E621" s="210" t="s">
        <v>1766</v>
      </c>
      <c r="F621" s="102" t="str">
        <f t="shared" si="25"/>
        <v>J-EC</v>
      </c>
    </row>
    <row r="622" spans="2:8" ht="17">
      <c r="B622" s="206" t="s">
        <v>1767</v>
      </c>
      <c r="C622" s="207" t="s">
        <v>803</v>
      </c>
      <c r="D622" s="207" t="s">
        <v>216</v>
      </c>
      <c r="E622" s="210" t="s">
        <v>1768</v>
      </c>
      <c r="F622" s="102" t="str">
        <f t="shared" si="25"/>
        <v>GA</v>
      </c>
    </row>
    <row r="623" spans="2:8" ht="17">
      <c r="B623" s="206" t="s">
        <v>1769</v>
      </c>
      <c r="C623" s="207" t="s">
        <v>1178</v>
      </c>
      <c r="D623" s="207" t="s">
        <v>216</v>
      </c>
      <c r="E623" s="210" t="s">
        <v>1770</v>
      </c>
      <c r="F623" s="102" t="str">
        <f t="shared" si="25"/>
        <v>LB</v>
      </c>
    </row>
    <row r="624" spans="2:8" ht="17">
      <c r="B624" s="206" t="s">
        <v>1772</v>
      </c>
      <c r="C624" s="207" t="s">
        <v>216</v>
      </c>
      <c r="D624" s="207" t="s">
        <v>216</v>
      </c>
      <c r="F624" s="102" t="str">
        <f t="shared" si="25"/>
        <v>KA</v>
      </c>
    </row>
    <row r="625" spans="2:7" ht="17">
      <c r="B625" s="206" t="s">
        <v>1774</v>
      </c>
      <c r="C625" s="207" t="s">
        <v>305</v>
      </c>
      <c r="D625" s="207" t="s">
        <v>305</v>
      </c>
      <c r="F625" s="102" t="str">
        <f t="shared" si="25"/>
        <v>H9LP</v>
      </c>
    </row>
    <row r="626" spans="2:7" ht="17">
      <c r="B626" s="206" t="s">
        <v>1776</v>
      </c>
      <c r="C626" s="207" t="s">
        <v>182</v>
      </c>
      <c r="D626" s="207" t="s">
        <v>216</v>
      </c>
      <c r="F626" s="102" t="str">
        <f t="shared" si="25"/>
        <v>SJTE</v>
      </c>
    </row>
    <row r="627" spans="2:7" ht="17">
      <c r="B627" s="206" t="s">
        <v>1781</v>
      </c>
      <c r="C627" s="207" t="s">
        <v>216</v>
      </c>
      <c r="D627" s="207" t="s">
        <v>216</v>
      </c>
      <c r="F627" s="102" t="str">
        <f t="shared" si="25"/>
        <v>IL</v>
      </c>
    </row>
    <row r="628" spans="2:7" ht="17">
      <c r="B628" s="206" t="s">
        <v>1782</v>
      </c>
      <c r="C628" s="207" t="s">
        <v>120</v>
      </c>
      <c r="D628" s="207" t="s">
        <v>216</v>
      </c>
      <c r="E628" s="210" t="s">
        <v>1783</v>
      </c>
      <c r="F628" s="102" t="str">
        <f t="shared" si="25"/>
        <v>E</v>
      </c>
    </row>
    <row r="629" spans="2:7" ht="17">
      <c r="B629" s="206" t="s">
        <v>1784</v>
      </c>
      <c r="C629" s="207" t="s">
        <v>342</v>
      </c>
      <c r="D629" s="207" t="s">
        <v>342</v>
      </c>
      <c r="E629" s="210" t="s">
        <v>1785</v>
      </c>
      <c r="F629" s="102" t="str">
        <f t="shared" si="25"/>
        <v>L</v>
      </c>
    </row>
    <row r="630" spans="2:7" ht="17">
      <c r="B630" s="206" t="s">
        <v>1786</v>
      </c>
      <c r="C630" s="207" t="s">
        <v>856</v>
      </c>
      <c r="D630" s="207" t="s">
        <v>856</v>
      </c>
      <c r="E630" s="210" t="s">
        <v>1787</v>
      </c>
      <c r="F630" s="102" t="str">
        <f t="shared" si="25"/>
        <v>UOEA</v>
      </c>
      <c r="G630" s="208" t="s">
        <v>1788</v>
      </c>
    </row>
    <row r="631" spans="2:7" ht="34">
      <c r="B631" s="206" t="s">
        <v>1789</v>
      </c>
      <c r="C631" s="207" t="s">
        <v>1790</v>
      </c>
      <c r="D631" s="207" t="s">
        <v>216</v>
      </c>
      <c r="F631" s="102" t="str">
        <f t="shared" si="25"/>
        <v>R</v>
      </c>
    </row>
    <row r="632" spans="2:7" ht="17">
      <c r="B632" s="206" t="s">
        <v>1791</v>
      </c>
      <c r="C632" s="207" t="s">
        <v>216</v>
      </c>
      <c r="D632" s="207" t="s">
        <v>216</v>
      </c>
      <c r="E632" s="210" t="s">
        <v>1</v>
      </c>
      <c r="F632" s="102" t="str">
        <f t="shared" si="25"/>
        <v>PC</v>
      </c>
    </row>
    <row r="633" spans="2:7" ht="17">
      <c r="B633" s="206" t="s">
        <v>1792</v>
      </c>
      <c r="C633" s="207" t="s">
        <v>29</v>
      </c>
      <c r="D633" s="207" t="s">
        <v>955</v>
      </c>
      <c r="E633" s="210" t="s">
        <v>1793</v>
      </c>
      <c r="F633" s="102" t="str">
        <f t="shared" si="25"/>
        <v>P</v>
      </c>
    </row>
    <row r="634" spans="2:7" ht="17">
      <c r="B634" s="206" t="s">
        <v>1794</v>
      </c>
      <c r="C634" s="207" t="s">
        <v>1579</v>
      </c>
      <c r="D634" s="207" t="s">
        <v>35</v>
      </c>
      <c r="E634" s="210" t="s">
        <v>1795</v>
      </c>
      <c r="F634" s="102" t="str">
        <f t="shared" si="25"/>
        <v>MMOG</v>
      </c>
      <c r="G634" s="208" t="s">
        <v>1796</v>
      </c>
    </row>
    <row r="635" spans="2:7" ht="34">
      <c r="B635" s="206" t="s">
        <v>1797</v>
      </c>
      <c r="C635" s="207" t="s">
        <v>1798</v>
      </c>
      <c r="D635" s="207" t="s">
        <v>35</v>
      </c>
      <c r="E635" s="210" t="s">
        <v>1795</v>
      </c>
      <c r="F635" s="102" t="str">
        <f t="shared" si="25"/>
        <v>CA</v>
      </c>
    </row>
    <row r="636" spans="2:7" ht="17">
      <c r="B636" s="206" t="s">
        <v>1800</v>
      </c>
      <c r="C636" s="207" t="s">
        <v>554</v>
      </c>
      <c r="D636" s="207" t="s">
        <v>216</v>
      </c>
      <c r="F636" s="102" t="str">
        <f t="shared" si="25"/>
        <v>D</v>
      </c>
    </row>
    <row r="637" spans="2:7" ht="17">
      <c r="B637" s="206" t="s">
        <v>1801</v>
      </c>
      <c r="C637" s="207" t="s">
        <v>1802</v>
      </c>
      <c r="D637" s="207" t="s">
        <v>216</v>
      </c>
      <c r="E637" s="210" t="s">
        <v>1803</v>
      </c>
      <c r="F637" s="102" t="str">
        <f t="shared" si="25"/>
        <v>R-SH</v>
      </c>
    </row>
    <row r="638" spans="2:7" ht="51">
      <c r="B638" s="206" t="s">
        <v>1811</v>
      </c>
      <c r="C638" s="207" t="s">
        <v>1812</v>
      </c>
      <c r="D638" s="207" t="s">
        <v>49</v>
      </c>
      <c r="E638" s="210" t="s">
        <v>1814</v>
      </c>
      <c r="F638" s="102" t="str">
        <f t="shared" si="25"/>
        <v>NL</v>
      </c>
      <c r="G638" s="208" t="s">
        <v>1813</v>
      </c>
    </row>
    <row r="639" spans="2:7" ht="17">
      <c r="B639" s="206" t="s">
        <v>1829</v>
      </c>
      <c r="C639" s="207" t="s">
        <v>1830</v>
      </c>
      <c r="D639" s="207" t="s">
        <v>216</v>
      </c>
      <c r="F639" s="102" t="str">
        <f t="shared" si="25"/>
        <v>RY</v>
      </c>
    </row>
    <row r="640" spans="2:7" ht="17">
      <c r="B640" s="206" t="s">
        <v>1845</v>
      </c>
      <c r="C640" s="207" t="s">
        <v>250</v>
      </c>
      <c r="D640" s="207" t="s">
        <v>216</v>
      </c>
      <c r="F640" s="102" t="str">
        <f t="shared" si="25"/>
        <v>MB</v>
      </c>
    </row>
    <row r="641" spans="2:7" ht="17">
      <c r="B641" s="206" t="s">
        <v>1847</v>
      </c>
      <c r="C641" s="207" t="s">
        <v>216</v>
      </c>
      <c r="D641" s="207" t="s">
        <v>216</v>
      </c>
      <c r="E641" s="210" t="s">
        <v>1848</v>
      </c>
      <c r="F641" s="102" t="str">
        <f t="shared" si="25"/>
        <v>PJ</v>
      </c>
    </row>
    <row r="642" spans="2:7" ht="17">
      <c r="B642" s="206" t="s">
        <v>1849</v>
      </c>
      <c r="C642" s="207" t="s">
        <v>1257</v>
      </c>
      <c r="D642" s="207" t="s">
        <v>1257</v>
      </c>
      <c r="E642" s="210" t="s">
        <v>1850</v>
      </c>
      <c r="F642" s="102" t="str">
        <f t="shared" si="25"/>
        <v>IKK</v>
      </c>
    </row>
    <row r="643" spans="2:7" ht="17">
      <c r="B643" s="206" t="s">
        <v>1854</v>
      </c>
      <c r="C643" s="207" t="s">
        <v>392</v>
      </c>
      <c r="D643" s="207" t="s">
        <v>216</v>
      </c>
      <c r="E643" s="210" t="s">
        <v>1853</v>
      </c>
      <c r="F643" s="102" t="str">
        <f t="shared" ref="F643:F706" si="27">UPPER(LEFT(B643,1)) &amp; IFERROR(UPPER(LEFT(MID(B643,FIND(" ",B643)+1,LEN(B643)),1)),"") &amp; IFERROR(UPPER(LEFT(MID(B643,FIND(" ",B643,FIND(" ",B643)+1)+1,LEN(B643)),1)),"") &amp; IFERROR(UPPER(LEFT(MID(B643,FIND(" ",B643,FIND(" ",B643,FIND(" ",B643)+1)+1)+1,LEN(B643)),1)),"")</f>
        <v>N-D</v>
      </c>
    </row>
    <row r="644" spans="2:7" ht="17">
      <c r="B644" s="206" t="s">
        <v>1855</v>
      </c>
      <c r="C644" s="207" t="s">
        <v>1178</v>
      </c>
      <c r="D644" s="207" t="s">
        <v>216</v>
      </c>
      <c r="E644" s="210" t="s">
        <v>1856</v>
      </c>
      <c r="F644" s="102" t="str">
        <f t="shared" si="27"/>
        <v>SRB</v>
      </c>
      <c r="G644" s="208" t="s">
        <v>1857</v>
      </c>
    </row>
    <row r="645" spans="2:7" ht="17">
      <c r="B645" s="206" t="s">
        <v>1858</v>
      </c>
      <c r="C645" s="207" t="s">
        <v>1859</v>
      </c>
      <c r="D645" s="207" t="s">
        <v>1859</v>
      </c>
      <c r="E645" s="210" t="s">
        <v>1860</v>
      </c>
      <c r="F645" s="102" t="str">
        <f t="shared" si="27"/>
        <v>LMZ</v>
      </c>
    </row>
    <row r="646" spans="2:7" ht="17">
      <c r="B646" s="206" t="s">
        <v>1862</v>
      </c>
      <c r="C646" s="207" t="s">
        <v>216</v>
      </c>
      <c r="D646" s="207" t="s">
        <v>216</v>
      </c>
      <c r="F646" s="102" t="str">
        <f t="shared" si="27"/>
        <v>KTH</v>
      </c>
    </row>
    <row r="647" spans="2:7" ht="17">
      <c r="B647" s="206" t="s">
        <v>1863</v>
      </c>
      <c r="C647" s="207" t="s">
        <v>466</v>
      </c>
      <c r="D647" s="207" t="s">
        <v>954</v>
      </c>
      <c r="F647" s="102" t="str">
        <f t="shared" si="27"/>
        <v>BS</v>
      </c>
    </row>
    <row r="648" spans="2:7" ht="17">
      <c r="B648" s="206" t="s">
        <v>1864</v>
      </c>
      <c r="C648" s="207" t="s">
        <v>274</v>
      </c>
      <c r="D648" s="207" t="s">
        <v>216</v>
      </c>
      <c r="E648" s="210" t="s">
        <v>1865</v>
      </c>
      <c r="F648" s="102" t="str">
        <f t="shared" si="27"/>
        <v>JA-J</v>
      </c>
    </row>
    <row r="649" spans="2:7" ht="17">
      <c r="B649" s="206" t="s">
        <v>1866</v>
      </c>
      <c r="C649" s="207" t="s">
        <v>1867</v>
      </c>
      <c r="D649" s="207" t="s">
        <v>216</v>
      </c>
      <c r="F649" s="102" t="str">
        <f t="shared" si="27"/>
        <v>ABG</v>
      </c>
      <c r="G649" s="208" t="s">
        <v>1184</v>
      </c>
    </row>
    <row r="650" spans="2:7" ht="17">
      <c r="B650" s="206" t="s">
        <v>1869</v>
      </c>
      <c r="C650" s="207" t="s">
        <v>216</v>
      </c>
      <c r="D650" s="207" t="s">
        <v>216</v>
      </c>
      <c r="E650" s="210" t="s">
        <v>1870</v>
      </c>
      <c r="F650" s="102" t="str">
        <f t="shared" si="27"/>
        <v>KICA</v>
      </c>
      <c r="G650" s="208" t="s">
        <v>1871</v>
      </c>
    </row>
    <row r="651" spans="2:7" ht="17">
      <c r="B651" s="206" t="s">
        <v>1872</v>
      </c>
      <c r="C651" s="207" t="s">
        <v>216</v>
      </c>
      <c r="D651" s="207" t="s">
        <v>216</v>
      </c>
      <c r="E651" s="210" t="s">
        <v>1873</v>
      </c>
      <c r="F651" s="102" t="str">
        <f t="shared" si="27"/>
        <v>KA</v>
      </c>
    </row>
    <row r="652" spans="2:7" ht="17">
      <c r="B652" s="206" t="s">
        <v>1874</v>
      </c>
      <c r="C652" s="207" t="s">
        <v>1875</v>
      </c>
      <c r="D652" s="207" t="s">
        <v>216</v>
      </c>
      <c r="F652" s="102" t="str">
        <f t="shared" si="27"/>
        <v>MA</v>
      </c>
    </row>
    <row r="653" spans="2:7" ht="17">
      <c r="B653" s="206" t="s">
        <v>1876</v>
      </c>
      <c r="C653" s="207" t="s">
        <v>117</v>
      </c>
      <c r="D653" s="207" t="s">
        <v>216</v>
      </c>
      <c r="E653" s="210" t="s">
        <v>1877</v>
      </c>
      <c r="F653" s="102" t="str">
        <f t="shared" si="27"/>
        <v>WD</v>
      </c>
    </row>
    <row r="654" spans="2:7" ht="17">
      <c r="B654" s="206" t="s">
        <v>1878</v>
      </c>
      <c r="C654" s="207" t="s">
        <v>1399</v>
      </c>
      <c r="D654" s="207" t="s">
        <v>216</v>
      </c>
      <c r="E654" s="210" t="s">
        <v>1879</v>
      </c>
      <c r="F654" s="102" t="str">
        <f t="shared" si="27"/>
        <v>PO</v>
      </c>
    </row>
    <row r="655" spans="2:7" ht="17">
      <c r="B655" s="206" t="s">
        <v>1880</v>
      </c>
      <c r="C655" s="207" t="s">
        <v>216</v>
      </c>
      <c r="D655" s="207" t="s">
        <v>216</v>
      </c>
      <c r="E655" s="207" t="s">
        <v>1881</v>
      </c>
      <c r="F655" s="102" t="str">
        <f t="shared" si="27"/>
        <v>D</v>
      </c>
    </row>
    <row r="656" spans="2:7" ht="17">
      <c r="B656" s="206" t="s">
        <v>1883</v>
      </c>
      <c r="C656" s="207" t="s">
        <v>216</v>
      </c>
      <c r="D656" s="207" t="s">
        <v>216</v>
      </c>
      <c r="E656" s="210" t="s">
        <v>1884</v>
      </c>
      <c r="F656" s="102" t="str">
        <f t="shared" si="27"/>
        <v>M</v>
      </c>
    </row>
    <row r="657" spans="2:8" ht="17">
      <c r="B657" s="206" t="s">
        <v>2440</v>
      </c>
      <c r="C657" s="207" t="s">
        <v>576</v>
      </c>
      <c r="D657" s="207" t="s">
        <v>1082</v>
      </c>
      <c r="E657" s="210" t="s">
        <v>1884</v>
      </c>
      <c r="F657" s="102" t="str">
        <f t="shared" si="27"/>
        <v>M-N</v>
      </c>
    </row>
    <row r="658" spans="2:8" ht="17">
      <c r="B658" s="206" t="s">
        <v>1903</v>
      </c>
      <c r="C658" s="207" t="s">
        <v>216</v>
      </c>
      <c r="D658" s="207" t="s">
        <v>216</v>
      </c>
      <c r="E658" s="210" t="s">
        <v>1904</v>
      </c>
      <c r="F658" s="102" t="str">
        <f t="shared" si="27"/>
        <v>I</v>
      </c>
      <c r="G658" s="208" t="s">
        <v>1905</v>
      </c>
    </row>
    <row r="659" spans="2:8" ht="17">
      <c r="B659" s="206" t="s">
        <v>1907</v>
      </c>
      <c r="C659" s="207" t="s">
        <v>1908</v>
      </c>
      <c r="D659" s="207" t="s">
        <v>35</v>
      </c>
      <c r="E659" s="220" t="s">
        <v>1909</v>
      </c>
      <c r="F659" s="102" t="str">
        <f t="shared" si="27"/>
        <v>GGC</v>
      </c>
      <c r="G659" s="208" t="s">
        <v>1906</v>
      </c>
    </row>
    <row r="660" spans="2:8" ht="17">
      <c r="B660" s="206" t="s">
        <v>1913</v>
      </c>
      <c r="C660" s="207" t="s">
        <v>57</v>
      </c>
      <c r="D660" s="207" t="s">
        <v>954</v>
      </c>
      <c r="F660" s="102" t="str">
        <f t="shared" si="27"/>
        <v>GM</v>
      </c>
    </row>
    <row r="661" spans="2:8" ht="17">
      <c r="B661" s="206" t="s">
        <v>1931</v>
      </c>
      <c r="C661" s="207" t="s">
        <v>216</v>
      </c>
      <c r="D661" s="207" t="s">
        <v>216</v>
      </c>
      <c r="E661" s="210" t="s">
        <v>1929</v>
      </c>
      <c r="F661" s="102" t="str">
        <f t="shared" si="27"/>
        <v>TO</v>
      </c>
      <c r="H661" s="219" t="s">
        <v>1930</v>
      </c>
    </row>
    <row r="662" spans="2:8" ht="17">
      <c r="B662" s="206" t="s">
        <v>1932</v>
      </c>
      <c r="C662" s="207" t="s">
        <v>438</v>
      </c>
      <c r="D662" s="207" t="s">
        <v>216</v>
      </c>
      <c r="E662" s="210" t="s">
        <v>2196</v>
      </c>
      <c r="F662" s="102" t="str">
        <f t="shared" si="27"/>
        <v>CS</v>
      </c>
    </row>
    <row r="663" spans="2:8" ht="17">
      <c r="B663" s="206" t="s">
        <v>1942</v>
      </c>
      <c r="C663" s="207" t="s">
        <v>1943</v>
      </c>
      <c r="D663" s="207" t="s">
        <v>216</v>
      </c>
      <c r="E663" s="210" t="s">
        <v>1944</v>
      </c>
      <c r="F663" s="102" t="str">
        <f t="shared" si="27"/>
        <v>JK</v>
      </c>
    </row>
    <row r="664" spans="2:8" ht="17">
      <c r="B664" s="206" t="s">
        <v>1946</v>
      </c>
      <c r="C664" s="207" t="s">
        <v>295</v>
      </c>
      <c r="D664" s="207" t="s">
        <v>295</v>
      </c>
      <c r="E664" s="210" t="s">
        <v>1947</v>
      </c>
      <c r="F664" s="102" t="str">
        <f t="shared" si="27"/>
        <v>A</v>
      </c>
    </row>
    <row r="665" spans="2:8" ht="17">
      <c r="B665" s="206" t="s">
        <v>2192</v>
      </c>
      <c r="C665" s="207" t="s">
        <v>2193</v>
      </c>
      <c r="D665" s="207" t="s">
        <v>216</v>
      </c>
      <c r="E665" s="210" t="s">
        <v>2194</v>
      </c>
      <c r="F665" s="102" t="str">
        <f t="shared" si="27"/>
        <v>PT</v>
      </c>
      <c r="H665" s="219" t="s">
        <v>2195</v>
      </c>
    </row>
    <row r="666" spans="2:8" ht="17">
      <c r="B666" s="206" t="s">
        <v>2322</v>
      </c>
      <c r="C666" s="207" t="s">
        <v>274</v>
      </c>
      <c r="D666" s="207" t="s">
        <v>216</v>
      </c>
      <c r="E666" s="210" t="s">
        <v>2323</v>
      </c>
      <c r="F666" s="102" t="str">
        <f t="shared" si="27"/>
        <v>EA</v>
      </c>
      <c r="H666" s="219" t="s">
        <v>2324</v>
      </c>
    </row>
    <row r="667" spans="2:8" ht="34">
      <c r="B667" s="206" t="s">
        <v>2325</v>
      </c>
      <c r="C667" s="207" t="s">
        <v>2326</v>
      </c>
      <c r="D667" s="207" t="s">
        <v>216</v>
      </c>
      <c r="E667" s="210" t="s">
        <v>2327</v>
      </c>
      <c r="F667" s="102" t="str">
        <f t="shared" si="27"/>
        <v>T</v>
      </c>
    </row>
    <row r="668" spans="2:8" ht="17">
      <c r="B668" s="206" t="s">
        <v>2328</v>
      </c>
      <c r="C668" s="207" t="s">
        <v>1536</v>
      </c>
      <c r="D668" s="207" t="s">
        <v>216</v>
      </c>
      <c r="E668" s="210" t="s">
        <v>1727</v>
      </c>
      <c r="F668" s="102" t="str">
        <f t="shared" si="27"/>
        <v>SICC</v>
      </c>
    </row>
    <row r="669" spans="2:8" ht="17">
      <c r="B669" s="206" t="s">
        <v>2329</v>
      </c>
      <c r="C669" s="207" t="s">
        <v>1536</v>
      </c>
      <c r="D669" s="207" t="s">
        <v>216</v>
      </c>
      <c r="E669" s="210" t="s">
        <v>1727</v>
      </c>
      <c r="F669" s="102" t="str">
        <f t="shared" si="27"/>
        <v>SICC</v>
      </c>
    </row>
    <row r="670" spans="2:8" ht="17">
      <c r="B670" s="206" t="s">
        <v>2331</v>
      </c>
      <c r="C670" s="207" t="s">
        <v>216</v>
      </c>
      <c r="D670" s="207" t="s">
        <v>216</v>
      </c>
      <c r="E670" s="210" t="s">
        <v>2332</v>
      </c>
      <c r="F670" s="102" t="str">
        <f t="shared" si="27"/>
        <v>B</v>
      </c>
    </row>
    <row r="671" spans="2:8" ht="17">
      <c r="B671" s="206" t="s">
        <v>2333</v>
      </c>
      <c r="C671" s="207" t="s">
        <v>801</v>
      </c>
      <c r="D671" s="207" t="s">
        <v>954</v>
      </c>
      <c r="F671" s="102" t="str">
        <f t="shared" si="27"/>
        <v>AK-A</v>
      </c>
    </row>
    <row r="672" spans="2:8" ht="17">
      <c r="B672" s="206" t="s">
        <v>2334</v>
      </c>
      <c r="C672" s="207" t="s">
        <v>612</v>
      </c>
      <c r="D672" s="207" t="s">
        <v>216</v>
      </c>
      <c r="E672" s="210" t="s">
        <v>2335</v>
      </c>
      <c r="F672" s="102" t="str">
        <f t="shared" si="27"/>
        <v>CA</v>
      </c>
    </row>
    <row r="673" spans="2:8" ht="17">
      <c r="B673" s="206" t="s">
        <v>2336</v>
      </c>
      <c r="C673" s="207" t="s">
        <v>2337</v>
      </c>
      <c r="D673" s="207" t="s">
        <v>955</v>
      </c>
      <c r="E673" s="210" t="s">
        <v>2338</v>
      </c>
      <c r="F673" s="102" t="str">
        <f t="shared" si="27"/>
        <v>MB</v>
      </c>
      <c r="H673" s="219" t="s">
        <v>2339</v>
      </c>
    </row>
    <row r="674" spans="2:8" ht="17">
      <c r="B674" s="206" t="s">
        <v>2356</v>
      </c>
      <c r="C674" s="207" t="s">
        <v>216</v>
      </c>
      <c r="D674" s="207" t="s">
        <v>216</v>
      </c>
      <c r="F674" s="102" t="str">
        <f t="shared" si="27"/>
        <v>AG</v>
      </c>
    </row>
    <row r="675" spans="2:8" ht="17">
      <c r="B675" s="206" t="s">
        <v>2357</v>
      </c>
      <c r="C675" s="207" t="s">
        <v>2358</v>
      </c>
      <c r="D675" s="207" t="s">
        <v>954</v>
      </c>
      <c r="E675" s="210" t="s">
        <v>2359</v>
      </c>
      <c r="F675" s="102" t="str">
        <f t="shared" si="27"/>
        <v>M</v>
      </c>
    </row>
    <row r="676" spans="2:8" ht="17">
      <c r="B676" s="206" t="s">
        <v>2360</v>
      </c>
      <c r="C676" s="207" t="s">
        <v>995</v>
      </c>
      <c r="D676" s="207" t="s">
        <v>955</v>
      </c>
      <c r="E676" s="210" t="s">
        <v>2361</v>
      </c>
      <c r="F676" s="102" t="str">
        <f t="shared" si="27"/>
        <v>EA</v>
      </c>
    </row>
    <row r="677" spans="2:8" ht="17">
      <c r="B677" s="206" t="s">
        <v>2362</v>
      </c>
      <c r="C677" s="207" t="s">
        <v>2363</v>
      </c>
      <c r="D677" s="207" t="s">
        <v>954</v>
      </c>
      <c r="E677" s="210" t="s">
        <v>2364</v>
      </c>
      <c r="F677" s="102" t="str">
        <f t="shared" si="27"/>
        <v>AB</v>
      </c>
    </row>
    <row r="678" spans="2:8" ht="51">
      <c r="B678" s="206" t="s">
        <v>2365</v>
      </c>
      <c r="C678" s="207" t="s">
        <v>2367</v>
      </c>
      <c r="D678" s="207" t="s">
        <v>216</v>
      </c>
      <c r="E678" s="210" t="s">
        <v>2366</v>
      </c>
      <c r="F678" s="102" t="str">
        <f t="shared" si="27"/>
        <v>EGAO</v>
      </c>
    </row>
    <row r="679" spans="2:8" ht="17">
      <c r="B679" s="206" t="s">
        <v>2368</v>
      </c>
      <c r="C679" s="207" t="s">
        <v>216</v>
      </c>
      <c r="D679" s="207" t="s">
        <v>216</v>
      </c>
      <c r="E679" s="210" t="s">
        <v>2369</v>
      </c>
      <c r="F679" s="102" t="str">
        <f t="shared" si="27"/>
        <v>J</v>
      </c>
    </row>
    <row r="680" spans="2:8" ht="34">
      <c r="B680" s="206" t="s">
        <v>2370</v>
      </c>
      <c r="C680" s="207" t="s">
        <v>2371</v>
      </c>
      <c r="D680" s="207" t="s">
        <v>216</v>
      </c>
      <c r="E680" s="210" t="s">
        <v>2372</v>
      </c>
      <c r="F680" s="102" t="str">
        <f t="shared" si="27"/>
        <v>DBA</v>
      </c>
    </row>
    <row r="681" spans="2:8" ht="17">
      <c r="B681" s="206" t="s">
        <v>2373</v>
      </c>
      <c r="C681" s="207" t="s">
        <v>216</v>
      </c>
      <c r="D681" s="207" t="s">
        <v>216</v>
      </c>
      <c r="F681" s="102" t="str">
        <f t="shared" si="27"/>
        <v>RB</v>
      </c>
    </row>
    <row r="682" spans="2:8" ht="17">
      <c r="B682" s="206" t="s">
        <v>2374</v>
      </c>
      <c r="C682" s="207" t="s">
        <v>216</v>
      </c>
      <c r="D682" s="207" t="s">
        <v>216</v>
      </c>
      <c r="E682" s="210" t="s">
        <v>2375</v>
      </c>
      <c r="F682" s="102" t="str">
        <f t="shared" si="27"/>
        <v>TO</v>
      </c>
    </row>
    <row r="683" spans="2:8" ht="17">
      <c r="B683" s="206" t="s">
        <v>2377</v>
      </c>
      <c r="C683" s="207" t="s">
        <v>2378</v>
      </c>
      <c r="D683" s="207" t="s">
        <v>51</v>
      </c>
      <c r="E683" s="210" t="s">
        <v>2379</v>
      </c>
      <c r="F683" s="102" t="str">
        <f t="shared" si="27"/>
        <v>PV</v>
      </c>
      <c r="G683" s="208" t="s">
        <v>2376</v>
      </c>
    </row>
    <row r="684" spans="2:8" ht="17">
      <c r="B684" s="206" t="s">
        <v>2380</v>
      </c>
      <c r="C684" s="207" t="s">
        <v>216</v>
      </c>
      <c r="D684" s="207" t="s">
        <v>216</v>
      </c>
      <c r="F684" s="102" t="str">
        <f t="shared" si="27"/>
        <v>T</v>
      </c>
    </row>
    <row r="685" spans="2:8" ht="17">
      <c r="B685" s="206" t="s">
        <v>2381</v>
      </c>
      <c r="C685" s="207" t="s">
        <v>49</v>
      </c>
      <c r="D685" s="207" t="s">
        <v>49</v>
      </c>
      <c r="F685" s="102" t="str">
        <f t="shared" si="27"/>
        <v>CB</v>
      </c>
    </row>
    <row r="686" spans="2:8" ht="17">
      <c r="B686" s="206" t="s">
        <v>2388</v>
      </c>
      <c r="C686" s="207" t="s">
        <v>216</v>
      </c>
      <c r="D686" s="207" t="s">
        <v>216</v>
      </c>
      <c r="E686" s="210" t="s">
        <v>2389</v>
      </c>
      <c r="F686" s="102" t="str">
        <f t="shared" si="27"/>
        <v>K</v>
      </c>
    </row>
    <row r="687" spans="2:8" ht="17">
      <c r="B687" s="206" t="s">
        <v>2390</v>
      </c>
      <c r="C687" s="207" t="s">
        <v>216</v>
      </c>
      <c r="D687" s="207" t="s">
        <v>216</v>
      </c>
      <c r="F687" s="102" t="str">
        <f t="shared" si="27"/>
        <v>AT</v>
      </c>
    </row>
    <row r="688" spans="2:8" ht="51">
      <c r="B688" s="206" t="s">
        <v>2391</v>
      </c>
      <c r="C688" s="207" t="s">
        <v>2392</v>
      </c>
      <c r="D688" s="207" t="s">
        <v>216</v>
      </c>
      <c r="E688" s="210" t="s">
        <v>680</v>
      </c>
      <c r="F688" s="102" t="str">
        <f t="shared" si="27"/>
        <v>KAGL</v>
      </c>
    </row>
    <row r="689" spans="2:6" ht="17">
      <c r="B689" s="206" t="s">
        <v>2393</v>
      </c>
      <c r="C689" s="207" t="s">
        <v>35</v>
      </c>
      <c r="D689" s="207" t="s">
        <v>216</v>
      </c>
      <c r="F689" s="102" t="str">
        <f t="shared" si="27"/>
        <v>ES</v>
      </c>
    </row>
    <row r="690" spans="2:6" ht="17">
      <c r="B690" s="206" t="s">
        <v>2394</v>
      </c>
      <c r="C690" s="207" t="s">
        <v>216</v>
      </c>
      <c r="D690" s="207" t="s">
        <v>216</v>
      </c>
      <c r="E690" s="210" t="s">
        <v>2395</v>
      </c>
      <c r="F690" s="102" t="str">
        <f t="shared" si="27"/>
        <v>KA</v>
      </c>
    </row>
    <row r="691" spans="2:6" ht="17">
      <c r="B691" s="206" t="s">
        <v>2396</v>
      </c>
      <c r="C691" s="207" t="s">
        <v>216</v>
      </c>
      <c r="D691" s="207" t="s">
        <v>216</v>
      </c>
      <c r="E691" s="210" t="s">
        <v>2397</v>
      </c>
      <c r="F691" s="102" t="str">
        <f t="shared" si="27"/>
        <v>IIKB</v>
      </c>
    </row>
    <row r="692" spans="2:6" ht="17">
      <c r="B692" s="206" t="s">
        <v>2398</v>
      </c>
      <c r="C692" s="207" t="s">
        <v>80</v>
      </c>
      <c r="D692" s="207" t="s">
        <v>216</v>
      </c>
      <c r="E692" s="210" t="s">
        <v>2399</v>
      </c>
      <c r="F692" s="102" t="str">
        <f t="shared" si="27"/>
        <v>PA</v>
      </c>
    </row>
    <row r="693" spans="2:6" ht="17">
      <c r="B693" s="206" t="s">
        <v>2400</v>
      </c>
      <c r="C693" s="207" t="s">
        <v>352</v>
      </c>
      <c r="D693" s="207" t="s">
        <v>216</v>
      </c>
      <c r="E693" s="210" t="s">
        <v>2401</v>
      </c>
      <c r="F693" s="102" t="str">
        <f t="shared" si="27"/>
        <v>ME</v>
      </c>
    </row>
    <row r="694" spans="2:6" ht="17">
      <c r="B694" s="206" t="s">
        <v>2402</v>
      </c>
      <c r="C694" s="207" t="s">
        <v>271</v>
      </c>
      <c r="D694" s="207" t="s">
        <v>216</v>
      </c>
      <c r="E694" s="210" t="s">
        <v>2403</v>
      </c>
      <c r="F694" s="102" t="str">
        <f t="shared" si="27"/>
        <v>KSA</v>
      </c>
    </row>
    <row r="695" spans="2:6" ht="17">
      <c r="B695" s="206" t="s">
        <v>2409</v>
      </c>
      <c r="C695" s="207" t="s">
        <v>38</v>
      </c>
      <c r="D695" s="207" t="s">
        <v>216</v>
      </c>
      <c r="E695" s="210" t="s">
        <v>2410</v>
      </c>
      <c r="F695" s="102" t="str">
        <f t="shared" si="27"/>
        <v>AAY</v>
      </c>
    </row>
    <row r="696" spans="2:6" ht="17">
      <c r="B696" s="206" t="s">
        <v>2411</v>
      </c>
      <c r="C696" s="207" t="s">
        <v>69</v>
      </c>
      <c r="D696" s="207" t="s">
        <v>216</v>
      </c>
      <c r="E696" s="207" t="s">
        <v>2412</v>
      </c>
      <c r="F696" s="102" t="str">
        <f t="shared" si="27"/>
        <v>E-K</v>
      </c>
    </row>
    <row r="697" spans="2:6" ht="17">
      <c r="B697" s="206" t="s">
        <v>1553</v>
      </c>
      <c r="C697" s="207" t="s">
        <v>46</v>
      </c>
      <c r="D697" s="207" t="s">
        <v>216</v>
      </c>
      <c r="F697" s="102" t="str">
        <f t="shared" si="27"/>
        <v>I</v>
      </c>
    </row>
    <row r="698" spans="2:6" ht="17">
      <c r="B698" s="206" t="s">
        <v>2413</v>
      </c>
      <c r="C698" s="207" t="s">
        <v>29</v>
      </c>
      <c r="D698" s="207" t="s">
        <v>216</v>
      </c>
      <c r="E698" s="210" t="s">
        <v>2414</v>
      </c>
      <c r="F698" s="102" t="str">
        <f t="shared" si="27"/>
        <v>EBY</v>
      </c>
    </row>
    <row r="699" spans="2:6" ht="17">
      <c r="B699" s="206" t="s">
        <v>2415</v>
      </c>
      <c r="C699" s="207" t="s">
        <v>216</v>
      </c>
      <c r="D699" s="207" t="s">
        <v>216</v>
      </c>
      <c r="E699" s="207" t="s">
        <v>2416</v>
      </c>
      <c r="F699" s="102" t="str">
        <f t="shared" si="27"/>
        <v>EP</v>
      </c>
    </row>
    <row r="700" spans="2:6" ht="17">
      <c r="B700" s="206" t="s">
        <v>2417</v>
      </c>
      <c r="C700" s="207" t="s">
        <v>29</v>
      </c>
      <c r="D700" s="207" t="s">
        <v>216</v>
      </c>
      <c r="E700" s="210" t="s">
        <v>2418</v>
      </c>
      <c r="F700" s="102" t="str">
        <f t="shared" si="27"/>
        <v>K</v>
      </c>
    </row>
    <row r="701" spans="2:6" ht="17">
      <c r="B701" s="206" t="s">
        <v>2421</v>
      </c>
      <c r="C701" s="207" t="s">
        <v>216</v>
      </c>
      <c r="D701" s="207" t="s">
        <v>216</v>
      </c>
      <c r="E701" s="210" t="s">
        <v>2422</v>
      </c>
      <c r="F701" s="102" t="str">
        <f t="shared" si="27"/>
        <v>H</v>
      </c>
    </row>
    <row r="702" spans="2:6" ht="17">
      <c r="B702" s="206" t="s">
        <v>2423</v>
      </c>
      <c r="C702" s="207" t="s">
        <v>1081</v>
      </c>
      <c r="D702" s="207" t="s">
        <v>1081</v>
      </c>
      <c r="E702" s="210" t="s">
        <v>2424</v>
      </c>
      <c r="F702" s="102" t="str">
        <f t="shared" si="27"/>
        <v>DJA</v>
      </c>
    </row>
    <row r="703" spans="2:6" ht="17">
      <c r="B703" s="206" t="s">
        <v>2425</v>
      </c>
      <c r="C703" s="207" t="s">
        <v>216</v>
      </c>
      <c r="D703" s="207" t="s">
        <v>216</v>
      </c>
      <c r="E703" s="210" t="s">
        <v>2426</v>
      </c>
      <c r="F703" s="102" t="str">
        <f t="shared" si="27"/>
        <v>PM</v>
      </c>
    </row>
    <row r="704" spans="2:6" ht="17">
      <c r="B704" s="206" t="s">
        <v>2428</v>
      </c>
      <c r="C704" s="207" t="s">
        <v>216</v>
      </c>
      <c r="D704" s="207" t="s">
        <v>216</v>
      </c>
      <c r="E704" s="210" t="s">
        <v>2427</v>
      </c>
      <c r="F704" s="102" t="str">
        <f t="shared" si="27"/>
        <v>T-V</v>
      </c>
    </row>
    <row r="705" spans="2:7" ht="17">
      <c r="B705" s="206" t="s">
        <v>1578</v>
      </c>
      <c r="C705" s="207" t="s">
        <v>216</v>
      </c>
      <c r="D705" s="207" t="s">
        <v>216</v>
      </c>
      <c r="E705" s="210" t="s">
        <v>1617</v>
      </c>
      <c r="F705" s="102" t="str">
        <f t="shared" si="27"/>
        <v>F</v>
      </c>
    </row>
    <row r="706" spans="2:7" ht="17">
      <c r="B706" s="206" t="s">
        <v>1361</v>
      </c>
      <c r="C706" s="207" t="s">
        <v>216</v>
      </c>
      <c r="D706" s="207" t="s">
        <v>216</v>
      </c>
      <c r="E706" s="210" t="s">
        <v>2430</v>
      </c>
      <c r="F706" s="102" t="str">
        <f t="shared" si="27"/>
        <v>JC</v>
      </c>
    </row>
    <row r="707" spans="2:7" ht="17">
      <c r="B707" s="206" t="s">
        <v>2431</v>
      </c>
      <c r="C707" s="207" t="s">
        <v>216</v>
      </c>
      <c r="D707" s="207" t="s">
        <v>216</v>
      </c>
      <c r="E707" s="210" t="s">
        <v>2432</v>
      </c>
      <c r="F707" s="102" t="str">
        <f t="shared" ref="F707:F770" si="28">UPPER(LEFT(B707,1)) &amp; IFERROR(UPPER(LEFT(MID(B707,FIND(" ",B707)+1,LEN(B707)),1)),"") &amp; IFERROR(UPPER(LEFT(MID(B707,FIND(" ",B707,FIND(" ",B707)+1)+1,LEN(B707)),1)),"") &amp; IFERROR(UPPER(LEFT(MID(B707,FIND(" ",B707,FIND(" ",B707,FIND(" ",B707)+1)+1)+1,LEN(B707)),1)),"")</f>
        <v>BN</v>
      </c>
    </row>
    <row r="708" spans="2:7" ht="17">
      <c r="B708" s="206" t="s">
        <v>2433</v>
      </c>
      <c r="C708" s="207" t="s">
        <v>216</v>
      </c>
      <c r="D708" s="207" t="s">
        <v>216</v>
      </c>
      <c r="F708" s="102" t="str">
        <f t="shared" si="28"/>
        <v>SE/P</v>
      </c>
    </row>
    <row r="709" spans="2:7" ht="17">
      <c r="B709" s="206" t="s">
        <v>2434</v>
      </c>
      <c r="C709" s="207" t="s">
        <v>858</v>
      </c>
      <c r="D709" s="207" t="s">
        <v>858</v>
      </c>
      <c r="E709" s="210" t="s">
        <v>2435</v>
      </c>
      <c r="F709" s="102" t="str">
        <f t="shared" si="28"/>
        <v>S</v>
      </c>
    </row>
    <row r="710" spans="2:7" ht="17">
      <c r="B710" s="206" t="s">
        <v>2436</v>
      </c>
      <c r="C710" s="207" t="s">
        <v>389</v>
      </c>
      <c r="D710" s="207" t="s">
        <v>954</v>
      </c>
      <c r="F710" s="102" t="str">
        <f t="shared" si="28"/>
        <v>PRH</v>
      </c>
      <c r="G710" s="208" t="s">
        <v>2437</v>
      </c>
    </row>
    <row r="711" spans="2:7" ht="17">
      <c r="B711" s="206" t="s">
        <v>2439</v>
      </c>
      <c r="C711" s="207" t="s">
        <v>216</v>
      </c>
      <c r="D711" s="207" t="s">
        <v>216</v>
      </c>
      <c r="E711" s="210" t="s">
        <v>2438</v>
      </c>
      <c r="F711" s="102" t="str">
        <f t="shared" si="28"/>
        <v>E-</v>
      </c>
    </row>
    <row r="712" spans="2:7" ht="17">
      <c r="B712" s="206" t="s">
        <v>2441</v>
      </c>
      <c r="C712" s="207" t="s">
        <v>856</v>
      </c>
      <c r="D712" s="207" t="s">
        <v>856</v>
      </c>
      <c r="E712" s="210" t="s">
        <v>2442</v>
      </c>
      <c r="F712" s="102" t="str">
        <f t="shared" si="28"/>
        <v>MA</v>
      </c>
    </row>
    <row r="713" spans="2:7" ht="17">
      <c r="B713" s="206" t="s">
        <v>2443</v>
      </c>
      <c r="C713" s="207" t="s">
        <v>93</v>
      </c>
      <c r="D713" s="207" t="s">
        <v>216</v>
      </c>
      <c r="E713" s="210" t="s">
        <v>2444</v>
      </c>
      <c r="F713" s="102" t="str">
        <f t="shared" si="28"/>
        <v>K</v>
      </c>
    </row>
    <row r="714" spans="2:7" ht="17">
      <c r="B714" s="206" t="s">
        <v>2445</v>
      </c>
      <c r="C714" s="207" t="s">
        <v>216</v>
      </c>
      <c r="D714" s="207" t="s">
        <v>216</v>
      </c>
      <c r="E714" s="210" t="s">
        <v>2446</v>
      </c>
      <c r="F714" s="102" t="str">
        <f t="shared" si="28"/>
        <v>MJ</v>
      </c>
    </row>
    <row r="715" spans="2:7" ht="17">
      <c r="B715" s="206" t="s">
        <v>2447</v>
      </c>
      <c r="C715" s="207" t="s">
        <v>32</v>
      </c>
      <c r="D715" s="207" t="s">
        <v>216</v>
      </c>
      <c r="E715" s="210" t="s">
        <v>2448</v>
      </c>
      <c r="F715" s="102" t="str">
        <f t="shared" si="28"/>
        <v>AY</v>
      </c>
    </row>
    <row r="716" spans="2:7" ht="17">
      <c r="B716" s="206" t="s">
        <v>2449</v>
      </c>
      <c r="C716" s="207" t="s">
        <v>409</v>
      </c>
      <c r="D716" s="207" t="s">
        <v>216</v>
      </c>
      <c r="E716" s="210" t="s">
        <v>2450</v>
      </c>
      <c r="F716" s="102" t="str">
        <f t="shared" si="28"/>
        <v>MF</v>
      </c>
    </row>
    <row r="717" spans="2:7" ht="17">
      <c r="B717" s="206" t="s">
        <v>2451</v>
      </c>
      <c r="C717" s="207" t="s">
        <v>2454</v>
      </c>
      <c r="D717" s="207" t="s">
        <v>216</v>
      </c>
      <c r="E717" s="210" t="s">
        <v>2453</v>
      </c>
      <c r="F717" s="102" t="str">
        <f t="shared" si="28"/>
        <v>SMMC</v>
      </c>
      <c r="G717" s="208" t="s">
        <v>2452</v>
      </c>
    </row>
    <row r="718" spans="2:7" ht="17">
      <c r="B718" s="206" t="s">
        <v>2456</v>
      </c>
      <c r="C718" s="207" t="s">
        <v>305</v>
      </c>
      <c r="D718" s="207" t="s">
        <v>955</v>
      </c>
      <c r="E718" s="210" t="s">
        <v>2455</v>
      </c>
      <c r="F718" s="102" t="str">
        <f t="shared" si="28"/>
        <v>PAB</v>
      </c>
    </row>
    <row r="719" spans="2:7" ht="34">
      <c r="B719" s="206" t="s">
        <v>2457</v>
      </c>
      <c r="C719" s="207" t="s">
        <v>628</v>
      </c>
      <c r="D719" s="207" t="s">
        <v>216</v>
      </c>
      <c r="E719" s="210" t="s">
        <v>2458</v>
      </c>
      <c r="F719" s="102" t="str">
        <f t="shared" si="28"/>
        <v>C</v>
      </c>
    </row>
    <row r="720" spans="2:7" ht="17">
      <c r="B720" s="206" t="s">
        <v>2483</v>
      </c>
      <c r="C720" s="207" t="s">
        <v>216</v>
      </c>
      <c r="D720" s="207" t="s">
        <v>216</v>
      </c>
      <c r="F720" s="102" t="str">
        <f t="shared" si="28"/>
        <v>SA</v>
      </c>
    </row>
    <row r="721" spans="2:8" ht="34">
      <c r="B721" s="206" t="s">
        <v>2484</v>
      </c>
      <c r="C721" s="207" t="s">
        <v>2485</v>
      </c>
      <c r="D721" s="207" t="s">
        <v>216</v>
      </c>
      <c r="F721" s="102" t="str">
        <f t="shared" si="28"/>
        <v>MFA</v>
      </c>
    </row>
    <row r="722" spans="2:8" ht="17">
      <c r="B722" s="206" t="s">
        <v>2486</v>
      </c>
      <c r="C722" s="207" t="s">
        <v>29</v>
      </c>
      <c r="D722" s="207" t="s">
        <v>216</v>
      </c>
      <c r="F722" s="102" t="str">
        <f t="shared" si="28"/>
        <v>GNCU</v>
      </c>
    </row>
    <row r="723" spans="2:8" ht="17">
      <c r="B723" s="206" t="s">
        <v>2490</v>
      </c>
      <c r="C723" s="207" t="s">
        <v>93</v>
      </c>
      <c r="D723" s="207" t="s">
        <v>216</v>
      </c>
      <c r="E723" s="210" t="s">
        <v>2491</v>
      </c>
      <c r="F723" s="102" t="str">
        <f t="shared" si="28"/>
        <v>MG</v>
      </c>
    </row>
    <row r="724" spans="2:8" ht="17">
      <c r="B724" s="206" t="s">
        <v>2499</v>
      </c>
      <c r="C724" s="207" t="s">
        <v>628</v>
      </c>
      <c r="D724" s="207" t="s">
        <v>216</v>
      </c>
      <c r="E724" s="210" t="s">
        <v>2500</v>
      </c>
      <c r="F724" s="102" t="str">
        <f t="shared" si="28"/>
        <v>V</v>
      </c>
    </row>
    <row r="725" spans="2:8" ht="17">
      <c r="B725" s="206" t="s">
        <v>2514</v>
      </c>
      <c r="C725" s="207" t="s">
        <v>219</v>
      </c>
      <c r="D725" s="207" t="s">
        <v>216</v>
      </c>
      <c r="E725" s="210" t="s">
        <v>2513</v>
      </c>
      <c r="F725" s="102" t="str">
        <f t="shared" si="28"/>
        <v>SO</v>
      </c>
      <c r="G725" s="211"/>
      <c r="H725" s="211" t="s">
        <v>2512</v>
      </c>
    </row>
    <row r="726" spans="2:8" ht="17">
      <c r="B726" s="206" t="s">
        <v>2515</v>
      </c>
      <c r="C726" s="207" t="s">
        <v>216</v>
      </c>
      <c r="D726" s="207" t="s">
        <v>216</v>
      </c>
      <c r="E726" s="210" t="s">
        <v>2516</v>
      </c>
      <c r="F726" s="102" t="str">
        <f t="shared" si="28"/>
        <v>MS</v>
      </c>
    </row>
    <row r="727" spans="2:8" ht="17">
      <c r="B727" s="206" t="s">
        <v>2517</v>
      </c>
      <c r="C727" s="207" t="s">
        <v>216</v>
      </c>
      <c r="D727" s="207" t="s">
        <v>216</v>
      </c>
      <c r="E727" s="210" t="s">
        <v>2519</v>
      </c>
      <c r="F727" s="102" t="str">
        <f t="shared" si="28"/>
        <v>E</v>
      </c>
      <c r="G727" s="208" t="s">
        <v>2518</v>
      </c>
    </row>
    <row r="728" spans="2:8" ht="15">
      <c r="B728" s="221" t="s">
        <v>2520</v>
      </c>
      <c r="C728" s="222" t="s">
        <v>216</v>
      </c>
      <c r="D728" s="222" t="s">
        <v>216</v>
      </c>
      <c r="E728" s="223" t="s">
        <v>1503</v>
      </c>
      <c r="F728" s="102" t="str">
        <f t="shared" si="28"/>
        <v>JA</v>
      </c>
    </row>
    <row r="729" spans="2:8" ht="15">
      <c r="B729" s="221" t="s">
        <v>2521</v>
      </c>
      <c r="C729" s="222" t="s">
        <v>216</v>
      </c>
      <c r="D729" s="222" t="s">
        <v>216</v>
      </c>
      <c r="E729" s="223" t="s">
        <v>2522</v>
      </c>
      <c r="F729" s="102" t="str">
        <f t="shared" si="28"/>
        <v>MT</v>
      </c>
      <c r="H729" s="219" t="s">
        <v>2526</v>
      </c>
    </row>
    <row r="730" spans="2:8" ht="15">
      <c r="B730" s="221" t="s">
        <v>2523</v>
      </c>
      <c r="C730" s="222" t="s">
        <v>2524</v>
      </c>
      <c r="D730" s="222" t="s">
        <v>216</v>
      </c>
      <c r="E730" s="223" t="s">
        <v>2525</v>
      </c>
      <c r="F730" s="102" t="str">
        <f t="shared" si="28"/>
        <v>MFE</v>
      </c>
    </row>
    <row r="731" spans="2:8" ht="15">
      <c r="B731" s="221" t="s">
        <v>2527</v>
      </c>
      <c r="C731" s="222" t="s">
        <v>392</v>
      </c>
      <c r="D731" s="222" t="s">
        <v>216</v>
      </c>
      <c r="E731" s="223" t="s">
        <v>2528</v>
      </c>
      <c r="F731" s="102" t="str">
        <f t="shared" si="28"/>
        <v>F</v>
      </c>
    </row>
    <row r="732" spans="2:8" ht="15">
      <c r="B732" s="221" t="s">
        <v>2529</v>
      </c>
      <c r="C732" s="223" t="s">
        <v>216</v>
      </c>
      <c r="D732" s="222" t="s">
        <v>216</v>
      </c>
      <c r="E732" s="223" t="s">
        <v>2530</v>
      </c>
      <c r="F732" s="102" t="str">
        <f t="shared" si="28"/>
        <v>MK</v>
      </c>
    </row>
    <row r="733" spans="2:8" ht="15">
      <c r="B733" s="221" t="s">
        <v>2531</v>
      </c>
      <c r="C733" s="222" t="s">
        <v>313</v>
      </c>
      <c r="D733" s="222" t="s">
        <v>216</v>
      </c>
      <c r="E733" s="223" t="s">
        <v>2532</v>
      </c>
      <c r="F733" s="102" t="str">
        <f t="shared" si="28"/>
        <v>E</v>
      </c>
    </row>
    <row r="734" spans="2:8" ht="17">
      <c r="B734" s="206" t="s">
        <v>2533</v>
      </c>
      <c r="C734" s="207" t="s">
        <v>35</v>
      </c>
      <c r="D734" s="207" t="s">
        <v>216</v>
      </c>
      <c r="E734" s="210" t="s">
        <v>2534</v>
      </c>
      <c r="F734" s="102" t="str">
        <f t="shared" si="28"/>
        <v>TGL</v>
      </c>
      <c r="G734" s="208" t="s">
        <v>2535</v>
      </c>
    </row>
    <row r="735" spans="2:8" ht="17">
      <c r="B735" s="206" t="s">
        <v>2537</v>
      </c>
      <c r="C735" s="207" t="s">
        <v>170</v>
      </c>
      <c r="D735" s="207" t="s">
        <v>216</v>
      </c>
      <c r="E735" s="210" t="s">
        <v>2536</v>
      </c>
      <c r="F735" s="102" t="str">
        <f t="shared" si="28"/>
        <v>MC</v>
      </c>
    </row>
    <row r="736" spans="2:8" ht="17">
      <c r="B736" s="206" t="s">
        <v>2538</v>
      </c>
      <c r="C736" s="207" t="s">
        <v>29</v>
      </c>
      <c r="D736" s="207" t="s">
        <v>216</v>
      </c>
      <c r="F736" s="102" t="str">
        <f t="shared" si="28"/>
        <v>MAS/</v>
      </c>
    </row>
    <row r="737" spans="2:8" ht="17">
      <c r="B737" s="206" t="s">
        <v>2539</v>
      </c>
      <c r="C737" s="207" t="s">
        <v>117</v>
      </c>
      <c r="D737" s="207" t="s">
        <v>216</v>
      </c>
      <c r="E737" s="210" t="s">
        <v>2540</v>
      </c>
      <c r="F737" s="102" t="str">
        <f t="shared" si="28"/>
        <v>ML</v>
      </c>
    </row>
    <row r="738" spans="2:8" ht="17">
      <c r="B738" s="206" t="s">
        <v>2541</v>
      </c>
      <c r="C738" s="207" t="s">
        <v>182</v>
      </c>
      <c r="D738" s="207" t="s">
        <v>216</v>
      </c>
      <c r="E738" s="210" t="s">
        <v>2542</v>
      </c>
      <c r="F738" s="102" t="str">
        <f t="shared" si="28"/>
        <v>OA</v>
      </c>
    </row>
    <row r="739" spans="2:8" ht="17">
      <c r="B739" s="206" t="s">
        <v>2543</v>
      </c>
      <c r="C739" s="207" t="s">
        <v>392</v>
      </c>
      <c r="D739" s="207" t="s">
        <v>216</v>
      </c>
      <c r="E739" s="210" t="s">
        <v>2544</v>
      </c>
      <c r="F739" s="102" t="str">
        <f t="shared" si="28"/>
        <v>MB</v>
      </c>
    </row>
    <row r="740" spans="2:8" ht="17">
      <c r="B740" s="206" t="s">
        <v>1249</v>
      </c>
      <c r="C740" s="207" t="s">
        <v>588</v>
      </c>
      <c r="D740" s="207" t="s">
        <v>216</v>
      </c>
      <c r="E740" s="210" t="s">
        <v>2545</v>
      </c>
      <c r="F740" s="102" t="str">
        <f t="shared" si="28"/>
        <v>D</v>
      </c>
    </row>
    <row r="741" spans="2:8" ht="34">
      <c r="B741" s="206" t="s">
        <v>2546</v>
      </c>
      <c r="C741" s="207" t="s">
        <v>2547</v>
      </c>
      <c r="D741" s="207" t="s">
        <v>216</v>
      </c>
      <c r="E741" s="210" t="s">
        <v>2549</v>
      </c>
      <c r="F741" s="102" t="str">
        <f t="shared" si="28"/>
        <v>AA</v>
      </c>
      <c r="H741" s="219" t="s">
        <v>2548</v>
      </c>
    </row>
    <row r="742" spans="2:8" ht="17">
      <c r="B742" s="209" t="s">
        <v>2550</v>
      </c>
      <c r="C742" s="207" t="s">
        <v>2553</v>
      </c>
      <c r="D742" s="207" t="s">
        <v>216</v>
      </c>
      <c r="E742" s="210" t="s">
        <v>2551</v>
      </c>
      <c r="F742" s="102" t="str">
        <f t="shared" si="28"/>
        <v>HA</v>
      </c>
      <c r="H742" s="219" t="s">
        <v>2552</v>
      </c>
    </row>
    <row r="743" spans="2:8" ht="17">
      <c r="B743" s="206" t="s">
        <v>2554</v>
      </c>
      <c r="C743" s="207" t="s">
        <v>1579</v>
      </c>
      <c r="D743" s="207" t="s">
        <v>216</v>
      </c>
      <c r="E743" s="210" t="s">
        <v>2556</v>
      </c>
      <c r="F743" s="102" t="str">
        <f t="shared" si="28"/>
        <v>GA</v>
      </c>
      <c r="H743" s="219" t="s">
        <v>2555</v>
      </c>
    </row>
    <row r="744" spans="2:8" ht="17">
      <c r="B744" s="206" t="s">
        <v>2557</v>
      </c>
      <c r="C744" s="207" t="s">
        <v>2560</v>
      </c>
      <c r="D744" s="207" t="s">
        <v>216</v>
      </c>
      <c r="E744" s="210" t="s">
        <v>2558</v>
      </c>
      <c r="F744" s="102" t="str">
        <f t="shared" si="28"/>
        <v>SA</v>
      </c>
      <c r="H744" s="219" t="s">
        <v>2559</v>
      </c>
    </row>
    <row r="745" spans="2:8" ht="17">
      <c r="B745" s="206" t="s">
        <v>2561</v>
      </c>
      <c r="C745" s="207" t="s">
        <v>216</v>
      </c>
      <c r="D745" s="207" t="s">
        <v>216</v>
      </c>
      <c r="E745" s="210" t="s">
        <v>2562</v>
      </c>
      <c r="F745" s="102" t="str">
        <f t="shared" si="28"/>
        <v>HI</v>
      </c>
    </row>
    <row r="746" spans="2:8" ht="17">
      <c r="B746" s="206" t="s">
        <v>2563</v>
      </c>
      <c r="C746" s="207" t="s">
        <v>29</v>
      </c>
      <c r="D746" s="207" t="s">
        <v>216</v>
      </c>
      <c r="E746" s="210" t="s">
        <v>2564</v>
      </c>
      <c r="F746" s="102" t="str">
        <f t="shared" si="28"/>
        <v>WG</v>
      </c>
    </row>
    <row r="747" spans="2:8" ht="17">
      <c r="B747" s="206" t="s">
        <v>2565</v>
      </c>
      <c r="C747" s="207" t="s">
        <v>1579</v>
      </c>
      <c r="D747" s="207" t="s">
        <v>216</v>
      </c>
      <c r="E747" s="210" t="s">
        <v>2566</v>
      </c>
      <c r="F747" s="102" t="str">
        <f t="shared" si="28"/>
        <v>C</v>
      </c>
    </row>
    <row r="748" spans="2:8" ht="17">
      <c r="B748" s="206" t="s">
        <v>2567</v>
      </c>
      <c r="C748" s="207" t="s">
        <v>216</v>
      </c>
      <c r="D748" s="207" t="s">
        <v>216</v>
      </c>
      <c r="F748" s="102" t="str">
        <f t="shared" si="28"/>
        <v>EB</v>
      </c>
    </row>
    <row r="749" spans="2:8" ht="17">
      <c r="B749" s="206" t="s">
        <v>2568</v>
      </c>
      <c r="C749" s="207" t="s">
        <v>216</v>
      </c>
      <c r="D749" s="207" t="s">
        <v>216</v>
      </c>
      <c r="E749" s="210" t="s">
        <v>2569</v>
      </c>
      <c r="F749" s="102" t="str">
        <f t="shared" si="28"/>
        <v>DO</v>
      </c>
    </row>
    <row r="750" spans="2:8" ht="17">
      <c r="B750" s="206" t="s">
        <v>2570</v>
      </c>
      <c r="C750" s="207" t="s">
        <v>216</v>
      </c>
      <c r="D750" s="207" t="s">
        <v>216</v>
      </c>
      <c r="E750" s="210" t="s">
        <v>2571</v>
      </c>
      <c r="F750" s="102" t="str">
        <f t="shared" si="28"/>
        <v>MA</v>
      </c>
    </row>
    <row r="751" spans="2:8" ht="17">
      <c r="B751" s="206" t="s">
        <v>2572</v>
      </c>
      <c r="C751" s="207" t="s">
        <v>339</v>
      </c>
      <c r="D751" s="207" t="s">
        <v>216</v>
      </c>
      <c r="E751" s="210" t="s">
        <v>2573</v>
      </c>
      <c r="F751" s="102" t="str">
        <f t="shared" si="28"/>
        <v>MJ</v>
      </c>
    </row>
    <row r="752" spans="2:8" ht="17">
      <c r="B752" s="206" t="s">
        <v>2574</v>
      </c>
      <c r="C752" s="207" t="s">
        <v>51</v>
      </c>
      <c r="D752" s="207" t="s">
        <v>51</v>
      </c>
      <c r="F752" s="102" t="str">
        <f t="shared" si="28"/>
        <v>WPC</v>
      </c>
    </row>
    <row r="753" spans="2:8" ht="17">
      <c r="B753" s="206" t="s">
        <v>2575</v>
      </c>
      <c r="C753" s="207" t="s">
        <v>337</v>
      </c>
      <c r="D753" s="207" t="s">
        <v>216</v>
      </c>
      <c r="E753" s="210" t="s">
        <v>2576</v>
      </c>
      <c r="F753" s="102" t="str">
        <f t="shared" si="28"/>
        <v>MKF</v>
      </c>
    </row>
    <row r="754" spans="2:8" ht="17">
      <c r="B754" s="206" t="s">
        <v>2577</v>
      </c>
      <c r="C754" s="207" t="s">
        <v>389</v>
      </c>
      <c r="D754" s="207" t="s">
        <v>389</v>
      </c>
      <c r="F754" s="102" t="str">
        <f t="shared" si="28"/>
        <v>KZG-</v>
      </c>
    </row>
    <row r="755" spans="2:8" ht="17">
      <c r="B755" s="206" t="s">
        <v>2578</v>
      </c>
      <c r="C755" s="207" t="s">
        <v>2579</v>
      </c>
      <c r="D755" s="207" t="s">
        <v>216</v>
      </c>
      <c r="E755" s="210" t="s">
        <v>2580</v>
      </c>
      <c r="F755" s="102" t="str">
        <f t="shared" si="28"/>
        <v>RA</v>
      </c>
    </row>
    <row r="756" spans="2:8" ht="17">
      <c r="B756" s="206" t="s">
        <v>2581</v>
      </c>
      <c r="C756" s="207" t="s">
        <v>305</v>
      </c>
      <c r="D756" s="207" t="s">
        <v>305</v>
      </c>
      <c r="E756" s="210" t="s">
        <v>2582</v>
      </c>
      <c r="F756" s="102" t="str">
        <f t="shared" si="28"/>
        <v>MK</v>
      </c>
    </row>
    <row r="757" spans="2:8" ht="17">
      <c r="B757" s="206" t="s">
        <v>2591</v>
      </c>
      <c r="C757" s="207" t="s">
        <v>2589</v>
      </c>
      <c r="D757" s="207" t="s">
        <v>216</v>
      </c>
      <c r="E757" s="210" t="s">
        <v>2590</v>
      </c>
      <c r="F757" s="102" t="str">
        <f t="shared" si="28"/>
        <v>SD</v>
      </c>
      <c r="H757" s="219" t="s">
        <v>2592</v>
      </c>
    </row>
    <row r="758" spans="2:8" ht="17">
      <c r="B758" s="206" t="s">
        <v>2600</v>
      </c>
      <c r="C758" s="207" t="s">
        <v>69</v>
      </c>
      <c r="D758" s="207" t="s">
        <v>216</v>
      </c>
      <c r="F758" s="102" t="str">
        <f t="shared" si="28"/>
        <v>HAAA</v>
      </c>
    </row>
    <row r="759" spans="2:8" ht="17">
      <c r="B759" s="206" t="s">
        <v>2601</v>
      </c>
      <c r="C759" s="207" t="s">
        <v>69</v>
      </c>
      <c r="D759" s="207" t="s">
        <v>216</v>
      </c>
      <c r="F759" s="102" t="str">
        <f t="shared" si="28"/>
        <v>AA</v>
      </c>
    </row>
    <row r="760" spans="2:8" ht="17">
      <c r="B760" s="206" t="s">
        <v>2611</v>
      </c>
      <c r="C760" s="207" t="s">
        <v>2609</v>
      </c>
      <c r="D760" s="207" t="s">
        <v>216</v>
      </c>
      <c r="E760" s="210" t="s">
        <v>2610</v>
      </c>
      <c r="F760" s="102" t="str">
        <f t="shared" si="28"/>
        <v>AR</v>
      </c>
      <c r="H760" s="219" t="s">
        <v>2608</v>
      </c>
    </row>
    <row r="761" spans="2:8" ht="17">
      <c r="B761" s="206" t="s">
        <v>2612</v>
      </c>
      <c r="C761" s="207" t="s">
        <v>69</v>
      </c>
      <c r="D761" s="207" t="s">
        <v>216</v>
      </c>
      <c r="E761" s="210" t="s">
        <v>2613</v>
      </c>
      <c r="F761" s="102" t="str">
        <f t="shared" si="28"/>
        <v>SOS</v>
      </c>
      <c r="H761" s="219" t="s">
        <v>2614</v>
      </c>
    </row>
    <row r="762" spans="2:8" ht="17">
      <c r="B762" s="206" t="s">
        <v>2617</v>
      </c>
      <c r="C762" s="207" t="s">
        <v>1681</v>
      </c>
      <c r="D762" s="207" t="s">
        <v>216</v>
      </c>
      <c r="E762" s="210" t="s">
        <v>2618</v>
      </c>
      <c r="F762" s="102" t="str">
        <f t="shared" si="28"/>
        <v>MA</v>
      </c>
    </row>
    <row r="763" spans="2:8" ht="17">
      <c r="B763" s="206" t="s">
        <v>2620</v>
      </c>
      <c r="C763" s="207" t="s">
        <v>216</v>
      </c>
      <c r="D763" s="207" t="s">
        <v>216</v>
      </c>
      <c r="E763" s="210" t="s">
        <v>2621</v>
      </c>
      <c r="F763" s="102" t="str">
        <f t="shared" si="28"/>
        <v>MJ</v>
      </c>
    </row>
    <row r="764" spans="2:8" ht="17">
      <c r="B764" s="206" t="s">
        <v>2622</v>
      </c>
      <c r="C764" s="207" t="s">
        <v>216</v>
      </c>
      <c r="D764" s="207" t="s">
        <v>216</v>
      </c>
      <c r="E764" s="210" t="s">
        <v>2623</v>
      </c>
      <c r="F764" s="102" t="str">
        <f t="shared" si="28"/>
        <v>DEL</v>
      </c>
      <c r="G764" s="208" t="s">
        <v>2625</v>
      </c>
      <c r="H764" s="209" t="s">
        <v>2624</v>
      </c>
    </row>
    <row r="765" spans="2:8" ht="17">
      <c r="B765" s="206" t="s">
        <v>2627</v>
      </c>
      <c r="C765" s="207" t="s">
        <v>216</v>
      </c>
      <c r="D765" s="207" t="s">
        <v>216</v>
      </c>
      <c r="E765" s="210" t="s">
        <v>2628</v>
      </c>
      <c r="F765" s="102" t="str">
        <f t="shared" si="28"/>
        <v>PB</v>
      </c>
    </row>
    <row r="766" spans="2:8" ht="17">
      <c r="B766" s="206" t="s">
        <v>2629</v>
      </c>
      <c r="C766" s="207" t="s">
        <v>216</v>
      </c>
      <c r="D766" s="207" t="s">
        <v>216</v>
      </c>
      <c r="F766" s="102" t="str">
        <f t="shared" si="28"/>
        <v>FD</v>
      </c>
    </row>
    <row r="767" spans="2:8" ht="17">
      <c r="B767" s="206" t="s">
        <v>2630</v>
      </c>
      <c r="C767" s="207" t="s">
        <v>216</v>
      </c>
      <c r="D767" s="207" t="s">
        <v>216</v>
      </c>
      <c r="E767" s="210" t="s">
        <v>2631</v>
      </c>
      <c r="F767" s="102" t="str">
        <f t="shared" si="28"/>
        <v>J</v>
      </c>
    </row>
    <row r="768" spans="2:8" ht="17">
      <c r="B768" s="206" t="s">
        <v>1556</v>
      </c>
      <c r="C768" s="207" t="s">
        <v>216</v>
      </c>
      <c r="D768" s="207" t="s">
        <v>216</v>
      </c>
      <c r="F768" s="102" t="str">
        <f t="shared" si="28"/>
        <v>C</v>
      </c>
    </row>
    <row r="769" spans="2:7" ht="17">
      <c r="B769" s="206" t="s">
        <v>2632</v>
      </c>
      <c r="C769" s="207" t="s">
        <v>2633</v>
      </c>
      <c r="D769" s="207" t="s">
        <v>955</v>
      </c>
      <c r="E769" s="210" t="s">
        <v>2634</v>
      </c>
      <c r="F769" s="102" t="str">
        <f t="shared" si="28"/>
        <v>MBH</v>
      </c>
    </row>
    <row r="770" spans="2:7" ht="17">
      <c r="B770" s="206" t="s">
        <v>2635</v>
      </c>
      <c r="C770" s="207" t="s">
        <v>634</v>
      </c>
      <c r="D770" s="207" t="s">
        <v>958</v>
      </c>
      <c r="E770" s="210" t="s">
        <v>2636</v>
      </c>
      <c r="F770" s="102" t="str">
        <f t="shared" si="28"/>
        <v>SE</v>
      </c>
    </row>
    <row r="771" spans="2:7" ht="17">
      <c r="B771" s="206" t="s">
        <v>2637</v>
      </c>
      <c r="C771" s="207" t="s">
        <v>414</v>
      </c>
      <c r="D771" s="207" t="s">
        <v>216</v>
      </c>
      <c r="E771" s="210" t="s">
        <v>2638</v>
      </c>
      <c r="F771" s="102" t="str">
        <f t="shared" ref="F771:F834" si="29">UPPER(LEFT(B771,1)) &amp; IFERROR(UPPER(LEFT(MID(B771,FIND(" ",B771)+1,LEN(B771)),1)),"") &amp; IFERROR(UPPER(LEFT(MID(B771,FIND(" ",B771,FIND(" ",B771)+1)+1,LEN(B771)),1)),"") &amp; IFERROR(UPPER(LEFT(MID(B771,FIND(" ",B771,FIND(" ",B771,FIND(" ",B771)+1)+1)+1,LEN(B771)),1)),"")</f>
        <v>DDO</v>
      </c>
    </row>
    <row r="772" spans="2:7" ht="17">
      <c r="B772" s="206" t="s">
        <v>2639</v>
      </c>
      <c r="C772" s="207" t="s">
        <v>216</v>
      </c>
      <c r="D772" s="207" t="s">
        <v>216</v>
      </c>
      <c r="F772" s="102" t="str">
        <f t="shared" si="29"/>
        <v>E</v>
      </c>
    </row>
    <row r="773" spans="2:7" ht="17">
      <c r="B773" s="206" t="s">
        <v>2640</v>
      </c>
      <c r="C773" s="210" t="s">
        <v>216</v>
      </c>
      <c r="D773" s="207" t="s">
        <v>216</v>
      </c>
      <c r="E773" s="210" t="s">
        <v>2641</v>
      </c>
      <c r="F773" s="102" t="str">
        <f t="shared" si="29"/>
        <v>MY</v>
      </c>
    </row>
    <row r="774" spans="2:7" ht="17">
      <c r="B774" s="206" t="s">
        <v>2643</v>
      </c>
      <c r="C774" s="207" t="s">
        <v>216</v>
      </c>
      <c r="D774" s="207" t="s">
        <v>216</v>
      </c>
      <c r="F774" s="102" t="str">
        <f t="shared" si="29"/>
        <v>MEA</v>
      </c>
    </row>
    <row r="775" spans="2:7" ht="17">
      <c r="B775" s="206" t="s">
        <v>2644</v>
      </c>
      <c r="C775" s="207" t="s">
        <v>216</v>
      </c>
      <c r="D775" s="207" t="s">
        <v>216</v>
      </c>
      <c r="E775" s="210" t="s">
        <v>2645</v>
      </c>
      <c r="F775" s="102" t="str">
        <f t="shared" si="29"/>
        <v>F</v>
      </c>
    </row>
    <row r="776" spans="2:7" ht="17">
      <c r="B776" s="206" t="s">
        <v>2646</v>
      </c>
      <c r="C776" s="207" t="s">
        <v>216</v>
      </c>
      <c r="D776" s="207" t="s">
        <v>216</v>
      </c>
      <c r="E776" s="210" t="s">
        <v>2647</v>
      </c>
      <c r="F776" s="102" t="str">
        <f t="shared" si="29"/>
        <v>DY</v>
      </c>
    </row>
    <row r="777" spans="2:7" ht="34">
      <c r="B777" s="206" t="s">
        <v>2648</v>
      </c>
      <c r="C777" s="207" t="s">
        <v>216</v>
      </c>
      <c r="D777" s="207" t="s">
        <v>216</v>
      </c>
      <c r="E777" s="210" t="s">
        <v>2649</v>
      </c>
      <c r="F777" s="102" t="str">
        <f t="shared" si="29"/>
        <v>G</v>
      </c>
    </row>
    <row r="778" spans="2:7" ht="17">
      <c r="B778" s="206" t="s">
        <v>2650</v>
      </c>
      <c r="C778" s="207" t="s">
        <v>216</v>
      </c>
      <c r="D778" s="207" t="s">
        <v>216</v>
      </c>
      <c r="E778" s="210" t="s">
        <v>2651</v>
      </c>
      <c r="F778" s="102" t="str">
        <f t="shared" si="29"/>
        <v>N</v>
      </c>
    </row>
    <row r="779" spans="2:7" ht="17">
      <c r="B779" s="206" t="s">
        <v>2654</v>
      </c>
      <c r="C779" s="207" t="s">
        <v>414</v>
      </c>
      <c r="D779" s="207" t="s">
        <v>216</v>
      </c>
      <c r="F779" s="102" t="str">
        <f t="shared" si="29"/>
        <v>KIS-</v>
      </c>
    </row>
    <row r="780" spans="2:7" ht="34">
      <c r="B780" s="206" t="s">
        <v>2656</v>
      </c>
      <c r="C780" s="207" t="s">
        <v>216</v>
      </c>
      <c r="D780" s="207" t="s">
        <v>216</v>
      </c>
      <c r="E780" s="210" t="s">
        <v>2657</v>
      </c>
      <c r="F780" s="102" t="str">
        <f t="shared" si="29"/>
        <v>KOA</v>
      </c>
    </row>
    <row r="781" spans="2:7" ht="34">
      <c r="B781" s="206" t="s">
        <v>2659</v>
      </c>
      <c r="C781" s="207" t="s">
        <v>216</v>
      </c>
      <c r="D781" s="207" t="s">
        <v>216</v>
      </c>
      <c r="E781" s="210" t="s">
        <v>2660</v>
      </c>
      <c r="F781" s="102" t="str">
        <f t="shared" si="29"/>
        <v>CK</v>
      </c>
    </row>
    <row r="782" spans="2:7" ht="17">
      <c r="B782" s="206" t="s">
        <v>2661</v>
      </c>
      <c r="C782" s="207" t="s">
        <v>216</v>
      </c>
      <c r="D782" s="207" t="s">
        <v>216</v>
      </c>
      <c r="E782" s="210" t="s">
        <v>2662</v>
      </c>
      <c r="F782" s="102" t="str">
        <f t="shared" si="29"/>
        <v>KS</v>
      </c>
    </row>
    <row r="783" spans="2:7" ht="17">
      <c r="B783" s="206" t="s">
        <v>2667</v>
      </c>
      <c r="C783" s="207" t="s">
        <v>352</v>
      </c>
      <c r="D783" s="207" t="s">
        <v>216</v>
      </c>
      <c r="E783" s="210" t="s">
        <v>2668</v>
      </c>
      <c r="F783" s="102" t="str">
        <f t="shared" si="29"/>
        <v>DA</v>
      </c>
      <c r="G783" s="208" t="s">
        <v>2669</v>
      </c>
    </row>
    <row r="784" spans="2:7" ht="17">
      <c r="B784" s="206" t="s">
        <v>2675</v>
      </c>
      <c r="C784" s="207" t="s">
        <v>157</v>
      </c>
      <c r="D784" s="207" t="s">
        <v>216</v>
      </c>
      <c r="E784" s="210" t="s">
        <v>2676</v>
      </c>
      <c r="F784" s="102" t="str">
        <f t="shared" si="29"/>
        <v>PI</v>
      </c>
      <c r="G784" s="208" t="s">
        <v>2674</v>
      </c>
    </row>
    <row r="785" spans="2:8" ht="34">
      <c r="B785" s="206" t="s">
        <v>2677</v>
      </c>
      <c r="C785" s="207" t="s">
        <v>2678</v>
      </c>
      <c r="D785" s="207" t="s">
        <v>216</v>
      </c>
      <c r="E785" s="210" t="s">
        <v>2676</v>
      </c>
      <c r="F785" s="102" t="str">
        <f t="shared" si="29"/>
        <v>EGA</v>
      </c>
    </row>
    <row r="786" spans="2:8" ht="17">
      <c r="B786" s="206" t="s">
        <v>2679</v>
      </c>
      <c r="C786" s="207" t="s">
        <v>770</v>
      </c>
      <c r="D786" s="207" t="s">
        <v>216</v>
      </c>
      <c r="F786" s="102" t="str">
        <f t="shared" si="29"/>
        <v>F</v>
      </c>
    </row>
    <row r="787" spans="2:8" ht="17">
      <c r="B787" s="206" t="s">
        <v>2704</v>
      </c>
      <c r="C787" s="207" t="s">
        <v>216</v>
      </c>
      <c r="D787" s="207" t="s">
        <v>216</v>
      </c>
      <c r="E787" s="210" t="s">
        <v>2705</v>
      </c>
      <c r="F787" s="102" t="str">
        <f t="shared" si="29"/>
        <v>R</v>
      </c>
    </row>
    <row r="788" spans="2:8" ht="17">
      <c r="B788" s="206" t="s">
        <v>2706</v>
      </c>
      <c r="C788" s="207" t="s">
        <v>628</v>
      </c>
      <c r="D788" s="207" t="s">
        <v>216</v>
      </c>
      <c r="F788" s="102" t="str">
        <f t="shared" si="29"/>
        <v>MP</v>
      </c>
    </row>
    <row r="789" spans="2:8" ht="17">
      <c r="B789" s="206" t="s">
        <v>2707</v>
      </c>
      <c r="C789" s="207" t="s">
        <v>93</v>
      </c>
      <c r="D789" s="207" t="s">
        <v>216</v>
      </c>
      <c r="F789" s="102" t="str">
        <f t="shared" si="29"/>
        <v>MJ</v>
      </c>
    </row>
    <row r="790" spans="2:8" ht="17">
      <c r="B790" s="206" t="s">
        <v>2708</v>
      </c>
      <c r="C790" s="207" t="s">
        <v>2709</v>
      </c>
      <c r="D790" s="207" t="s">
        <v>216</v>
      </c>
      <c r="F790" s="102" t="str">
        <f t="shared" si="29"/>
        <v>MD</v>
      </c>
      <c r="G790" s="208" t="s">
        <v>2708</v>
      </c>
    </row>
    <row r="791" spans="2:8" ht="17">
      <c r="B791" s="206" t="s">
        <v>2710</v>
      </c>
      <c r="C791" s="207" t="s">
        <v>216</v>
      </c>
      <c r="D791" s="207" t="s">
        <v>216</v>
      </c>
      <c r="F791" s="102" t="str">
        <f t="shared" si="29"/>
        <v>MC</v>
      </c>
    </row>
    <row r="792" spans="2:8" ht="17">
      <c r="B792" s="206" t="s">
        <v>2768</v>
      </c>
      <c r="C792" s="207" t="s">
        <v>32</v>
      </c>
      <c r="D792" s="207" t="s">
        <v>216</v>
      </c>
      <c r="F792" s="102" t="str">
        <f t="shared" si="29"/>
        <v>MM</v>
      </c>
    </row>
    <row r="793" spans="2:8" ht="17">
      <c r="B793" s="206" t="s">
        <v>2769</v>
      </c>
      <c r="C793" s="207" t="s">
        <v>216</v>
      </c>
      <c r="D793" s="207" t="s">
        <v>216</v>
      </c>
      <c r="E793" s="210" t="s">
        <v>2771</v>
      </c>
      <c r="F793" s="102" t="str">
        <f t="shared" si="29"/>
        <v>AE</v>
      </c>
      <c r="G793" s="208" t="s">
        <v>2770</v>
      </c>
    </row>
    <row r="794" spans="2:8" ht="17">
      <c r="B794" s="206" t="s">
        <v>2777</v>
      </c>
      <c r="C794" s="207" t="s">
        <v>216</v>
      </c>
      <c r="D794" s="207" t="s">
        <v>216</v>
      </c>
      <c r="E794" s="210" t="s">
        <v>2778</v>
      </c>
      <c r="F794" s="102" t="str">
        <f t="shared" si="29"/>
        <v>ML</v>
      </c>
    </row>
    <row r="795" spans="2:8" ht="17">
      <c r="B795" s="206" t="s">
        <v>2781</v>
      </c>
      <c r="C795" s="207" t="s">
        <v>466</v>
      </c>
      <c r="D795" s="207" t="s">
        <v>954</v>
      </c>
      <c r="E795" s="210" t="s">
        <v>2782</v>
      </c>
      <c r="F795" s="102" t="str">
        <f t="shared" si="29"/>
        <v>JM</v>
      </c>
    </row>
    <row r="796" spans="2:8" ht="17">
      <c r="B796" s="206" t="s">
        <v>2783</v>
      </c>
      <c r="C796" s="207" t="s">
        <v>2784</v>
      </c>
      <c r="D796" s="207" t="s">
        <v>2785</v>
      </c>
      <c r="F796" s="102" t="str">
        <f t="shared" si="29"/>
        <v>SPGH</v>
      </c>
    </row>
    <row r="797" spans="2:8" ht="17">
      <c r="B797" s="206" t="s">
        <v>2786</v>
      </c>
      <c r="C797" s="207" t="s">
        <v>856</v>
      </c>
      <c r="D797" s="207" t="s">
        <v>856</v>
      </c>
      <c r="E797" s="210" t="s">
        <v>2787</v>
      </c>
      <c r="F797" s="102" t="str">
        <f t="shared" si="29"/>
        <v>E-ST</v>
      </c>
    </row>
    <row r="798" spans="2:8" ht="17">
      <c r="B798" s="206" t="s">
        <v>2788</v>
      </c>
      <c r="C798" s="207" t="s">
        <v>42</v>
      </c>
      <c r="D798" s="207" t="s">
        <v>1502</v>
      </c>
      <c r="E798" s="210" t="s">
        <v>2789</v>
      </c>
      <c r="F798" s="102" t="str">
        <f t="shared" si="29"/>
        <v>PS</v>
      </c>
    </row>
    <row r="799" spans="2:8" ht="17">
      <c r="B799" s="206" t="s">
        <v>2790</v>
      </c>
      <c r="C799" s="207" t="s">
        <v>216</v>
      </c>
      <c r="D799" s="207" t="s">
        <v>216</v>
      </c>
      <c r="E799" s="210" t="s">
        <v>2791</v>
      </c>
      <c r="F799" s="102" t="str">
        <f t="shared" si="29"/>
        <v>BE</v>
      </c>
      <c r="G799" s="208" t="s">
        <v>2792</v>
      </c>
      <c r="H799" s="219" t="s">
        <v>2793</v>
      </c>
    </row>
    <row r="800" spans="2:8" ht="34">
      <c r="B800" s="206" t="s">
        <v>2794</v>
      </c>
      <c r="C800" s="207" t="s">
        <v>2795</v>
      </c>
      <c r="D800" s="207" t="s">
        <v>35</v>
      </c>
      <c r="E800" s="210" t="s">
        <v>2796</v>
      </c>
      <c r="F800" s="102" t="str">
        <f t="shared" si="29"/>
        <v>PGL</v>
      </c>
      <c r="G800" s="208" t="s">
        <v>2797</v>
      </c>
    </row>
    <row r="801" spans="2:7" ht="17">
      <c r="B801" s="206" t="s">
        <v>2800</v>
      </c>
      <c r="C801" s="207" t="s">
        <v>742</v>
      </c>
      <c r="D801" s="207" t="s">
        <v>216</v>
      </c>
      <c r="E801" s="210" t="s">
        <v>2801</v>
      </c>
      <c r="F801" s="102" t="str">
        <f t="shared" si="29"/>
        <v>A</v>
      </c>
    </row>
    <row r="802" spans="2:7" ht="17">
      <c r="B802" s="206" t="s">
        <v>2802</v>
      </c>
      <c r="C802" s="207" t="s">
        <v>2803</v>
      </c>
      <c r="D802" s="207" t="s">
        <v>955</v>
      </c>
      <c r="E802" s="210" t="s">
        <v>2804</v>
      </c>
      <c r="F802" s="102" t="str">
        <f t="shared" si="29"/>
        <v>PEL</v>
      </c>
    </row>
    <row r="803" spans="2:7" ht="17">
      <c r="B803" s="206" t="s">
        <v>2805</v>
      </c>
      <c r="C803" s="207" t="s">
        <v>192</v>
      </c>
      <c r="D803" s="207" t="s">
        <v>216</v>
      </c>
      <c r="E803" s="210" t="s">
        <v>2806</v>
      </c>
      <c r="F803" s="102" t="str">
        <f t="shared" si="29"/>
        <v>S</v>
      </c>
    </row>
    <row r="804" spans="2:7" ht="17">
      <c r="B804" s="206" t="s">
        <v>2807</v>
      </c>
      <c r="C804" s="207" t="s">
        <v>216</v>
      </c>
      <c r="D804" s="207" t="s">
        <v>216</v>
      </c>
      <c r="E804" s="210" t="s">
        <v>2808</v>
      </c>
      <c r="F804" s="102" t="str">
        <f t="shared" si="29"/>
        <v>F-DB</v>
      </c>
    </row>
    <row r="805" spans="2:7" ht="17">
      <c r="B805" s="206" t="s">
        <v>2809</v>
      </c>
      <c r="C805" s="207" t="s">
        <v>856</v>
      </c>
      <c r="D805" s="207" t="s">
        <v>856</v>
      </c>
      <c r="F805" s="102" t="str">
        <f t="shared" si="29"/>
        <v>MB</v>
      </c>
    </row>
    <row r="806" spans="2:7" ht="17">
      <c r="B806" s="206" t="s">
        <v>2810</v>
      </c>
      <c r="C806" s="207" t="s">
        <v>805</v>
      </c>
      <c r="D806" s="207" t="s">
        <v>216</v>
      </c>
      <c r="E806" s="210" t="s">
        <v>2811</v>
      </c>
      <c r="F806" s="102" t="str">
        <f t="shared" si="29"/>
        <v>MN</v>
      </c>
    </row>
    <row r="807" spans="2:7" ht="17">
      <c r="B807" s="206" t="s">
        <v>2812</v>
      </c>
      <c r="C807" s="207" t="s">
        <v>342</v>
      </c>
      <c r="D807" s="207" t="s">
        <v>342</v>
      </c>
      <c r="E807" s="210" t="s">
        <v>1097</v>
      </c>
      <c r="F807" s="102" t="str">
        <f t="shared" si="29"/>
        <v>AB-T</v>
      </c>
    </row>
    <row r="808" spans="2:7" ht="17">
      <c r="B808" s="206" t="s">
        <v>2813</v>
      </c>
      <c r="C808" s="207" t="s">
        <v>29</v>
      </c>
      <c r="D808" s="207" t="s">
        <v>216</v>
      </c>
      <c r="E808" s="210" t="s">
        <v>2814</v>
      </c>
      <c r="F808" s="102" t="str">
        <f t="shared" si="29"/>
        <v>MR</v>
      </c>
    </row>
    <row r="809" spans="2:7" ht="17">
      <c r="B809" s="206" t="s">
        <v>2815</v>
      </c>
      <c r="C809" s="207" t="s">
        <v>2816</v>
      </c>
      <c r="D809" s="207" t="s">
        <v>51</v>
      </c>
      <c r="E809" s="210" t="s">
        <v>2817</v>
      </c>
      <c r="F809" s="102" t="str">
        <f t="shared" si="29"/>
        <v>AV</v>
      </c>
    </row>
    <row r="810" spans="2:7" ht="17">
      <c r="B810" s="206" t="s">
        <v>2818</v>
      </c>
      <c r="C810" s="207" t="s">
        <v>51</v>
      </c>
      <c r="D810" s="207" t="s">
        <v>51</v>
      </c>
      <c r="F810" s="102" t="str">
        <f t="shared" si="29"/>
        <v>PMC</v>
      </c>
      <c r="G810" s="208" t="s">
        <v>2819</v>
      </c>
    </row>
    <row r="811" spans="2:7" ht="17">
      <c r="B811" s="206" t="s">
        <v>2820</v>
      </c>
      <c r="C811" s="207" t="s">
        <v>216</v>
      </c>
      <c r="D811" s="207" t="s">
        <v>216</v>
      </c>
      <c r="E811" s="210" t="s">
        <v>2821</v>
      </c>
      <c r="F811" s="102" t="str">
        <f t="shared" si="29"/>
        <v>AA</v>
      </c>
    </row>
    <row r="812" spans="2:7" ht="34">
      <c r="B812" s="206" t="s">
        <v>2822</v>
      </c>
      <c r="C812" s="207" t="s">
        <v>2678</v>
      </c>
      <c r="D812" s="207" t="s">
        <v>216</v>
      </c>
      <c r="E812" s="210" t="s">
        <v>2823</v>
      </c>
      <c r="F812" s="102" t="str">
        <f t="shared" si="29"/>
        <v>JB</v>
      </c>
    </row>
    <row r="813" spans="2:7" ht="17">
      <c r="B813" s="206" t="s">
        <v>2824</v>
      </c>
      <c r="C813" s="207" t="s">
        <v>2825</v>
      </c>
      <c r="D813" s="207" t="s">
        <v>954</v>
      </c>
      <c r="E813" s="210" t="s">
        <v>2826</v>
      </c>
      <c r="F813" s="102" t="str">
        <f t="shared" si="29"/>
        <v>A</v>
      </c>
    </row>
    <row r="814" spans="2:7" ht="17">
      <c r="B814" s="206" t="s">
        <v>2827</v>
      </c>
      <c r="C814" s="207" t="s">
        <v>627</v>
      </c>
      <c r="D814" s="207" t="s">
        <v>216</v>
      </c>
      <c r="E814" s="210" t="s">
        <v>2828</v>
      </c>
      <c r="F814" s="102" t="str">
        <f t="shared" si="29"/>
        <v>DI</v>
      </c>
    </row>
    <row r="815" spans="2:7" ht="17">
      <c r="B815" s="206" t="s">
        <v>2830</v>
      </c>
      <c r="C815" s="207" t="s">
        <v>566</v>
      </c>
      <c r="D815" s="207" t="s">
        <v>216</v>
      </c>
      <c r="F815" s="102" t="str">
        <f t="shared" si="29"/>
        <v>R-A</v>
      </c>
    </row>
    <row r="816" spans="2:7" ht="17">
      <c r="B816" s="206" t="s">
        <v>2127</v>
      </c>
      <c r="C816" s="207" t="s">
        <v>216</v>
      </c>
      <c r="D816" s="207" t="s">
        <v>216</v>
      </c>
      <c r="F816" s="102" t="str">
        <f t="shared" si="29"/>
        <v>A</v>
      </c>
    </row>
    <row r="817" spans="2:6" ht="17">
      <c r="B817" s="206" t="s">
        <v>2831</v>
      </c>
      <c r="C817" s="207" t="s">
        <v>74</v>
      </c>
      <c r="D817" s="207" t="s">
        <v>216</v>
      </c>
      <c r="F817" s="102" t="str">
        <f t="shared" si="29"/>
        <v>A</v>
      </c>
    </row>
    <row r="818" spans="2:6">
      <c r="F818" s="102" t="str">
        <f t="shared" si="29"/>
        <v/>
      </c>
    </row>
    <row r="819" spans="2:6">
      <c r="F819" s="102" t="str">
        <f t="shared" si="29"/>
        <v/>
      </c>
    </row>
    <row r="820" spans="2:6">
      <c r="F820" s="102" t="str">
        <f t="shared" si="29"/>
        <v/>
      </c>
    </row>
    <row r="821" spans="2:6">
      <c r="F821" s="102" t="str">
        <f t="shared" si="29"/>
        <v/>
      </c>
    </row>
    <row r="822" spans="2:6">
      <c r="F822" s="102" t="str">
        <f t="shared" si="29"/>
        <v/>
      </c>
    </row>
    <row r="823" spans="2:6">
      <c r="F823" s="102" t="str">
        <f t="shared" si="29"/>
        <v/>
      </c>
    </row>
    <row r="824" spans="2:6">
      <c r="F824" s="102" t="str">
        <f t="shared" si="29"/>
        <v/>
      </c>
    </row>
    <row r="825" spans="2:6">
      <c r="F825" s="102" t="str">
        <f t="shared" si="29"/>
        <v/>
      </c>
    </row>
    <row r="826" spans="2:6">
      <c r="F826" s="102" t="str">
        <f t="shared" si="29"/>
        <v/>
      </c>
    </row>
    <row r="827" spans="2:6">
      <c r="F827" s="102" t="str">
        <f t="shared" si="29"/>
        <v/>
      </c>
    </row>
    <row r="828" spans="2:6">
      <c r="F828" s="102" t="str">
        <f t="shared" si="29"/>
        <v/>
      </c>
    </row>
    <row r="829" spans="2:6">
      <c r="F829" s="102" t="str">
        <f t="shared" si="29"/>
        <v/>
      </c>
    </row>
    <row r="830" spans="2:6">
      <c r="F830" s="102" t="str">
        <f t="shared" si="29"/>
        <v/>
      </c>
    </row>
    <row r="831" spans="2:6">
      <c r="F831" s="102" t="str">
        <f t="shared" si="29"/>
        <v/>
      </c>
    </row>
    <row r="832" spans="2:6">
      <c r="F832" s="102" t="str">
        <f t="shared" si="29"/>
        <v/>
      </c>
    </row>
    <row r="833" spans="6:6">
      <c r="F833" s="102" t="str">
        <f t="shared" si="29"/>
        <v/>
      </c>
    </row>
    <row r="834" spans="6:6">
      <c r="F834" s="102" t="str">
        <f t="shared" si="29"/>
        <v/>
      </c>
    </row>
    <row r="835" spans="6:6">
      <c r="F835" s="102" t="str">
        <f t="shared" ref="F835:F898" si="30">UPPER(LEFT(B835,1)) &amp; IFERROR(UPPER(LEFT(MID(B835,FIND(" ",B835)+1,LEN(B835)),1)),"") &amp; IFERROR(UPPER(LEFT(MID(B835,FIND(" ",B835,FIND(" ",B835)+1)+1,LEN(B835)),1)),"") &amp; IFERROR(UPPER(LEFT(MID(B835,FIND(" ",B835,FIND(" ",B835,FIND(" ",B835)+1)+1)+1,LEN(B835)),1)),"")</f>
        <v/>
      </c>
    </row>
    <row r="836" spans="6:6">
      <c r="F836" s="102" t="str">
        <f t="shared" si="30"/>
        <v/>
      </c>
    </row>
    <row r="837" spans="6:6">
      <c r="F837" s="102" t="str">
        <f t="shared" si="30"/>
        <v/>
      </c>
    </row>
    <row r="838" spans="6:6">
      <c r="F838" s="102" t="str">
        <f t="shared" si="30"/>
        <v/>
      </c>
    </row>
    <row r="839" spans="6:6">
      <c r="F839" s="102" t="str">
        <f t="shared" si="30"/>
        <v/>
      </c>
    </row>
    <row r="840" spans="6:6">
      <c r="F840" s="102" t="str">
        <f t="shared" si="30"/>
        <v/>
      </c>
    </row>
    <row r="841" spans="6:6">
      <c r="F841" s="102" t="str">
        <f t="shared" si="30"/>
        <v/>
      </c>
    </row>
    <row r="842" spans="6:6">
      <c r="F842" s="102" t="str">
        <f t="shared" si="30"/>
        <v/>
      </c>
    </row>
    <row r="843" spans="6:6">
      <c r="F843" s="102" t="str">
        <f t="shared" si="30"/>
        <v/>
      </c>
    </row>
    <row r="844" spans="6:6">
      <c r="F844" s="102" t="str">
        <f t="shared" si="30"/>
        <v/>
      </c>
    </row>
    <row r="845" spans="6:6">
      <c r="F845" s="102" t="str">
        <f t="shared" si="30"/>
        <v/>
      </c>
    </row>
    <row r="846" spans="6:6">
      <c r="F846" s="102" t="str">
        <f t="shared" si="30"/>
        <v/>
      </c>
    </row>
    <row r="847" spans="6:6">
      <c r="F847" s="102" t="str">
        <f t="shared" si="30"/>
        <v/>
      </c>
    </row>
    <row r="848" spans="6:6">
      <c r="F848" s="102" t="str">
        <f t="shared" si="30"/>
        <v/>
      </c>
    </row>
    <row r="849" spans="6:6">
      <c r="F849" s="102" t="str">
        <f t="shared" si="30"/>
        <v/>
      </c>
    </row>
    <row r="850" spans="6:6">
      <c r="F850" s="102" t="str">
        <f t="shared" si="30"/>
        <v/>
      </c>
    </row>
    <row r="851" spans="6:6">
      <c r="F851" s="102" t="str">
        <f t="shared" si="30"/>
        <v/>
      </c>
    </row>
    <row r="852" spans="6:6">
      <c r="F852" s="102" t="str">
        <f t="shared" si="30"/>
        <v/>
      </c>
    </row>
    <row r="853" spans="6:6">
      <c r="F853" s="102" t="str">
        <f t="shared" si="30"/>
        <v/>
      </c>
    </row>
    <row r="854" spans="6:6">
      <c r="F854" s="102" t="str">
        <f t="shared" si="30"/>
        <v/>
      </c>
    </row>
    <row r="855" spans="6:6">
      <c r="F855" s="102" t="str">
        <f t="shared" si="30"/>
        <v/>
      </c>
    </row>
    <row r="856" spans="6:6">
      <c r="F856" s="102" t="str">
        <f t="shared" si="30"/>
        <v/>
      </c>
    </row>
    <row r="857" spans="6:6">
      <c r="F857" s="102" t="str">
        <f t="shared" si="30"/>
        <v/>
      </c>
    </row>
    <row r="858" spans="6:6">
      <c r="F858" s="102" t="str">
        <f t="shared" si="30"/>
        <v/>
      </c>
    </row>
    <row r="859" spans="6:6">
      <c r="F859" s="102" t="str">
        <f t="shared" si="30"/>
        <v/>
      </c>
    </row>
    <row r="860" spans="6:6">
      <c r="F860" s="102" t="str">
        <f t="shared" si="30"/>
        <v/>
      </c>
    </row>
    <row r="861" spans="6:6">
      <c r="F861" s="102" t="str">
        <f t="shared" si="30"/>
        <v/>
      </c>
    </row>
    <row r="862" spans="6:6">
      <c r="F862" s="102" t="str">
        <f t="shared" si="30"/>
        <v/>
      </c>
    </row>
    <row r="863" spans="6:6">
      <c r="F863" s="102" t="str">
        <f t="shared" si="30"/>
        <v/>
      </c>
    </row>
    <row r="864" spans="6:6">
      <c r="F864" s="102" t="str">
        <f t="shared" si="30"/>
        <v/>
      </c>
    </row>
    <row r="865" spans="6:6">
      <c r="F865" s="102" t="str">
        <f t="shared" si="30"/>
        <v/>
      </c>
    </row>
    <row r="866" spans="6:6">
      <c r="F866" s="102" t="str">
        <f t="shared" si="30"/>
        <v/>
      </c>
    </row>
    <row r="867" spans="6:6">
      <c r="F867" s="102" t="str">
        <f t="shared" si="30"/>
        <v/>
      </c>
    </row>
    <row r="868" spans="6:6">
      <c r="F868" s="102" t="str">
        <f t="shared" si="30"/>
        <v/>
      </c>
    </row>
    <row r="869" spans="6:6">
      <c r="F869" s="102" t="str">
        <f t="shared" si="30"/>
        <v/>
      </c>
    </row>
    <row r="870" spans="6:6">
      <c r="F870" s="102" t="str">
        <f t="shared" si="30"/>
        <v/>
      </c>
    </row>
    <row r="871" spans="6:6">
      <c r="F871" s="102" t="str">
        <f t="shared" si="30"/>
        <v/>
      </c>
    </row>
    <row r="872" spans="6:6">
      <c r="F872" s="102" t="str">
        <f t="shared" si="30"/>
        <v/>
      </c>
    </row>
    <row r="873" spans="6:6">
      <c r="F873" s="102" t="str">
        <f t="shared" si="30"/>
        <v/>
      </c>
    </row>
    <row r="874" spans="6:6">
      <c r="F874" s="102" t="str">
        <f t="shared" si="30"/>
        <v/>
      </c>
    </row>
    <row r="875" spans="6:6">
      <c r="F875" s="102" t="str">
        <f t="shared" si="30"/>
        <v/>
      </c>
    </row>
    <row r="876" spans="6:6">
      <c r="F876" s="102" t="str">
        <f t="shared" si="30"/>
        <v/>
      </c>
    </row>
    <row r="877" spans="6:6">
      <c r="F877" s="102" t="str">
        <f t="shared" si="30"/>
        <v/>
      </c>
    </row>
    <row r="878" spans="6:6">
      <c r="F878" s="102" t="str">
        <f t="shared" si="30"/>
        <v/>
      </c>
    </row>
    <row r="879" spans="6:6">
      <c r="F879" s="102" t="str">
        <f t="shared" si="30"/>
        <v/>
      </c>
    </row>
    <row r="880" spans="6:6">
      <c r="F880" s="102" t="str">
        <f t="shared" si="30"/>
        <v/>
      </c>
    </row>
    <row r="881" spans="6:6">
      <c r="F881" s="102" t="str">
        <f t="shared" si="30"/>
        <v/>
      </c>
    </row>
    <row r="882" spans="6:6">
      <c r="F882" s="102" t="str">
        <f t="shared" si="30"/>
        <v/>
      </c>
    </row>
    <row r="883" spans="6:6">
      <c r="F883" s="102" t="str">
        <f t="shared" si="30"/>
        <v/>
      </c>
    </row>
    <row r="884" spans="6:6">
      <c r="F884" s="102" t="str">
        <f t="shared" si="30"/>
        <v/>
      </c>
    </row>
    <row r="885" spans="6:6">
      <c r="F885" s="102" t="str">
        <f t="shared" si="30"/>
        <v/>
      </c>
    </row>
    <row r="886" spans="6:6">
      <c r="F886" s="102" t="str">
        <f t="shared" si="30"/>
        <v/>
      </c>
    </row>
    <row r="887" spans="6:6">
      <c r="F887" s="102" t="str">
        <f t="shared" si="30"/>
        <v/>
      </c>
    </row>
    <row r="888" spans="6:6">
      <c r="F888" s="102" t="str">
        <f t="shared" si="30"/>
        <v/>
      </c>
    </row>
    <row r="889" spans="6:6">
      <c r="F889" s="102" t="str">
        <f t="shared" si="30"/>
        <v/>
      </c>
    </row>
    <row r="890" spans="6:6">
      <c r="F890" s="102" t="str">
        <f t="shared" si="30"/>
        <v/>
      </c>
    </row>
    <row r="891" spans="6:6">
      <c r="F891" s="102" t="str">
        <f t="shared" si="30"/>
        <v/>
      </c>
    </row>
    <row r="892" spans="6:6">
      <c r="F892" s="102" t="str">
        <f t="shared" si="30"/>
        <v/>
      </c>
    </row>
    <row r="893" spans="6:6">
      <c r="F893" s="102" t="str">
        <f t="shared" si="30"/>
        <v/>
      </c>
    </row>
    <row r="894" spans="6:6">
      <c r="F894" s="102" t="str">
        <f t="shared" si="30"/>
        <v/>
      </c>
    </row>
    <row r="895" spans="6:6">
      <c r="F895" s="102" t="str">
        <f t="shared" si="30"/>
        <v/>
      </c>
    </row>
    <row r="896" spans="6:6">
      <c r="F896" s="102" t="str">
        <f t="shared" si="30"/>
        <v/>
      </c>
    </row>
    <row r="897" spans="6:6">
      <c r="F897" s="102" t="str">
        <f t="shared" si="30"/>
        <v/>
      </c>
    </row>
    <row r="898" spans="6:6">
      <c r="F898" s="102" t="str">
        <f t="shared" si="30"/>
        <v/>
      </c>
    </row>
    <row r="899" spans="6:6">
      <c r="F899" s="102" t="str">
        <f t="shared" ref="F899:F962" si="31">UPPER(LEFT(B899,1)) &amp; IFERROR(UPPER(LEFT(MID(B899,FIND(" ",B899)+1,LEN(B899)),1)),"") &amp; IFERROR(UPPER(LEFT(MID(B899,FIND(" ",B899,FIND(" ",B899)+1)+1,LEN(B899)),1)),"") &amp; IFERROR(UPPER(LEFT(MID(B899,FIND(" ",B899,FIND(" ",B899,FIND(" ",B899)+1)+1)+1,LEN(B899)),1)),"")</f>
        <v/>
      </c>
    </row>
    <row r="900" spans="6:6">
      <c r="F900" s="102" t="str">
        <f t="shared" si="31"/>
        <v/>
      </c>
    </row>
    <row r="901" spans="6:6">
      <c r="F901" s="102" t="str">
        <f t="shared" si="31"/>
        <v/>
      </c>
    </row>
    <row r="902" spans="6:6">
      <c r="F902" s="102" t="str">
        <f t="shared" si="31"/>
        <v/>
      </c>
    </row>
    <row r="903" spans="6:6">
      <c r="F903" s="102" t="str">
        <f t="shared" si="31"/>
        <v/>
      </c>
    </row>
    <row r="904" spans="6:6">
      <c r="F904" s="102" t="str">
        <f t="shared" si="31"/>
        <v/>
      </c>
    </row>
    <row r="905" spans="6:6">
      <c r="F905" s="102" t="str">
        <f t="shared" si="31"/>
        <v/>
      </c>
    </row>
    <row r="906" spans="6:6">
      <c r="F906" s="102" t="str">
        <f t="shared" si="31"/>
        <v/>
      </c>
    </row>
    <row r="907" spans="6:6">
      <c r="F907" s="102" t="str">
        <f t="shared" si="31"/>
        <v/>
      </c>
    </row>
    <row r="908" spans="6:6">
      <c r="F908" s="102" t="str">
        <f t="shared" si="31"/>
        <v/>
      </c>
    </row>
    <row r="909" spans="6:6">
      <c r="F909" s="102" t="str">
        <f t="shared" si="31"/>
        <v/>
      </c>
    </row>
    <row r="910" spans="6:6">
      <c r="F910" s="102" t="str">
        <f t="shared" si="31"/>
        <v/>
      </c>
    </row>
    <row r="911" spans="6:6">
      <c r="F911" s="102" t="str">
        <f t="shared" si="31"/>
        <v/>
      </c>
    </row>
    <row r="912" spans="6:6">
      <c r="F912" s="102" t="str">
        <f t="shared" si="31"/>
        <v/>
      </c>
    </row>
    <row r="913" spans="6:6">
      <c r="F913" s="102" t="str">
        <f t="shared" si="31"/>
        <v/>
      </c>
    </row>
    <row r="914" spans="6:6">
      <c r="F914" s="102" t="str">
        <f t="shared" si="31"/>
        <v/>
      </c>
    </row>
    <row r="915" spans="6:6">
      <c r="F915" s="102" t="str">
        <f t="shared" si="31"/>
        <v/>
      </c>
    </row>
    <row r="916" spans="6:6">
      <c r="F916" s="102" t="str">
        <f t="shared" si="31"/>
        <v/>
      </c>
    </row>
    <row r="917" spans="6:6">
      <c r="F917" s="102" t="str">
        <f t="shared" si="31"/>
        <v/>
      </c>
    </row>
    <row r="918" spans="6:6">
      <c r="F918" s="102" t="str">
        <f t="shared" si="31"/>
        <v/>
      </c>
    </row>
    <row r="919" spans="6:6">
      <c r="F919" s="102" t="str">
        <f t="shared" si="31"/>
        <v/>
      </c>
    </row>
    <row r="920" spans="6:6">
      <c r="F920" s="102" t="str">
        <f t="shared" si="31"/>
        <v/>
      </c>
    </row>
    <row r="921" spans="6:6">
      <c r="F921" s="102" t="str">
        <f t="shared" si="31"/>
        <v/>
      </c>
    </row>
    <row r="922" spans="6:6">
      <c r="F922" s="102" t="str">
        <f t="shared" si="31"/>
        <v/>
      </c>
    </row>
    <row r="923" spans="6:6">
      <c r="F923" s="102" t="str">
        <f t="shared" si="31"/>
        <v/>
      </c>
    </row>
    <row r="924" spans="6:6">
      <c r="F924" s="102" t="str">
        <f t="shared" si="31"/>
        <v/>
      </c>
    </row>
    <row r="925" spans="6:6">
      <c r="F925" s="102" t="str">
        <f t="shared" si="31"/>
        <v/>
      </c>
    </row>
    <row r="926" spans="6:6">
      <c r="F926" s="102" t="str">
        <f t="shared" si="31"/>
        <v/>
      </c>
    </row>
    <row r="927" spans="6:6">
      <c r="F927" s="102" t="str">
        <f t="shared" si="31"/>
        <v/>
      </c>
    </row>
    <row r="928" spans="6:6">
      <c r="F928" s="102" t="str">
        <f t="shared" si="31"/>
        <v/>
      </c>
    </row>
    <row r="929" spans="6:6">
      <c r="F929" s="102" t="str">
        <f t="shared" si="31"/>
        <v/>
      </c>
    </row>
    <row r="930" spans="6:6">
      <c r="F930" s="102" t="str">
        <f t="shared" si="31"/>
        <v/>
      </c>
    </row>
    <row r="931" spans="6:6">
      <c r="F931" s="102" t="str">
        <f t="shared" si="31"/>
        <v/>
      </c>
    </row>
    <row r="932" spans="6:6">
      <c r="F932" s="102" t="str">
        <f t="shared" si="31"/>
        <v/>
      </c>
    </row>
    <row r="933" spans="6:6">
      <c r="F933" s="102" t="str">
        <f t="shared" si="31"/>
        <v/>
      </c>
    </row>
    <row r="934" spans="6:6">
      <c r="F934" s="102" t="str">
        <f t="shared" si="31"/>
        <v/>
      </c>
    </row>
    <row r="935" spans="6:6">
      <c r="F935" s="102" t="str">
        <f t="shared" si="31"/>
        <v/>
      </c>
    </row>
    <row r="936" spans="6:6">
      <c r="F936" s="102" t="str">
        <f t="shared" si="31"/>
        <v/>
      </c>
    </row>
    <row r="937" spans="6:6">
      <c r="F937" s="102" t="str">
        <f t="shared" si="31"/>
        <v/>
      </c>
    </row>
    <row r="938" spans="6:6">
      <c r="F938" s="102" t="str">
        <f t="shared" si="31"/>
        <v/>
      </c>
    </row>
    <row r="939" spans="6:6">
      <c r="F939" s="102" t="str">
        <f t="shared" si="31"/>
        <v/>
      </c>
    </row>
    <row r="940" spans="6:6">
      <c r="F940" s="102" t="str">
        <f t="shared" si="31"/>
        <v/>
      </c>
    </row>
    <row r="941" spans="6:6">
      <c r="F941" s="102" t="str">
        <f t="shared" si="31"/>
        <v/>
      </c>
    </row>
    <row r="942" spans="6:6">
      <c r="F942" s="102" t="str">
        <f t="shared" si="31"/>
        <v/>
      </c>
    </row>
    <row r="943" spans="6:6">
      <c r="F943" s="102" t="str">
        <f t="shared" si="31"/>
        <v/>
      </c>
    </row>
    <row r="944" spans="6:6">
      <c r="F944" s="102" t="str">
        <f t="shared" si="31"/>
        <v/>
      </c>
    </row>
    <row r="945" spans="6:6">
      <c r="F945" s="102" t="str">
        <f t="shared" si="31"/>
        <v/>
      </c>
    </row>
    <row r="946" spans="6:6">
      <c r="F946" s="102" t="str">
        <f t="shared" si="31"/>
        <v/>
      </c>
    </row>
    <row r="947" spans="6:6">
      <c r="F947" s="102" t="str">
        <f t="shared" si="31"/>
        <v/>
      </c>
    </row>
    <row r="948" spans="6:6">
      <c r="F948" s="102" t="str">
        <f t="shared" si="31"/>
        <v/>
      </c>
    </row>
    <row r="949" spans="6:6">
      <c r="F949" s="102" t="str">
        <f t="shared" si="31"/>
        <v/>
      </c>
    </row>
    <row r="950" spans="6:6">
      <c r="F950" s="102" t="str">
        <f t="shared" si="31"/>
        <v/>
      </c>
    </row>
    <row r="951" spans="6:6">
      <c r="F951" s="102" t="str">
        <f t="shared" si="31"/>
        <v/>
      </c>
    </row>
    <row r="952" spans="6:6">
      <c r="F952" s="102" t="str">
        <f t="shared" si="31"/>
        <v/>
      </c>
    </row>
    <row r="953" spans="6:6">
      <c r="F953" s="102" t="str">
        <f t="shared" si="31"/>
        <v/>
      </c>
    </row>
    <row r="954" spans="6:6">
      <c r="F954" s="102" t="str">
        <f t="shared" si="31"/>
        <v/>
      </c>
    </row>
    <row r="955" spans="6:6">
      <c r="F955" s="102" t="str">
        <f t="shared" si="31"/>
        <v/>
      </c>
    </row>
    <row r="956" spans="6:6">
      <c r="F956" s="102" t="str">
        <f t="shared" si="31"/>
        <v/>
      </c>
    </row>
    <row r="957" spans="6:6">
      <c r="F957" s="102" t="str">
        <f t="shared" si="31"/>
        <v/>
      </c>
    </row>
    <row r="958" spans="6:6">
      <c r="F958" s="102" t="str">
        <f t="shared" si="31"/>
        <v/>
      </c>
    </row>
    <row r="959" spans="6:6">
      <c r="F959" s="102" t="str">
        <f t="shared" si="31"/>
        <v/>
      </c>
    </row>
    <row r="960" spans="6:6">
      <c r="F960" s="102" t="str">
        <f t="shared" si="31"/>
        <v/>
      </c>
    </row>
    <row r="961" spans="6:6">
      <c r="F961" s="102" t="str">
        <f t="shared" si="31"/>
        <v/>
      </c>
    </row>
    <row r="962" spans="6:6">
      <c r="F962" s="102" t="str">
        <f t="shared" si="31"/>
        <v/>
      </c>
    </row>
    <row r="963" spans="6:6">
      <c r="F963" s="102" t="str">
        <f t="shared" ref="F963:F1026" si="32">UPPER(LEFT(B963,1)) &amp; IFERROR(UPPER(LEFT(MID(B963,FIND(" ",B963)+1,LEN(B963)),1)),"") &amp; IFERROR(UPPER(LEFT(MID(B963,FIND(" ",B963,FIND(" ",B963)+1)+1,LEN(B963)),1)),"") &amp; IFERROR(UPPER(LEFT(MID(B963,FIND(" ",B963,FIND(" ",B963,FIND(" ",B963)+1)+1)+1,LEN(B963)),1)),"")</f>
        <v/>
      </c>
    </row>
    <row r="964" spans="6:6">
      <c r="F964" s="102" t="str">
        <f t="shared" si="32"/>
        <v/>
      </c>
    </row>
    <row r="965" spans="6:6">
      <c r="F965" s="102" t="str">
        <f t="shared" si="32"/>
        <v/>
      </c>
    </row>
    <row r="966" spans="6:6">
      <c r="F966" s="102" t="str">
        <f t="shared" si="32"/>
        <v/>
      </c>
    </row>
    <row r="967" spans="6:6">
      <c r="F967" s="102" t="str">
        <f t="shared" si="32"/>
        <v/>
      </c>
    </row>
    <row r="968" spans="6:6">
      <c r="F968" s="102" t="str">
        <f t="shared" si="32"/>
        <v/>
      </c>
    </row>
    <row r="969" spans="6:6">
      <c r="F969" s="102" t="str">
        <f t="shared" si="32"/>
        <v/>
      </c>
    </row>
    <row r="970" spans="6:6">
      <c r="F970" s="102" t="str">
        <f t="shared" si="32"/>
        <v/>
      </c>
    </row>
    <row r="971" spans="6:6">
      <c r="F971" s="102" t="str">
        <f t="shared" si="32"/>
        <v/>
      </c>
    </row>
    <row r="972" spans="6:6">
      <c r="F972" s="102" t="str">
        <f t="shared" si="32"/>
        <v/>
      </c>
    </row>
    <row r="973" spans="6:6">
      <c r="F973" s="102" t="str">
        <f t="shared" si="32"/>
        <v/>
      </c>
    </row>
    <row r="974" spans="6:6">
      <c r="F974" s="102" t="str">
        <f t="shared" si="32"/>
        <v/>
      </c>
    </row>
    <row r="975" spans="6:6">
      <c r="F975" s="102" t="str">
        <f t="shared" si="32"/>
        <v/>
      </c>
    </row>
    <row r="976" spans="6:6">
      <c r="F976" s="102" t="str">
        <f t="shared" si="32"/>
        <v/>
      </c>
    </row>
    <row r="977" spans="6:6">
      <c r="F977" s="102" t="str">
        <f t="shared" si="32"/>
        <v/>
      </c>
    </row>
    <row r="978" spans="6:6">
      <c r="F978" s="102" t="str">
        <f t="shared" si="32"/>
        <v/>
      </c>
    </row>
    <row r="979" spans="6:6">
      <c r="F979" s="102" t="str">
        <f t="shared" si="32"/>
        <v/>
      </c>
    </row>
    <row r="980" spans="6:6">
      <c r="F980" s="102" t="str">
        <f t="shared" si="32"/>
        <v/>
      </c>
    </row>
    <row r="981" spans="6:6">
      <c r="F981" s="102" t="str">
        <f t="shared" si="32"/>
        <v/>
      </c>
    </row>
    <row r="982" spans="6:6">
      <c r="F982" s="102" t="str">
        <f t="shared" si="32"/>
        <v/>
      </c>
    </row>
    <row r="983" spans="6:6">
      <c r="F983" s="102" t="str">
        <f t="shared" si="32"/>
        <v/>
      </c>
    </row>
    <row r="984" spans="6:6">
      <c r="F984" s="102" t="str">
        <f t="shared" si="32"/>
        <v/>
      </c>
    </row>
    <row r="985" spans="6:6">
      <c r="F985" s="102" t="str">
        <f t="shared" si="32"/>
        <v/>
      </c>
    </row>
    <row r="986" spans="6:6">
      <c r="F986" s="102" t="str">
        <f t="shared" si="32"/>
        <v/>
      </c>
    </row>
    <row r="987" spans="6:6">
      <c r="F987" s="102" t="str">
        <f t="shared" si="32"/>
        <v/>
      </c>
    </row>
    <row r="988" spans="6:6">
      <c r="F988" s="102" t="str">
        <f t="shared" si="32"/>
        <v/>
      </c>
    </row>
    <row r="989" spans="6:6">
      <c r="F989" s="102" t="str">
        <f t="shared" si="32"/>
        <v/>
      </c>
    </row>
    <row r="990" spans="6:6">
      <c r="F990" s="102" t="str">
        <f t="shared" si="32"/>
        <v/>
      </c>
    </row>
    <row r="991" spans="6:6">
      <c r="F991" s="102" t="str">
        <f t="shared" si="32"/>
        <v/>
      </c>
    </row>
    <row r="992" spans="6:6">
      <c r="F992" s="102" t="str">
        <f t="shared" si="32"/>
        <v/>
      </c>
    </row>
    <row r="993" spans="6:6">
      <c r="F993" s="102" t="str">
        <f t="shared" si="32"/>
        <v/>
      </c>
    </row>
    <row r="994" spans="6:6">
      <c r="F994" s="102" t="str">
        <f t="shared" si="32"/>
        <v/>
      </c>
    </row>
    <row r="995" spans="6:6">
      <c r="F995" s="102" t="str">
        <f t="shared" si="32"/>
        <v/>
      </c>
    </row>
    <row r="996" spans="6:6">
      <c r="F996" s="102" t="str">
        <f t="shared" si="32"/>
        <v/>
      </c>
    </row>
    <row r="997" spans="6:6">
      <c r="F997" s="102" t="str">
        <f t="shared" si="32"/>
        <v/>
      </c>
    </row>
    <row r="998" spans="6:6">
      <c r="F998" s="102" t="str">
        <f t="shared" si="32"/>
        <v/>
      </c>
    </row>
    <row r="999" spans="6:6">
      <c r="F999" s="102" t="str">
        <f t="shared" si="32"/>
        <v/>
      </c>
    </row>
    <row r="1000" spans="6:6">
      <c r="F1000" s="102" t="str">
        <f t="shared" si="32"/>
        <v/>
      </c>
    </row>
    <row r="1001" spans="6:6">
      <c r="F1001" s="102" t="str">
        <f t="shared" si="32"/>
        <v/>
      </c>
    </row>
    <row r="1002" spans="6:6">
      <c r="F1002" s="102" t="str">
        <f t="shared" si="32"/>
        <v/>
      </c>
    </row>
    <row r="1003" spans="6:6">
      <c r="F1003" s="102" t="str">
        <f t="shared" si="32"/>
        <v/>
      </c>
    </row>
    <row r="1004" spans="6:6">
      <c r="F1004" s="102" t="str">
        <f t="shared" si="32"/>
        <v/>
      </c>
    </row>
    <row r="1005" spans="6:6">
      <c r="F1005" s="102" t="str">
        <f t="shared" si="32"/>
        <v/>
      </c>
    </row>
    <row r="1006" spans="6:6">
      <c r="F1006" s="102" t="str">
        <f t="shared" si="32"/>
        <v/>
      </c>
    </row>
    <row r="1007" spans="6:6">
      <c r="F1007" s="102" t="str">
        <f t="shared" si="32"/>
        <v/>
      </c>
    </row>
    <row r="1008" spans="6:6">
      <c r="F1008" s="102" t="str">
        <f t="shared" si="32"/>
        <v/>
      </c>
    </row>
    <row r="1009" spans="6:6">
      <c r="F1009" s="102" t="str">
        <f t="shared" si="32"/>
        <v/>
      </c>
    </row>
    <row r="1010" spans="6:6">
      <c r="F1010" s="102" t="str">
        <f t="shared" si="32"/>
        <v/>
      </c>
    </row>
    <row r="1011" spans="6:6">
      <c r="F1011" s="102" t="str">
        <f t="shared" si="32"/>
        <v/>
      </c>
    </row>
    <row r="1012" spans="6:6">
      <c r="F1012" s="102" t="str">
        <f t="shared" si="32"/>
        <v/>
      </c>
    </row>
    <row r="1013" spans="6:6">
      <c r="F1013" s="102" t="str">
        <f t="shared" si="32"/>
        <v/>
      </c>
    </row>
    <row r="1014" spans="6:6">
      <c r="F1014" s="102" t="str">
        <f t="shared" si="32"/>
        <v/>
      </c>
    </row>
    <row r="1015" spans="6:6">
      <c r="F1015" s="102" t="str">
        <f t="shared" si="32"/>
        <v/>
      </c>
    </row>
    <row r="1016" spans="6:6">
      <c r="F1016" s="102" t="str">
        <f t="shared" si="32"/>
        <v/>
      </c>
    </row>
    <row r="1017" spans="6:6">
      <c r="F1017" s="102" t="str">
        <f t="shared" si="32"/>
        <v/>
      </c>
    </row>
    <row r="1018" spans="6:6">
      <c r="F1018" s="102" t="str">
        <f t="shared" si="32"/>
        <v/>
      </c>
    </row>
    <row r="1019" spans="6:6">
      <c r="F1019" s="102" t="str">
        <f t="shared" si="32"/>
        <v/>
      </c>
    </row>
    <row r="1020" spans="6:6">
      <c r="F1020" s="102" t="str">
        <f t="shared" si="32"/>
        <v/>
      </c>
    </row>
    <row r="1021" spans="6:6">
      <c r="F1021" s="102" t="str">
        <f t="shared" si="32"/>
        <v/>
      </c>
    </row>
    <row r="1022" spans="6:6">
      <c r="F1022" s="102" t="str">
        <f t="shared" si="32"/>
        <v/>
      </c>
    </row>
    <row r="1023" spans="6:6">
      <c r="F1023" s="102" t="str">
        <f t="shared" si="32"/>
        <v/>
      </c>
    </row>
    <row r="1024" spans="6:6">
      <c r="F1024" s="102" t="str">
        <f t="shared" si="32"/>
        <v/>
      </c>
    </row>
    <row r="1025" spans="6:6">
      <c r="F1025" s="102" t="str">
        <f t="shared" si="32"/>
        <v/>
      </c>
    </row>
    <row r="1026" spans="6:6">
      <c r="F1026" s="102" t="str">
        <f t="shared" si="32"/>
        <v/>
      </c>
    </row>
    <row r="1027" spans="6:6">
      <c r="F1027" s="102" t="str">
        <f t="shared" ref="F1027:F1090" si="33">UPPER(LEFT(B1027,1)) &amp; IFERROR(UPPER(LEFT(MID(B1027,FIND(" ",B1027)+1,LEN(B1027)),1)),"") &amp; IFERROR(UPPER(LEFT(MID(B1027,FIND(" ",B1027,FIND(" ",B1027)+1)+1,LEN(B1027)),1)),"") &amp; IFERROR(UPPER(LEFT(MID(B1027,FIND(" ",B1027,FIND(" ",B1027,FIND(" ",B1027)+1)+1)+1,LEN(B1027)),1)),"")</f>
        <v/>
      </c>
    </row>
    <row r="1028" spans="6:6">
      <c r="F1028" s="102" t="str">
        <f t="shared" si="33"/>
        <v/>
      </c>
    </row>
    <row r="1029" spans="6:6">
      <c r="F1029" s="102" t="str">
        <f t="shared" si="33"/>
        <v/>
      </c>
    </row>
    <row r="1030" spans="6:6">
      <c r="F1030" s="102" t="str">
        <f t="shared" si="33"/>
        <v/>
      </c>
    </row>
    <row r="1031" spans="6:6">
      <c r="F1031" s="102" t="str">
        <f t="shared" si="33"/>
        <v/>
      </c>
    </row>
    <row r="1032" spans="6:6">
      <c r="F1032" s="102" t="str">
        <f t="shared" si="33"/>
        <v/>
      </c>
    </row>
    <row r="1033" spans="6:6">
      <c r="F1033" s="102" t="str">
        <f t="shared" si="33"/>
        <v/>
      </c>
    </row>
    <row r="1034" spans="6:6">
      <c r="F1034" s="102" t="str">
        <f t="shared" si="33"/>
        <v/>
      </c>
    </row>
    <row r="1035" spans="6:6">
      <c r="F1035" s="102" t="str">
        <f t="shared" si="33"/>
        <v/>
      </c>
    </row>
    <row r="1036" spans="6:6">
      <c r="F1036" s="102" t="str">
        <f t="shared" si="33"/>
        <v/>
      </c>
    </row>
    <row r="1037" spans="6:6">
      <c r="F1037" s="102" t="str">
        <f t="shared" si="33"/>
        <v/>
      </c>
    </row>
    <row r="1038" spans="6:6">
      <c r="F1038" s="102" t="str">
        <f t="shared" si="33"/>
        <v/>
      </c>
    </row>
    <row r="1039" spans="6:6">
      <c r="F1039" s="102" t="str">
        <f t="shared" si="33"/>
        <v/>
      </c>
    </row>
    <row r="1040" spans="6:6">
      <c r="F1040" s="102" t="str">
        <f t="shared" si="33"/>
        <v/>
      </c>
    </row>
    <row r="1041" spans="6:6">
      <c r="F1041" s="102" t="str">
        <f t="shared" si="33"/>
        <v/>
      </c>
    </row>
    <row r="1042" spans="6:6">
      <c r="F1042" s="102" t="str">
        <f t="shared" si="33"/>
        <v/>
      </c>
    </row>
    <row r="1043" spans="6:6">
      <c r="F1043" s="102" t="str">
        <f t="shared" si="33"/>
        <v/>
      </c>
    </row>
    <row r="1044" spans="6:6">
      <c r="F1044" s="102" t="str">
        <f t="shared" si="33"/>
        <v/>
      </c>
    </row>
    <row r="1045" spans="6:6">
      <c r="F1045" s="102" t="str">
        <f t="shared" si="33"/>
        <v/>
      </c>
    </row>
    <row r="1046" spans="6:6">
      <c r="F1046" s="102" t="str">
        <f t="shared" si="33"/>
        <v/>
      </c>
    </row>
    <row r="1047" spans="6:6">
      <c r="F1047" s="102" t="str">
        <f t="shared" si="33"/>
        <v/>
      </c>
    </row>
    <row r="1048" spans="6:6">
      <c r="F1048" s="102" t="str">
        <f t="shared" si="33"/>
        <v/>
      </c>
    </row>
    <row r="1049" spans="6:6">
      <c r="F1049" s="102" t="str">
        <f t="shared" si="33"/>
        <v/>
      </c>
    </row>
    <row r="1050" spans="6:6">
      <c r="F1050" s="102" t="str">
        <f t="shared" si="33"/>
        <v/>
      </c>
    </row>
    <row r="1051" spans="6:6">
      <c r="F1051" s="102" t="str">
        <f t="shared" si="33"/>
        <v/>
      </c>
    </row>
    <row r="1052" spans="6:6">
      <c r="F1052" s="102" t="str">
        <f t="shared" si="33"/>
        <v/>
      </c>
    </row>
    <row r="1053" spans="6:6">
      <c r="F1053" s="102" t="str">
        <f t="shared" si="33"/>
        <v/>
      </c>
    </row>
    <row r="1054" spans="6:6">
      <c r="F1054" s="102" t="str">
        <f t="shared" si="33"/>
        <v/>
      </c>
    </row>
    <row r="1055" spans="6:6">
      <c r="F1055" s="102" t="str">
        <f t="shared" si="33"/>
        <v/>
      </c>
    </row>
    <row r="1056" spans="6:6">
      <c r="F1056" s="102" t="str">
        <f t="shared" si="33"/>
        <v/>
      </c>
    </row>
    <row r="1057" spans="6:6">
      <c r="F1057" s="102" t="str">
        <f t="shared" si="33"/>
        <v/>
      </c>
    </row>
    <row r="1058" spans="6:6">
      <c r="F1058" s="102" t="str">
        <f t="shared" si="33"/>
        <v/>
      </c>
    </row>
    <row r="1059" spans="6:6">
      <c r="F1059" s="102" t="str">
        <f t="shared" si="33"/>
        <v/>
      </c>
    </row>
    <row r="1060" spans="6:6">
      <c r="F1060" s="102" t="str">
        <f t="shared" si="33"/>
        <v/>
      </c>
    </row>
    <row r="1061" spans="6:6">
      <c r="F1061" s="102" t="str">
        <f t="shared" si="33"/>
        <v/>
      </c>
    </row>
    <row r="1062" spans="6:6">
      <c r="F1062" s="102" t="str">
        <f t="shared" si="33"/>
        <v/>
      </c>
    </row>
    <row r="1063" spans="6:6">
      <c r="F1063" s="102" t="str">
        <f t="shared" si="33"/>
        <v/>
      </c>
    </row>
    <row r="1064" spans="6:6">
      <c r="F1064" s="102" t="str">
        <f t="shared" si="33"/>
        <v/>
      </c>
    </row>
    <row r="1065" spans="6:6">
      <c r="F1065" s="102" t="str">
        <f t="shared" si="33"/>
        <v/>
      </c>
    </row>
    <row r="1066" spans="6:6">
      <c r="F1066" s="102" t="str">
        <f t="shared" si="33"/>
        <v/>
      </c>
    </row>
    <row r="1067" spans="6:6">
      <c r="F1067" s="102" t="str">
        <f t="shared" si="33"/>
        <v/>
      </c>
    </row>
    <row r="1068" spans="6:6">
      <c r="F1068" s="102" t="str">
        <f t="shared" si="33"/>
        <v/>
      </c>
    </row>
    <row r="1069" spans="6:6">
      <c r="F1069" s="102" t="str">
        <f t="shared" si="33"/>
        <v/>
      </c>
    </row>
    <row r="1070" spans="6:6">
      <c r="F1070" s="102" t="str">
        <f t="shared" si="33"/>
        <v/>
      </c>
    </row>
    <row r="1071" spans="6:6">
      <c r="F1071" s="102" t="str">
        <f t="shared" si="33"/>
        <v/>
      </c>
    </row>
    <row r="1072" spans="6:6">
      <c r="F1072" s="102" t="str">
        <f t="shared" si="33"/>
        <v/>
      </c>
    </row>
    <row r="1073" spans="6:6">
      <c r="F1073" s="102" t="str">
        <f t="shared" si="33"/>
        <v/>
      </c>
    </row>
    <row r="1074" spans="6:6">
      <c r="F1074" s="102" t="str">
        <f t="shared" si="33"/>
        <v/>
      </c>
    </row>
    <row r="1075" spans="6:6">
      <c r="F1075" s="102" t="str">
        <f t="shared" si="33"/>
        <v/>
      </c>
    </row>
    <row r="1076" spans="6:6">
      <c r="F1076" s="102" t="str">
        <f t="shared" si="33"/>
        <v/>
      </c>
    </row>
    <row r="1077" spans="6:6">
      <c r="F1077" s="102" t="str">
        <f t="shared" si="33"/>
        <v/>
      </c>
    </row>
    <row r="1078" spans="6:6">
      <c r="F1078" s="102" t="str">
        <f t="shared" si="33"/>
        <v/>
      </c>
    </row>
    <row r="1079" spans="6:6">
      <c r="F1079" s="102" t="str">
        <f t="shared" si="33"/>
        <v/>
      </c>
    </row>
    <row r="1080" spans="6:6">
      <c r="F1080" s="102" t="str">
        <f t="shared" si="33"/>
        <v/>
      </c>
    </row>
    <row r="1081" spans="6:6">
      <c r="F1081" s="102" t="str">
        <f t="shared" si="33"/>
        <v/>
      </c>
    </row>
    <row r="1082" spans="6:6">
      <c r="F1082" s="102" t="str">
        <f t="shared" si="33"/>
        <v/>
      </c>
    </row>
    <row r="1083" spans="6:6">
      <c r="F1083" s="102" t="str">
        <f t="shared" si="33"/>
        <v/>
      </c>
    </row>
    <row r="1084" spans="6:6">
      <c r="F1084" s="102" t="str">
        <f t="shared" si="33"/>
        <v/>
      </c>
    </row>
    <row r="1085" spans="6:6">
      <c r="F1085" s="102" t="str">
        <f t="shared" si="33"/>
        <v/>
      </c>
    </row>
    <row r="1086" spans="6:6">
      <c r="F1086" s="102" t="str">
        <f t="shared" si="33"/>
        <v/>
      </c>
    </row>
    <row r="1087" spans="6:6">
      <c r="F1087" s="102" t="str">
        <f t="shared" si="33"/>
        <v/>
      </c>
    </row>
    <row r="1088" spans="6:6">
      <c r="F1088" s="102" t="str">
        <f t="shared" si="33"/>
        <v/>
      </c>
    </row>
    <row r="1089" spans="6:6">
      <c r="F1089" s="102" t="str">
        <f t="shared" si="33"/>
        <v/>
      </c>
    </row>
    <row r="1090" spans="6:6">
      <c r="F1090" s="102" t="str">
        <f t="shared" si="33"/>
        <v/>
      </c>
    </row>
    <row r="1091" spans="6:6">
      <c r="F1091" s="102" t="str">
        <f t="shared" ref="F1091:F1154" si="34">UPPER(LEFT(B1091,1)) &amp; IFERROR(UPPER(LEFT(MID(B1091,FIND(" ",B1091)+1,LEN(B1091)),1)),"") &amp; IFERROR(UPPER(LEFT(MID(B1091,FIND(" ",B1091,FIND(" ",B1091)+1)+1,LEN(B1091)),1)),"") &amp; IFERROR(UPPER(LEFT(MID(B1091,FIND(" ",B1091,FIND(" ",B1091,FIND(" ",B1091)+1)+1)+1,LEN(B1091)),1)),"")</f>
        <v/>
      </c>
    </row>
    <row r="1092" spans="6:6">
      <c r="F1092" s="102" t="str">
        <f t="shared" si="34"/>
        <v/>
      </c>
    </row>
    <row r="1093" spans="6:6">
      <c r="F1093" s="102" t="str">
        <f t="shared" si="34"/>
        <v/>
      </c>
    </row>
    <row r="1094" spans="6:6">
      <c r="F1094" s="102" t="str">
        <f t="shared" si="34"/>
        <v/>
      </c>
    </row>
    <row r="1095" spans="6:6">
      <c r="F1095" s="102" t="str">
        <f t="shared" si="34"/>
        <v/>
      </c>
    </row>
    <row r="1096" spans="6:6">
      <c r="F1096" s="102" t="str">
        <f t="shared" si="34"/>
        <v/>
      </c>
    </row>
    <row r="1097" spans="6:6">
      <c r="F1097" s="102" t="str">
        <f t="shared" si="34"/>
        <v/>
      </c>
    </row>
    <row r="1098" spans="6:6">
      <c r="F1098" s="102" t="str">
        <f t="shared" si="34"/>
        <v/>
      </c>
    </row>
    <row r="1099" spans="6:6">
      <c r="F1099" s="102" t="str">
        <f t="shared" si="34"/>
        <v/>
      </c>
    </row>
    <row r="1100" spans="6:6">
      <c r="F1100" s="102" t="str">
        <f t="shared" si="34"/>
        <v/>
      </c>
    </row>
    <row r="1101" spans="6:6">
      <c r="F1101" s="102" t="str">
        <f t="shared" si="34"/>
        <v/>
      </c>
    </row>
    <row r="1102" spans="6:6">
      <c r="F1102" s="102" t="str">
        <f t="shared" si="34"/>
        <v/>
      </c>
    </row>
    <row r="1103" spans="6:6">
      <c r="F1103" s="102" t="str">
        <f t="shared" si="34"/>
        <v/>
      </c>
    </row>
    <row r="1104" spans="6:6">
      <c r="F1104" s="102" t="str">
        <f t="shared" si="34"/>
        <v/>
      </c>
    </row>
    <row r="1105" spans="6:6">
      <c r="F1105" s="102" t="str">
        <f t="shared" si="34"/>
        <v/>
      </c>
    </row>
    <row r="1106" spans="6:6">
      <c r="F1106" s="102" t="str">
        <f t="shared" si="34"/>
        <v/>
      </c>
    </row>
    <row r="1107" spans="6:6">
      <c r="F1107" s="102" t="str">
        <f t="shared" si="34"/>
        <v/>
      </c>
    </row>
    <row r="1108" spans="6:6">
      <c r="F1108" s="102" t="str">
        <f t="shared" si="34"/>
        <v/>
      </c>
    </row>
    <row r="1109" spans="6:6">
      <c r="F1109" s="102" t="str">
        <f t="shared" si="34"/>
        <v/>
      </c>
    </row>
    <row r="1110" spans="6:6">
      <c r="F1110" s="102" t="str">
        <f t="shared" si="34"/>
        <v/>
      </c>
    </row>
    <row r="1111" spans="6:6">
      <c r="F1111" s="102" t="str">
        <f t="shared" si="34"/>
        <v/>
      </c>
    </row>
    <row r="1112" spans="6:6">
      <c r="F1112" s="102" t="str">
        <f t="shared" si="34"/>
        <v/>
      </c>
    </row>
    <row r="1113" spans="6:6">
      <c r="F1113" s="102" t="str">
        <f t="shared" si="34"/>
        <v/>
      </c>
    </row>
    <row r="1114" spans="6:6">
      <c r="F1114" s="102" t="str">
        <f t="shared" si="34"/>
        <v/>
      </c>
    </row>
    <row r="1115" spans="6:6">
      <c r="F1115" s="102" t="str">
        <f t="shared" si="34"/>
        <v/>
      </c>
    </row>
    <row r="1116" spans="6:6">
      <c r="F1116" s="102" t="str">
        <f t="shared" si="34"/>
        <v/>
      </c>
    </row>
    <row r="1117" spans="6:6">
      <c r="F1117" s="102" t="str">
        <f t="shared" si="34"/>
        <v/>
      </c>
    </row>
    <row r="1118" spans="6:6">
      <c r="F1118" s="102" t="str">
        <f t="shared" si="34"/>
        <v/>
      </c>
    </row>
    <row r="1119" spans="6:6">
      <c r="F1119" s="102" t="str">
        <f t="shared" si="34"/>
        <v/>
      </c>
    </row>
    <row r="1120" spans="6:6">
      <c r="F1120" s="102" t="str">
        <f t="shared" si="34"/>
        <v/>
      </c>
    </row>
    <row r="1121" spans="6:6">
      <c r="F1121" s="102" t="str">
        <f t="shared" si="34"/>
        <v/>
      </c>
    </row>
    <row r="1122" spans="6:6">
      <c r="F1122" s="102" t="str">
        <f t="shared" si="34"/>
        <v/>
      </c>
    </row>
    <row r="1123" spans="6:6">
      <c r="F1123" s="102" t="str">
        <f t="shared" si="34"/>
        <v/>
      </c>
    </row>
    <row r="1124" spans="6:6">
      <c r="F1124" s="102" t="str">
        <f t="shared" si="34"/>
        <v/>
      </c>
    </row>
    <row r="1125" spans="6:6">
      <c r="F1125" s="102" t="str">
        <f t="shared" si="34"/>
        <v/>
      </c>
    </row>
    <row r="1126" spans="6:6">
      <c r="F1126" s="102" t="str">
        <f t="shared" si="34"/>
        <v/>
      </c>
    </row>
    <row r="1127" spans="6:6">
      <c r="F1127" s="102" t="str">
        <f t="shared" si="34"/>
        <v/>
      </c>
    </row>
    <row r="1128" spans="6:6">
      <c r="F1128" s="102" t="str">
        <f t="shared" si="34"/>
        <v/>
      </c>
    </row>
    <row r="1129" spans="6:6">
      <c r="F1129" s="102" t="str">
        <f t="shared" si="34"/>
        <v/>
      </c>
    </row>
    <row r="1130" spans="6:6">
      <c r="F1130" s="102" t="str">
        <f t="shared" si="34"/>
        <v/>
      </c>
    </row>
    <row r="1131" spans="6:6">
      <c r="F1131" s="102" t="str">
        <f t="shared" si="34"/>
        <v/>
      </c>
    </row>
    <row r="1132" spans="6:6">
      <c r="F1132" s="102" t="str">
        <f t="shared" si="34"/>
        <v/>
      </c>
    </row>
    <row r="1133" spans="6:6">
      <c r="F1133" s="102" t="str">
        <f t="shared" si="34"/>
        <v/>
      </c>
    </row>
    <row r="1134" spans="6:6">
      <c r="F1134" s="102" t="str">
        <f t="shared" si="34"/>
        <v/>
      </c>
    </row>
    <row r="1135" spans="6:6">
      <c r="F1135" s="102" t="str">
        <f t="shared" si="34"/>
        <v/>
      </c>
    </row>
    <row r="1136" spans="6:6">
      <c r="F1136" s="102" t="str">
        <f t="shared" si="34"/>
        <v/>
      </c>
    </row>
    <row r="1137" spans="6:6">
      <c r="F1137" s="102" t="str">
        <f t="shared" si="34"/>
        <v/>
      </c>
    </row>
    <row r="1138" spans="6:6">
      <c r="F1138" s="102" t="str">
        <f t="shared" si="34"/>
        <v/>
      </c>
    </row>
    <row r="1139" spans="6:6">
      <c r="F1139" s="102" t="str">
        <f t="shared" si="34"/>
        <v/>
      </c>
    </row>
    <row r="1140" spans="6:6">
      <c r="F1140" s="102" t="str">
        <f t="shared" si="34"/>
        <v/>
      </c>
    </row>
    <row r="1141" spans="6:6">
      <c r="F1141" s="102" t="str">
        <f t="shared" si="34"/>
        <v/>
      </c>
    </row>
    <row r="1142" spans="6:6">
      <c r="F1142" s="102" t="str">
        <f t="shared" si="34"/>
        <v/>
      </c>
    </row>
    <row r="1143" spans="6:6">
      <c r="F1143" s="102" t="str">
        <f t="shared" si="34"/>
        <v/>
      </c>
    </row>
    <row r="1144" spans="6:6">
      <c r="F1144" s="102" t="str">
        <f t="shared" si="34"/>
        <v/>
      </c>
    </row>
    <row r="1145" spans="6:6">
      <c r="F1145" s="102" t="str">
        <f t="shared" si="34"/>
        <v/>
      </c>
    </row>
    <row r="1146" spans="6:6">
      <c r="F1146" s="102" t="str">
        <f t="shared" si="34"/>
        <v/>
      </c>
    </row>
    <row r="1147" spans="6:6">
      <c r="F1147" s="102" t="str">
        <f t="shared" si="34"/>
        <v/>
      </c>
    </row>
    <row r="1148" spans="6:6">
      <c r="F1148" s="102" t="str">
        <f t="shared" si="34"/>
        <v/>
      </c>
    </row>
    <row r="1149" spans="6:6">
      <c r="F1149" s="102" t="str">
        <f t="shared" si="34"/>
        <v/>
      </c>
    </row>
    <row r="1150" spans="6:6">
      <c r="F1150" s="102" t="str">
        <f t="shared" si="34"/>
        <v/>
      </c>
    </row>
    <row r="1151" spans="6:6">
      <c r="F1151" s="102" t="str">
        <f t="shared" si="34"/>
        <v/>
      </c>
    </row>
    <row r="1152" spans="6:6">
      <c r="F1152" s="102" t="str">
        <f t="shared" si="34"/>
        <v/>
      </c>
    </row>
    <row r="1153" spans="6:6">
      <c r="F1153" s="102" t="str">
        <f t="shared" si="34"/>
        <v/>
      </c>
    </row>
    <row r="1154" spans="6:6">
      <c r="F1154" s="102" t="str">
        <f t="shared" si="34"/>
        <v/>
      </c>
    </row>
    <row r="1155" spans="6:6">
      <c r="F1155" s="102" t="str">
        <f t="shared" ref="F1155:F1218" si="35">UPPER(LEFT(B1155,1)) &amp; IFERROR(UPPER(LEFT(MID(B1155,FIND(" ",B1155)+1,LEN(B1155)),1)),"") &amp; IFERROR(UPPER(LEFT(MID(B1155,FIND(" ",B1155,FIND(" ",B1155)+1)+1,LEN(B1155)),1)),"") &amp; IFERROR(UPPER(LEFT(MID(B1155,FIND(" ",B1155,FIND(" ",B1155,FIND(" ",B1155)+1)+1)+1,LEN(B1155)),1)),"")</f>
        <v/>
      </c>
    </row>
    <row r="1156" spans="6:6">
      <c r="F1156" s="102" t="str">
        <f t="shared" si="35"/>
        <v/>
      </c>
    </row>
    <row r="1157" spans="6:6">
      <c r="F1157" s="102" t="str">
        <f t="shared" si="35"/>
        <v/>
      </c>
    </row>
    <row r="1158" spans="6:6">
      <c r="F1158" s="102" t="str">
        <f t="shared" si="35"/>
        <v/>
      </c>
    </row>
    <row r="1159" spans="6:6">
      <c r="F1159" s="102" t="str">
        <f t="shared" si="35"/>
        <v/>
      </c>
    </row>
    <row r="1160" spans="6:6">
      <c r="F1160" s="102" t="str">
        <f t="shared" si="35"/>
        <v/>
      </c>
    </row>
    <row r="1161" spans="6:6">
      <c r="F1161" s="102" t="str">
        <f t="shared" si="35"/>
        <v/>
      </c>
    </row>
    <row r="1162" spans="6:6">
      <c r="F1162" s="102" t="str">
        <f t="shared" si="35"/>
        <v/>
      </c>
    </row>
    <row r="1163" spans="6:6">
      <c r="F1163" s="102" t="str">
        <f t="shared" si="35"/>
        <v/>
      </c>
    </row>
    <row r="1164" spans="6:6">
      <c r="F1164" s="102" t="str">
        <f t="shared" si="35"/>
        <v/>
      </c>
    </row>
    <row r="1165" spans="6:6">
      <c r="F1165" s="102" t="str">
        <f t="shared" si="35"/>
        <v/>
      </c>
    </row>
    <row r="1166" spans="6:6">
      <c r="F1166" s="102" t="str">
        <f t="shared" si="35"/>
        <v/>
      </c>
    </row>
    <row r="1167" spans="6:6">
      <c r="F1167" s="102" t="str">
        <f t="shared" si="35"/>
        <v/>
      </c>
    </row>
    <row r="1168" spans="6:6">
      <c r="F1168" s="102" t="str">
        <f t="shared" si="35"/>
        <v/>
      </c>
    </row>
    <row r="1169" spans="6:6">
      <c r="F1169" s="102" t="str">
        <f t="shared" si="35"/>
        <v/>
      </c>
    </row>
    <row r="1170" spans="6:6">
      <c r="F1170" s="102" t="str">
        <f t="shared" si="35"/>
        <v/>
      </c>
    </row>
    <row r="1171" spans="6:6">
      <c r="F1171" s="102" t="str">
        <f t="shared" si="35"/>
        <v/>
      </c>
    </row>
    <row r="1172" spans="6:6">
      <c r="F1172" s="102" t="str">
        <f t="shared" si="35"/>
        <v/>
      </c>
    </row>
    <row r="1173" spans="6:6">
      <c r="F1173" s="102" t="str">
        <f t="shared" si="35"/>
        <v/>
      </c>
    </row>
    <row r="1174" spans="6:6">
      <c r="F1174" s="102" t="str">
        <f t="shared" si="35"/>
        <v/>
      </c>
    </row>
    <row r="1175" spans="6:6">
      <c r="F1175" s="102" t="str">
        <f t="shared" si="35"/>
        <v/>
      </c>
    </row>
    <row r="1176" spans="6:6">
      <c r="F1176" s="102" t="str">
        <f t="shared" si="35"/>
        <v/>
      </c>
    </row>
    <row r="1177" spans="6:6">
      <c r="F1177" s="102" t="str">
        <f t="shared" si="35"/>
        <v/>
      </c>
    </row>
    <row r="1178" spans="6:6">
      <c r="F1178" s="102" t="str">
        <f t="shared" si="35"/>
        <v/>
      </c>
    </row>
    <row r="1179" spans="6:6">
      <c r="F1179" s="102" t="str">
        <f t="shared" si="35"/>
        <v/>
      </c>
    </row>
    <row r="1180" spans="6:6">
      <c r="F1180" s="102" t="str">
        <f t="shared" si="35"/>
        <v/>
      </c>
    </row>
    <row r="1181" spans="6:6">
      <c r="F1181" s="102" t="str">
        <f t="shared" si="35"/>
        <v/>
      </c>
    </row>
    <row r="1182" spans="6:6">
      <c r="F1182" s="102" t="str">
        <f t="shared" si="35"/>
        <v/>
      </c>
    </row>
    <row r="1183" spans="6:6">
      <c r="F1183" s="102" t="str">
        <f t="shared" si="35"/>
        <v/>
      </c>
    </row>
    <row r="1184" spans="6:6">
      <c r="F1184" s="102" t="str">
        <f t="shared" si="35"/>
        <v/>
      </c>
    </row>
    <row r="1185" spans="6:6">
      <c r="F1185" s="102" t="str">
        <f t="shared" si="35"/>
        <v/>
      </c>
    </row>
    <row r="1186" spans="6:6">
      <c r="F1186" s="102" t="str">
        <f t="shared" si="35"/>
        <v/>
      </c>
    </row>
    <row r="1187" spans="6:6">
      <c r="F1187" s="102" t="str">
        <f t="shared" si="35"/>
        <v/>
      </c>
    </row>
    <row r="1188" spans="6:6">
      <c r="F1188" s="102" t="str">
        <f t="shared" si="35"/>
        <v/>
      </c>
    </row>
    <row r="1189" spans="6:6">
      <c r="F1189" s="102" t="str">
        <f t="shared" si="35"/>
        <v/>
      </c>
    </row>
    <row r="1190" spans="6:6">
      <c r="F1190" s="102" t="str">
        <f t="shared" si="35"/>
        <v/>
      </c>
    </row>
    <row r="1191" spans="6:6">
      <c r="F1191" s="102" t="str">
        <f t="shared" si="35"/>
        <v/>
      </c>
    </row>
    <row r="1192" spans="6:6">
      <c r="F1192" s="102" t="str">
        <f t="shared" si="35"/>
        <v/>
      </c>
    </row>
    <row r="1193" spans="6:6">
      <c r="F1193" s="102" t="str">
        <f t="shared" si="35"/>
        <v/>
      </c>
    </row>
    <row r="1194" spans="6:6">
      <c r="F1194" s="102" t="str">
        <f t="shared" si="35"/>
        <v/>
      </c>
    </row>
    <row r="1195" spans="6:6">
      <c r="F1195" s="102" t="str">
        <f t="shared" si="35"/>
        <v/>
      </c>
    </row>
    <row r="1196" spans="6:6">
      <c r="F1196" s="102" t="str">
        <f t="shared" si="35"/>
        <v/>
      </c>
    </row>
    <row r="1197" spans="6:6">
      <c r="F1197" s="102" t="str">
        <f t="shared" si="35"/>
        <v/>
      </c>
    </row>
    <row r="1198" spans="6:6">
      <c r="F1198" s="102" t="str">
        <f t="shared" si="35"/>
        <v/>
      </c>
    </row>
    <row r="1199" spans="6:6">
      <c r="F1199" s="102" t="str">
        <f t="shared" si="35"/>
        <v/>
      </c>
    </row>
    <row r="1200" spans="6:6">
      <c r="F1200" s="102" t="str">
        <f t="shared" si="35"/>
        <v/>
      </c>
    </row>
    <row r="1201" spans="6:6">
      <c r="F1201" s="102" t="str">
        <f t="shared" si="35"/>
        <v/>
      </c>
    </row>
    <row r="1202" spans="6:6">
      <c r="F1202" s="102" t="str">
        <f t="shared" si="35"/>
        <v/>
      </c>
    </row>
    <row r="1203" spans="6:6">
      <c r="F1203" s="102" t="str">
        <f t="shared" si="35"/>
        <v/>
      </c>
    </row>
    <row r="1204" spans="6:6">
      <c r="F1204" s="102" t="str">
        <f t="shared" si="35"/>
        <v/>
      </c>
    </row>
    <row r="1205" spans="6:6">
      <c r="F1205" s="102" t="str">
        <f t="shared" si="35"/>
        <v/>
      </c>
    </row>
    <row r="1206" spans="6:6">
      <c r="F1206" s="102" t="str">
        <f t="shared" si="35"/>
        <v/>
      </c>
    </row>
    <row r="1207" spans="6:6">
      <c r="F1207" s="102" t="str">
        <f t="shared" si="35"/>
        <v/>
      </c>
    </row>
    <row r="1208" spans="6:6">
      <c r="F1208" s="102" t="str">
        <f t="shared" si="35"/>
        <v/>
      </c>
    </row>
    <row r="1209" spans="6:6">
      <c r="F1209" s="102" t="str">
        <f t="shared" si="35"/>
        <v/>
      </c>
    </row>
    <row r="1210" spans="6:6">
      <c r="F1210" s="102" t="str">
        <f t="shared" si="35"/>
        <v/>
      </c>
    </row>
    <row r="1211" spans="6:6">
      <c r="F1211" s="102" t="str">
        <f t="shared" si="35"/>
        <v/>
      </c>
    </row>
    <row r="1212" spans="6:6">
      <c r="F1212" s="102" t="str">
        <f t="shared" si="35"/>
        <v/>
      </c>
    </row>
    <row r="1213" spans="6:6">
      <c r="F1213" s="102" t="str">
        <f t="shared" si="35"/>
        <v/>
      </c>
    </row>
    <row r="1214" spans="6:6">
      <c r="F1214" s="102" t="str">
        <f t="shared" si="35"/>
        <v/>
      </c>
    </row>
    <row r="1215" spans="6:6">
      <c r="F1215" s="102" t="str">
        <f t="shared" si="35"/>
        <v/>
      </c>
    </row>
    <row r="1216" spans="6:6">
      <c r="F1216" s="102" t="str">
        <f t="shared" si="35"/>
        <v/>
      </c>
    </row>
    <row r="1217" spans="6:6">
      <c r="F1217" s="102" t="str">
        <f t="shared" si="35"/>
        <v/>
      </c>
    </row>
    <row r="1218" spans="6:6">
      <c r="F1218" s="102" t="str">
        <f t="shared" si="35"/>
        <v/>
      </c>
    </row>
    <row r="1219" spans="6:6">
      <c r="F1219" s="102" t="str">
        <f t="shared" ref="F1219:F1282" si="36">UPPER(LEFT(B1219,1)) &amp; IFERROR(UPPER(LEFT(MID(B1219,FIND(" ",B1219)+1,LEN(B1219)),1)),"") &amp; IFERROR(UPPER(LEFT(MID(B1219,FIND(" ",B1219,FIND(" ",B1219)+1)+1,LEN(B1219)),1)),"") &amp; IFERROR(UPPER(LEFT(MID(B1219,FIND(" ",B1219,FIND(" ",B1219,FIND(" ",B1219)+1)+1)+1,LEN(B1219)),1)),"")</f>
        <v/>
      </c>
    </row>
    <row r="1220" spans="6:6">
      <c r="F1220" s="102" t="str">
        <f t="shared" si="36"/>
        <v/>
      </c>
    </row>
    <row r="1221" spans="6:6">
      <c r="F1221" s="102" t="str">
        <f t="shared" si="36"/>
        <v/>
      </c>
    </row>
    <row r="1222" spans="6:6">
      <c r="F1222" s="102" t="str">
        <f t="shared" si="36"/>
        <v/>
      </c>
    </row>
    <row r="1223" spans="6:6">
      <c r="F1223" s="102" t="str">
        <f t="shared" si="36"/>
        <v/>
      </c>
    </row>
    <row r="1224" spans="6:6">
      <c r="F1224" s="102" t="str">
        <f t="shared" si="36"/>
        <v/>
      </c>
    </row>
    <row r="1225" spans="6:6">
      <c r="F1225" s="102" t="str">
        <f t="shared" si="36"/>
        <v/>
      </c>
    </row>
    <row r="1226" spans="6:6">
      <c r="F1226" s="102" t="str">
        <f t="shared" si="36"/>
        <v/>
      </c>
    </row>
    <row r="1227" spans="6:6">
      <c r="F1227" s="102" t="str">
        <f t="shared" si="36"/>
        <v/>
      </c>
    </row>
    <row r="1228" spans="6:6">
      <c r="F1228" s="102" t="str">
        <f t="shared" si="36"/>
        <v/>
      </c>
    </row>
    <row r="1229" spans="6:6">
      <c r="F1229" s="102" t="str">
        <f t="shared" si="36"/>
        <v/>
      </c>
    </row>
    <row r="1230" spans="6:6">
      <c r="F1230" s="102" t="str">
        <f t="shared" si="36"/>
        <v/>
      </c>
    </row>
    <row r="1231" spans="6:6">
      <c r="F1231" s="102" t="str">
        <f t="shared" si="36"/>
        <v/>
      </c>
    </row>
    <row r="1232" spans="6:6">
      <c r="F1232" s="102" t="str">
        <f t="shared" si="36"/>
        <v/>
      </c>
    </row>
    <row r="1233" spans="6:6">
      <c r="F1233" s="102" t="str">
        <f t="shared" si="36"/>
        <v/>
      </c>
    </row>
    <row r="1234" spans="6:6">
      <c r="F1234" s="102" t="str">
        <f t="shared" si="36"/>
        <v/>
      </c>
    </row>
    <row r="1235" spans="6:6">
      <c r="F1235" s="102" t="str">
        <f t="shared" si="36"/>
        <v/>
      </c>
    </row>
    <row r="1236" spans="6:6">
      <c r="F1236" s="102" t="str">
        <f t="shared" si="36"/>
        <v/>
      </c>
    </row>
    <row r="1237" spans="6:6">
      <c r="F1237" s="102" t="str">
        <f t="shared" si="36"/>
        <v/>
      </c>
    </row>
    <row r="1238" spans="6:6">
      <c r="F1238" s="102" t="str">
        <f t="shared" si="36"/>
        <v/>
      </c>
    </row>
    <row r="1239" spans="6:6">
      <c r="F1239" s="102" t="str">
        <f t="shared" si="36"/>
        <v/>
      </c>
    </row>
    <row r="1240" spans="6:6">
      <c r="F1240" s="102" t="str">
        <f t="shared" si="36"/>
        <v/>
      </c>
    </row>
    <row r="1241" spans="6:6">
      <c r="F1241" s="102" t="str">
        <f t="shared" si="36"/>
        <v/>
      </c>
    </row>
    <row r="1242" spans="6:6">
      <c r="F1242" s="102" t="str">
        <f t="shared" si="36"/>
        <v/>
      </c>
    </row>
    <row r="1243" spans="6:6">
      <c r="F1243" s="102" t="str">
        <f t="shared" si="36"/>
        <v/>
      </c>
    </row>
    <row r="1244" spans="6:6">
      <c r="F1244" s="102" t="str">
        <f t="shared" si="36"/>
        <v/>
      </c>
    </row>
    <row r="1245" spans="6:6">
      <c r="F1245" s="102" t="str">
        <f t="shared" si="36"/>
        <v/>
      </c>
    </row>
    <row r="1246" spans="6:6">
      <c r="F1246" s="102" t="str">
        <f t="shared" si="36"/>
        <v/>
      </c>
    </row>
    <row r="1247" spans="6:6">
      <c r="F1247" s="102" t="str">
        <f t="shared" si="36"/>
        <v/>
      </c>
    </row>
    <row r="1248" spans="6:6">
      <c r="F1248" s="102" t="str">
        <f t="shared" si="36"/>
        <v/>
      </c>
    </row>
    <row r="1249" spans="6:6">
      <c r="F1249" s="102" t="str">
        <f t="shared" si="36"/>
        <v/>
      </c>
    </row>
    <row r="1250" spans="6:6">
      <c r="F1250" s="102" t="str">
        <f t="shared" si="36"/>
        <v/>
      </c>
    </row>
    <row r="1251" spans="6:6">
      <c r="F1251" s="102" t="str">
        <f t="shared" si="36"/>
        <v/>
      </c>
    </row>
    <row r="1252" spans="6:6">
      <c r="F1252" s="102" t="str">
        <f t="shared" si="36"/>
        <v/>
      </c>
    </row>
    <row r="1253" spans="6:6">
      <c r="F1253" s="102" t="str">
        <f t="shared" si="36"/>
        <v/>
      </c>
    </row>
    <row r="1254" spans="6:6">
      <c r="F1254" s="102" t="str">
        <f t="shared" si="36"/>
        <v/>
      </c>
    </row>
    <row r="1255" spans="6:6">
      <c r="F1255" s="102" t="str">
        <f t="shared" si="36"/>
        <v/>
      </c>
    </row>
    <row r="1256" spans="6:6">
      <c r="F1256" s="102" t="str">
        <f t="shared" si="36"/>
        <v/>
      </c>
    </row>
    <row r="1257" spans="6:6">
      <c r="F1257" s="102" t="str">
        <f t="shared" si="36"/>
        <v/>
      </c>
    </row>
    <row r="1258" spans="6:6">
      <c r="F1258" s="102" t="str">
        <f t="shared" si="36"/>
        <v/>
      </c>
    </row>
    <row r="1259" spans="6:6">
      <c r="F1259" s="102" t="str">
        <f t="shared" si="36"/>
        <v/>
      </c>
    </row>
    <row r="1260" spans="6:6">
      <c r="F1260" s="102" t="str">
        <f t="shared" si="36"/>
        <v/>
      </c>
    </row>
    <row r="1261" spans="6:6">
      <c r="F1261" s="102" t="str">
        <f t="shared" si="36"/>
        <v/>
      </c>
    </row>
    <row r="1262" spans="6:6">
      <c r="F1262" s="102" t="str">
        <f t="shared" si="36"/>
        <v/>
      </c>
    </row>
    <row r="1263" spans="6:6">
      <c r="F1263" s="102" t="str">
        <f t="shared" si="36"/>
        <v/>
      </c>
    </row>
    <row r="1264" spans="6:6">
      <c r="F1264" s="102" t="str">
        <f t="shared" si="36"/>
        <v/>
      </c>
    </row>
    <row r="1265" spans="6:6">
      <c r="F1265" s="102" t="str">
        <f t="shared" si="36"/>
        <v/>
      </c>
    </row>
    <row r="1266" spans="6:6">
      <c r="F1266" s="102" t="str">
        <f t="shared" si="36"/>
        <v/>
      </c>
    </row>
    <row r="1267" spans="6:6">
      <c r="F1267" s="102" t="str">
        <f t="shared" si="36"/>
        <v/>
      </c>
    </row>
    <row r="1268" spans="6:6">
      <c r="F1268" s="102" t="str">
        <f t="shared" si="36"/>
        <v/>
      </c>
    </row>
    <row r="1269" spans="6:6">
      <c r="F1269" s="102" t="str">
        <f t="shared" si="36"/>
        <v/>
      </c>
    </row>
    <row r="1270" spans="6:6">
      <c r="F1270" s="102" t="str">
        <f t="shared" si="36"/>
        <v/>
      </c>
    </row>
    <row r="1271" spans="6:6">
      <c r="F1271" s="102" t="str">
        <f t="shared" si="36"/>
        <v/>
      </c>
    </row>
    <row r="1272" spans="6:6">
      <c r="F1272" s="102" t="str">
        <f t="shared" si="36"/>
        <v/>
      </c>
    </row>
    <row r="1273" spans="6:6">
      <c r="F1273" s="102" t="str">
        <f t="shared" si="36"/>
        <v/>
      </c>
    </row>
    <row r="1274" spans="6:6">
      <c r="F1274" s="102" t="str">
        <f t="shared" si="36"/>
        <v/>
      </c>
    </row>
    <row r="1275" spans="6:6">
      <c r="F1275" s="102" t="str">
        <f t="shared" si="36"/>
        <v/>
      </c>
    </row>
    <row r="1276" spans="6:6">
      <c r="F1276" s="102" t="str">
        <f t="shared" si="36"/>
        <v/>
      </c>
    </row>
    <row r="1277" spans="6:6">
      <c r="F1277" s="102" t="str">
        <f t="shared" si="36"/>
        <v/>
      </c>
    </row>
    <row r="1278" spans="6:6">
      <c r="F1278" s="102" t="str">
        <f t="shared" si="36"/>
        <v/>
      </c>
    </row>
    <row r="1279" spans="6:6">
      <c r="F1279" s="102" t="str">
        <f t="shared" si="36"/>
        <v/>
      </c>
    </row>
    <row r="1280" spans="6:6">
      <c r="F1280" s="102" t="str">
        <f t="shared" si="36"/>
        <v/>
      </c>
    </row>
    <row r="1281" spans="6:6">
      <c r="F1281" s="102" t="str">
        <f t="shared" si="36"/>
        <v/>
      </c>
    </row>
    <row r="1282" spans="6:6">
      <c r="F1282" s="102" t="str">
        <f t="shared" si="36"/>
        <v/>
      </c>
    </row>
    <row r="1283" spans="6:6">
      <c r="F1283" s="102" t="str">
        <f t="shared" ref="F1283:F1346" si="37">UPPER(LEFT(B1283,1)) &amp; IFERROR(UPPER(LEFT(MID(B1283,FIND(" ",B1283)+1,LEN(B1283)),1)),"") &amp; IFERROR(UPPER(LEFT(MID(B1283,FIND(" ",B1283,FIND(" ",B1283)+1)+1,LEN(B1283)),1)),"") &amp; IFERROR(UPPER(LEFT(MID(B1283,FIND(" ",B1283,FIND(" ",B1283,FIND(" ",B1283)+1)+1)+1,LEN(B1283)),1)),"")</f>
        <v/>
      </c>
    </row>
    <row r="1284" spans="6:6">
      <c r="F1284" s="102" t="str">
        <f t="shared" si="37"/>
        <v/>
      </c>
    </row>
    <row r="1285" spans="6:6">
      <c r="F1285" s="102" t="str">
        <f t="shared" si="37"/>
        <v/>
      </c>
    </row>
    <row r="1286" spans="6:6">
      <c r="F1286" s="102" t="str">
        <f t="shared" si="37"/>
        <v/>
      </c>
    </row>
    <row r="1287" spans="6:6">
      <c r="F1287" s="102" t="str">
        <f t="shared" si="37"/>
        <v/>
      </c>
    </row>
    <row r="1288" spans="6:6">
      <c r="F1288" s="102" t="str">
        <f t="shared" si="37"/>
        <v/>
      </c>
    </row>
    <row r="1289" spans="6:6">
      <c r="F1289" s="102" t="str">
        <f t="shared" si="37"/>
        <v/>
      </c>
    </row>
    <row r="1290" spans="6:6">
      <c r="F1290" s="102" t="str">
        <f t="shared" si="37"/>
        <v/>
      </c>
    </row>
    <row r="1291" spans="6:6">
      <c r="F1291" s="102" t="str">
        <f t="shared" si="37"/>
        <v/>
      </c>
    </row>
    <row r="1292" spans="6:6">
      <c r="F1292" s="102" t="str">
        <f t="shared" si="37"/>
        <v/>
      </c>
    </row>
    <row r="1293" spans="6:6">
      <c r="F1293" s="102" t="str">
        <f t="shared" si="37"/>
        <v/>
      </c>
    </row>
    <row r="1294" spans="6:6">
      <c r="F1294" s="102" t="str">
        <f t="shared" si="37"/>
        <v/>
      </c>
    </row>
    <row r="1295" spans="6:6">
      <c r="F1295" s="102" t="str">
        <f t="shared" si="37"/>
        <v/>
      </c>
    </row>
    <row r="1296" spans="6:6">
      <c r="F1296" s="102" t="str">
        <f t="shared" si="37"/>
        <v/>
      </c>
    </row>
    <row r="1297" spans="6:6">
      <c r="F1297" s="102" t="str">
        <f t="shared" si="37"/>
        <v/>
      </c>
    </row>
    <row r="1298" spans="6:6">
      <c r="F1298" s="102" t="str">
        <f t="shared" si="37"/>
        <v/>
      </c>
    </row>
    <row r="1299" spans="6:6">
      <c r="F1299" s="102" t="str">
        <f t="shared" si="37"/>
        <v/>
      </c>
    </row>
    <row r="1300" spans="6:6">
      <c r="F1300" s="102" t="str">
        <f t="shared" si="37"/>
        <v/>
      </c>
    </row>
    <row r="1301" spans="6:6">
      <c r="F1301" s="102" t="str">
        <f t="shared" si="37"/>
        <v/>
      </c>
    </row>
    <row r="1302" spans="6:6">
      <c r="F1302" s="102" t="str">
        <f t="shared" si="37"/>
        <v/>
      </c>
    </row>
    <row r="1303" spans="6:6">
      <c r="F1303" s="102" t="str">
        <f t="shared" si="37"/>
        <v/>
      </c>
    </row>
    <row r="1304" spans="6:6">
      <c r="F1304" s="102" t="str">
        <f t="shared" si="37"/>
        <v/>
      </c>
    </row>
    <row r="1305" spans="6:6">
      <c r="F1305" s="102" t="str">
        <f t="shared" si="37"/>
        <v/>
      </c>
    </row>
    <row r="1306" spans="6:6">
      <c r="F1306" s="102" t="str">
        <f t="shared" si="37"/>
        <v/>
      </c>
    </row>
    <row r="1307" spans="6:6">
      <c r="F1307" s="102" t="str">
        <f t="shared" si="37"/>
        <v/>
      </c>
    </row>
    <row r="1308" spans="6:6">
      <c r="F1308" s="102" t="str">
        <f t="shared" si="37"/>
        <v/>
      </c>
    </row>
    <row r="1309" spans="6:6">
      <c r="F1309" s="102" t="str">
        <f t="shared" si="37"/>
        <v/>
      </c>
    </row>
    <row r="1310" spans="6:6">
      <c r="F1310" s="102" t="str">
        <f t="shared" si="37"/>
        <v/>
      </c>
    </row>
    <row r="1311" spans="6:6">
      <c r="F1311" s="102" t="str">
        <f t="shared" si="37"/>
        <v/>
      </c>
    </row>
    <row r="1312" spans="6:6">
      <c r="F1312" s="102" t="str">
        <f t="shared" si="37"/>
        <v/>
      </c>
    </row>
    <row r="1313" spans="6:6">
      <c r="F1313" s="102" t="str">
        <f t="shared" si="37"/>
        <v/>
      </c>
    </row>
    <row r="1314" spans="6:6">
      <c r="F1314" s="102" t="str">
        <f t="shared" si="37"/>
        <v/>
      </c>
    </row>
    <row r="1315" spans="6:6">
      <c r="F1315" s="102" t="str">
        <f t="shared" si="37"/>
        <v/>
      </c>
    </row>
    <row r="1316" spans="6:6">
      <c r="F1316" s="102" t="str">
        <f t="shared" si="37"/>
        <v/>
      </c>
    </row>
    <row r="1317" spans="6:6">
      <c r="F1317" s="102" t="str">
        <f t="shared" si="37"/>
        <v/>
      </c>
    </row>
    <row r="1318" spans="6:6">
      <c r="F1318" s="102" t="str">
        <f t="shared" si="37"/>
        <v/>
      </c>
    </row>
    <row r="1319" spans="6:6">
      <c r="F1319" s="102" t="str">
        <f t="shared" si="37"/>
        <v/>
      </c>
    </row>
    <row r="1320" spans="6:6">
      <c r="F1320" s="102" t="str">
        <f t="shared" si="37"/>
        <v/>
      </c>
    </row>
    <row r="1321" spans="6:6">
      <c r="F1321" s="102" t="str">
        <f t="shared" si="37"/>
        <v/>
      </c>
    </row>
    <row r="1322" spans="6:6">
      <c r="F1322" s="102" t="str">
        <f t="shared" si="37"/>
        <v/>
      </c>
    </row>
    <row r="1323" spans="6:6">
      <c r="F1323" s="102" t="str">
        <f t="shared" si="37"/>
        <v/>
      </c>
    </row>
    <row r="1324" spans="6:6">
      <c r="F1324" s="102" t="str">
        <f t="shared" si="37"/>
        <v/>
      </c>
    </row>
    <row r="1325" spans="6:6">
      <c r="F1325" s="102" t="str">
        <f t="shared" si="37"/>
        <v/>
      </c>
    </row>
    <row r="1326" spans="6:6">
      <c r="F1326" s="102" t="str">
        <f t="shared" si="37"/>
        <v/>
      </c>
    </row>
    <row r="1327" spans="6:6">
      <c r="F1327" s="102" t="str">
        <f t="shared" si="37"/>
        <v/>
      </c>
    </row>
    <row r="1328" spans="6:6">
      <c r="F1328" s="102" t="str">
        <f t="shared" si="37"/>
        <v/>
      </c>
    </row>
    <row r="1329" spans="6:6">
      <c r="F1329" s="102" t="str">
        <f t="shared" si="37"/>
        <v/>
      </c>
    </row>
    <row r="1330" spans="6:6">
      <c r="F1330" s="102" t="str">
        <f t="shared" si="37"/>
        <v/>
      </c>
    </row>
    <row r="1331" spans="6:6">
      <c r="F1331" s="102" t="str">
        <f t="shared" si="37"/>
        <v/>
      </c>
    </row>
    <row r="1332" spans="6:6">
      <c r="F1332" s="102" t="str">
        <f t="shared" si="37"/>
        <v/>
      </c>
    </row>
    <row r="1333" spans="6:6">
      <c r="F1333" s="102" t="str">
        <f t="shared" si="37"/>
        <v/>
      </c>
    </row>
    <row r="1334" spans="6:6">
      <c r="F1334" s="102" t="str">
        <f t="shared" si="37"/>
        <v/>
      </c>
    </row>
    <row r="1335" spans="6:6">
      <c r="F1335" s="102" t="str">
        <f t="shared" si="37"/>
        <v/>
      </c>
    </row>
    <row r="1336" spans="6:6">
      <c r="F1336" s="102" t="str">
        <f t="shared" si="37"/>
        <v/>
      </c>
    </row>
    <row r="1337" spans="6:6">
      <c r="F1337" s="102" t="str">
        <f t="shared" si="37"/>
        <v/>
      </c>
    </row>
    <row r="1338" spans="6:6">
      <c r="F1338" s="102" t="str">
        <f t="shared" si="37"/>
        <v/>
      </c>
    </row>
    <row r="1339" spans="6:6">
      <c r="F1339" s="102" t="str">
        <f t="shared" si="37"/>
        <v/>
      </c>
    </row>
    <row r="1340" spans="6:6">
      <c r="F1340" s="102" t="str">
        <f t="shared" si="37"/>
        <v/>
      </c>
    </row>
    <row r="1341" spans="6:6">
      <c r="F1341" s="102" t="str">
        <f t="shared" si="37"/>
        <v/>
      </c>
    </row>
    <row r="1342" spans="6:6">
      <c r="F1342" s="102" t="str">
        <f t="shared" si="37"/>
        <v/>
      </c>
    </row>
    <row r="1343" spans="6:6">
      <c r="F1343" s="102" t="str">
        <f t="shared" si="37"/>
        <v/>
      </c>
    </row>
    <row r="1344" spans="6:6">
      <c r="F1344" s="102" t="str">
        <f t="shared" si="37"/>
        <v/>
      </c>
    </row>
    <row r="1345" spans="6:6">
      <c r="F1345" s="102" t="str">
        <f t="shared" si="37"/>
        <v/>
      </c>
    </row>
    <row r="1346" spans="6:6">
      <c r="F1346" s="102" t="str">
        <f t="shared" si="37"/>
        <v/>
      </c>
    </row>
    <row r="1347" spans="6:6">
      <c r="F1347" s="102" t="str">
        <f t="shared" ref="F1347:F1410" si="38">UPPER(LEFT(B1347,1)) &amp; IFERROR(UPPER(LEFT(MID(B1347,FIND(" ",B1347)+1,LEN(B1347)),1)),"") &amp; IFERROR(UPPER(LEFT(MID(B1347,FIND(" ",B1347,FIND(" ",B1347)+1)+1,LEN(B1347)),1)),"") &amp; IFERROR(UPPER(LEFT(MID(B1347,FIND(" ",B1347,FIND(" ",B1347,FIND(" ",B1347)+1)+1)+1,LEN(B1347)),1)),"")</f>
        <v/>
      </c>
    </row>
    <row r="1348" spans="6:6">
      <c r="F1348" s="102" t="str">
        <f t="shared" si="38"/>
        <v/>
      </c>
    </row>
    <row r="1349" spans="6:6">
      <c r="F1349" s="102" t="str">
        <f t="shared" si="38"/>
        <v/>
      </c>
    </row>
    <row r="1350" spans="6:6">
      <c r="F1350" s="102" t="str">
        <f t="shared" si="38"/>
        <v/>
      </c>
    </row>
    <row r="1351" spans="6:6">
      <c r="F1351" s="102" t="str">
        <f t="shared" si="38"/>
        <v/>
      </c>
    </row>
    <row r="1352" spans="6:6">
      <c r="F1352" s="102" t="str">
        <f t="shared" si="38"/>
        <v/>
      </c>
    </row>
    <row r="1353" spans="6:6">
      <c r="F1353" s="102" t="str">
        <f t="shared" si="38"/>
        <v/>
      </c>
    </row>
    <row r="1354" spans="6:6">
      <c r="F1354" s="102" t="str">
        <f t="shared" si="38"/>
        <v/>
      </c>
    </row>
    <row r="1355" spans="6:6">
      <c r="F1355" s="102" t="str">
        <f t="shared" si="38"/>
        <v/>
      </c>
    </row>
    <row r="1356" spans="6:6">
      <c r="F1356" s="102" t="str">
        <f t="shared" si="38"/>
        <v/>
      </c>
    </row>
    <row r="1357" spans="6:6">
      <c r="F1357" s="102" t="str">
        <f t="shared" si="38"/>
        <v/>
      </c>
    </row>
    <row r="1358" spans="6:6">
      <c r="F1358" s="102" t="str">
        <f t="shared" si="38"/>
        <v/>
      </c>
    </row>
    <row r="1359" spans="6:6">
      <c r="F1359" s="102" t="str">
        <f t="shared" si="38"/>
        <v/>
      </c>
    </row>
    <row r="1360" spans="6:6">
      <c r="F1360" s="102" t="str">
        <f t="shared" si="38"/>
        <v/>
      </c>
    </row>
    <row r="1361" spans="6:6">
      <c r="F1361" s="102" t="str">
        <f t="shared" si="38"/>
        <v/>
      </c>
    </row>
    <row r="1362" spans="6:6">
      <c r="F1362" s="102" t="str">
        <f t="shared" si="38"/>
        <v/>
      </c>
    </row>
    <row r="1363" spans="6:6">
      <c r="F1363" s="102" t="str">
        <f t="shared" si="38"/>
        <v/>
      </c>
    </row>
    <row r="1364" spans="6:6">
      <c r="F1364" s="102" t="str">
        <f t="shared" si="38"/>
        <v/>
      </c>
    </row>
    <row r="1365" spans="6:6">
      <c r="F1365" s="102" t="str">
        <f t="shared" si="38"/>
        <v/>
      </c>
    </row>
    <row r="1366" spans="6:6">
      <c r="F1366" s="102" t="str">
        <f t="shared" si="38"/>
        <v/>
      </c>
    </row>
    <row r="1367" spans="6:6">
      <c r="F1367" s="102" t="str">
        <f t="shared" si="38"/>
        <v/>
      </c>
    </row>
    <row r="1368" spans="6:6">
      <c r="F1368" s="102" t="str">
        <f t="shared" si="38"/>
        <v/>
      </c>
    </row>
    <row r="1369" spans="6:6">
      <c r="F1369" s="102" t="str">
        <f t="shared" si="38"/>
        <v/>
      </c>
    </row>
    <row r="1370" spans="6:6">
      <c r="F1370" s="102" t="str">
        <f t="shared" si="38"/>
        <v/>
      </c>
    </row>
    <row r="1371" spans="6:6">
      <c r="F1371" s="102" t="str">
        <f t="shared" si="38"/>
        <v/>
      </c>
    </row>
    <row r="1372" spans="6:6">
      <c r="F1372" s="102" t="str">
        <f t="shared" si="38"/>
        <v/>
      </c>
    </row>
    <row r="1373" spans="6:6">
      <c r="F1373" s="102" t="str">
        <f t="shared" si="38"/>
        <v/>
      </c>
    </row>
    <row r="1374" spans="6:6">
      <c r="F1374" s="102" t="str">
        <f t="shared" si="38"/>
        <v/>
      </c>
    </row>
    <row r="1375" spans="6:6">
      <c r="F1375" s="102" t="str">
        <f t="shared" si="38"/>
        <v/>
      </c>
    </row>
    <row r="1376" spans="6:6">
      <c r="F1376" s="102" t="str">
        <f t="shared" si="38"/>
        <v/>
      </c>
    </row>
    <row r="1377" spans="6:6">
      <c r="F1377" s="102" t="str">
        <f t="shared" si="38"/>
        <v/>
      </c>
    </row>
    <row r="1378" spans="6:6">
      <c r="F1378" s="102" t="str">
        <f t="shared" si="38"/>
        <v/>
      </c>
    </row>
    <row r="1379" spans="6:6">
      <c r="F1379" s="102" t="str">
        <f t="shared" si="38"/>
        <v/>
      </c>
    </row>
    <row r="1380" spans="6:6">
      <c r="F1380" s="102" t="str">
        <f t="shared" si="38"/>
        <v/>
      </c>
    </row>
    <row r="1381" spans="6:6">
      <c r="F1381" s="102" t="str">
        <f t="shared" si="38"/>
        <v/>
      </c>
    </row>
    <row r="1382" spans="6:6">
      <c r="F1382" s="102" t="str">
        <f t="shared" si="38"/>
        <v/>
      </c>
    </row>
    <row r="1383" spans="6:6">
      <c r="F1383" s="102" t="str">
        <f t="shared" si="38"/>
        <v/>
      </c>
    </row>
    <row r="1384" spans="6:6">
      <c r="F1384" s="102" t="str">
        <f t="shared" si="38"/>
        <v/>
      </c>
    </row>
    <row r="1385" spans="6:6">
      <c r="F1385" s="102" t="str">
        <f t="shared" si="38"/>
        <v/>
      </c>
    </row>
    <row r="1386" spans="6:6">
      <c r="F1386" s="102" t="str">
        <f t="shared" si="38"/>
        <v/>
      </c>
    </row>
    <row r="1387" spans="6:6">
      <c r="F1387" s="102" t="str">
        <f t="shared" si="38"/>
        <v/>
      </c>
    </row>
    <row r="1388" spans="6:6">
      <c r="F1388" s="102" t="str">
        <f t="shared" si="38"/>
        <v/>
      </c>
    </row>
    <row r="1389" spans="6:6">
      <c r="F1389" s="102" t="str">
        <f t="shared" si="38"/>
        <v/>
      </c>
    </row>
    <row r="1390" spans="6:6">
      <c r="F1390" s="102" t="str">
        <f t="shared" si="38"/>
        <v/>
      </c>
    </row>
    <row r="1391" spans="6:6">
      <c r="F1391" s="102" t="str">
        <f t="shared" si="38"/>
        <v/>
      </c>
    </row>
    <row r="1392" spans="6:6">
      <c r="F1392" s="102" t="str">
        <f t="shared" si="38"/>
        <v/>
      </c>
    </row>
    <row r="1393" spans="6:6">
      <c r="F1393" s="102" t="str">
        <f t="shared" si="38"/>
        <v/>
      </c>
    </row>
    <row r="1394" spans="6:6">
      <c r="F1394" s="102" t="str">
        <f t="shared" si="38"/>
        <v/>
      </c>
    </row>
    <row r="1395" spans="6:6">
      <c r="F1395" s="102" t="str">
        <f t="shared" si="38"/>
        <v/>
      </c>
    </row>
    <row r="1396" spans="6:6">
      <c r="F1396" s="102" t="str">
        <f t="shared" si="38"/>
        <v/>
      </c>
    </row>
    <row r="1397" spans="6:6">
      <c r="F1397" s="102" t="str">
        <f t="shared" si="38"/>
        <v/>
      </c>
    </row>
    <row r="1398" spans="6:6">
      <c r="F1398" s="102" t="str">
        <f t="shared" si="38"/>
        <v/>
      </c>
    </row>
    <row r="1399" spans="6:6">
      <c r="F1399" s="102" t="str">
        <f t="shared" si="38"/>
        <v/>
      </c>
    </row>
    <row r="1400" spans="6:6">
      <c r="F1400" s="102" t="str">
        <f t="shared" si="38"/>
        <v/>
      </c>
    </row>
    <row r="1401" spans="6:6">
      <c r="F1401" s="102" t="str">
        <f t="shared" si="38"/>
        <v/>
      </c>
    </row>
    <row r="1402" spans="6:6">
      <c r="F1402" s="102" t="str">
        <f t="shared" si="38"/>
        <v/>
      </c>
    </row>
    <row r="1403" spans="6:6">
      <c r="F1403" s="102" t="str">
        <f t="shared" si="38"/>
        <v/>
      </c>
    </row>
    <row r="1404" spans="6:6">
      <c r="F1404" s="102" t="str">
        <f t="shared" si="38"/>
        <v/>
      </c>
    </row>
    <row r="1405" spans="6:6">
      <c r="F1405" s="102" t="str">
        <f t="shared" si="38"/>
        <v/>
      </c>
    </row>
    <row r="1406" spans="6:6">
      <c r="F1406" s="102" t="str">
        <f t="shared" si="38"/>
        <v/>
      </c>
    </row>
    <row r="1407" spans="6:6">
      <c r="F1407" s="102" t="str">
        <f t="shared" si="38"/>
        <v/>
      </c>
    </row>
    <row r="1408" spans="6:6">
      <c r="F1408" s="102" t="str">
        <f t="shared" si="38"/>
        <v/>
      </c>
    </row>
    <row r="1409" spans="6:6">
      <c r="F1409" s="102" t="str">
        <f t="shared" si="38"/>
        <v/>
      </c>
    </row>
    <row r="1410" spans="6:6">
      <c r="F1410" s="102" t="str">
        <f t="shared" si="38"/>
        <v/>
      </c>
    </row>
    <row r="1411" spans="6:6">
      <c r="F1411" s="102" t="str">
        <f t="shared" ref="F1411:F1474" si="39">UPPER(LEFT(B1411,1)) &amp; IFERROR(UPPER(LEFT(MID(B1411,FIND(" ",B1411)+1,LEN(B1411)),1)),"") &amp; IFERROR(UPPER(LEFT(MID(B1411,FIND(" ",B1411,FIND(" ",B1411)+1)+1,LEN(B1411)),1)),"") &amp; IFERROR(UPPER(LEFT(MID(B1411,FIND(" ",B1411,FIND(" ",B1411,FIND(" ",B1411)+1)+1)+1,LEN(B1411)),1)),"")</f>
        <v/>
      </c>
    </row>
    <row r="1412" spans="6:6">
      <c r="F1412" s="102" t="str">
        <f t="shared" si="39"/>
        <v/>
      </c>
    </row>
    <row r="1413" spans="6:6">
      <c r="F1413" s="102" t="str">
        <f t="shared" si="39"/>
        <v/>
      </c>
    </row>
    <row r="1414" spans="6:6">
      <c r="F1414" s="102" t="str">
        <f t="shared" si="39"/>
        <v/>
      </c>
    </row>
    <row r="1415" spans="6:6">
      <c r="F1415" s="102" t="str">
        <f t="shared" si="39"/>
        <v/>
      </c>
    </row>
    <row r="1416" spans="6:6">
      <c r="F1416" s="102" t="str">
        <f t="shared" si="39"/>
        <v/>
      </c>
    </row>
    <row r="1417" spans="6:6">
      <c r="F1417" s="102" t="str">
        <f t="shared" si="39"/>
        <v/>
      </c>
    </row>
    <row r="1418" spans="6:6">
      <c r="F1418" s="102" t="str">
        <f t="shared" si="39"/>
        <v/>
      </c>
    </row>
    <row r="1419" spans="6:6">
      <c r="F1419" s="102" t="str">
        <f t="shared" si="39"/>
        <v/>
      </c>
    </row>
    <row r="1420" spans="6:6">
      <c r="F1420" s="102" t="str">
        <f t="shared" si="39"/>
        <v/>
      </c>
    </row>
    <row r="1421" spans="6:6">
      <c r="F1421" s="102" t="str">
        <f t="shared" si="39"/>
        <v/>
      </c>
    </row>
    <row r="1422" spans="6:6">
      <c r="F1422" s="102" t="str">
        <f t="shared" si="39"/>
        <v/>
      </c>
    </row>
    <row r="1423" spans="6:6">
      <c r="F1423" s="102" t="str">
        <f t="shared" si="39"/>
        <v/>
      </c>
    </row>
    <row r="1424" spans="6:6">
      <c r="F1424" s="102" t="str">
        <f t="shared" si="39"/>
        <v/>
      </c>
    </row>
    <row r="1425" spans="6:6">
      <c r="F1425" s="102" t="str">
        <f t="shared" si="39"/>
        <v/>
      </c>
    </row>
    <row r="1426" spans="6:6">
      <c r="F1426" s="102" t="str">
        <f t="shared" si="39"/>
        <v/>
      </c>
    </row>
    <row r="1427" spans="6:6">
      <c r="F1427" s="102" t="str">
        <f t="shared" si="39"/>
        <v/>
      </c>
    </row>
    <row r="1428" spans="6:6">
      <c r="F1428" s="102" t="str">
        <f t="shared" si="39"/>
        <v/>
      </c>
    </row>
    <row r="1429" spans="6:6">
      <c r="F1429" s="102" t="str">
        <f t="shared" si="39"/>
        <v/>
      </c>
    </row>
    <row r="1430" spans="6:6">
      <c r="F1430" s="102" t="str">
        <f t="shared" si="39"/>
        <v/>
      </c>
    </row>
    <row r="1431" spans="6:6">
      <c r="F1431" s="102" t="str">
        <f t="shared" si="39"/>
        <v/>
      </c>
    </row>
    <row r="1432" spans="6:6">
      <c r="F1432" s="102" t="str">
        <f t="shared" si="39"/>
        <v/>
      </c>
    </row>
    <row r="1433" spans="6:6">
      <c r="F1433" s="102" t="str">
        <f t="shared" si="39"/>
        <v/>
      </c>
    </row>
    <row r="1434" spans="6:6">
      <c r="F1434" s="102" t="str">
        <f t="shared" si="39"/>
        <v/>
      </c>
    </row>
    <row r="1435" spans="6:6">
      <c r="F1435" s="102" t="str">
        <f t="shared" si="39"/>
        <v/>
      </c>
    </row>
    <row r="1436" spans="6:6">
      <c r="F1436" s="102" t="str">
        <f t="shared" si="39"/>
        <v/>
      </c>
    </row>
    <row r="1437" spans="6:6">
      <c r="F1437" s="102" t="str">
        <f t="shared" si="39"/>
        <v/>
      </c>
    </row>
    <row r="1438" spans="6:6">
      <c r="F1438" s="102" t="str">
        <f t="shared" si="39"/>
        <v/>
      </c>
    </row>
    <row r="1439" spans="6:6">
      <c r="F1439" s="102" t="str">
        <f t="shared" si="39"/>
        <v/>
      </c>
    </row>
    <row r="1440" spans="6:6">
      <c r="F1440" s="102" t="str">
        <f t="shared" si="39"/>
        <v/>
      </c>
    </row>
    <row r="1441" spans="6:6">
      <c r="F1441" s="102" t="str">
        <f t="shared" si="39"/>
        <v/>
      </c>
    </row>
    <row r="1442" spans="6:6">
      <c r="F1442" s="102" t="str">
        <f t="shared" si="39"/>
        <v/>
      </c>
    </row>
    <row r="1443" spans="6:6">
      <c r="F1443" s="102" t="str">
        <f t="shared" si="39"/>
        <v/>
      </c>
    </row>
    <row r="1444" spans="6:6">
      <c r="F1444" s="102" t="str">
        <f t="shared" si="39"/>
        <v/>
      </c>
    </row>
    <row r="1445" spans="6:6">
      <c r="F1445" s="102" t="str">
        <f t="shared" si="39"/>
        <v/>
      </c>
    </row>
    <row r="1446" spans="6:6">
      <c r="F1446" s="102" t="str">
        <f t="shared" si="39"/>
        <v/>
      </c>
    </row>
    <row r="1447" spans="6:6">
      <c r="F1447" s="102" t="str">
        <f t="shared" si="39"/>
        <v/>
      </c>
    </row>
    <row r="1448" spans="6:6">
      <c r="F1448" s="102" t="str">
        <f t="shared" si="39"/>
        <v/>
      </c>
    </row>
    <row r="1449" spans="6:6">
      <c r="F1449" s="102" t="str">
        <f t="shared" si="39"/>
        <v/>
      </c>
    </row>
    <row r="1450" spans="6:6">
      <c r="F1450" s="102" t="str">
        <f t="shared" si="39"/>
        <v/>
      </c>
    </row>
    <row r="1451" spans="6:6">
      <c r="F1451" s="102" t="str">
        <f t="shared" si="39"/>
        <v/>
      </c>
    </row>
    <row r="1452" spans="6:6">
      <c r="F1452" s="102" t="str">
        <f t="shared" si="39"/>
        <v/>
      </c>
    </row>
    <row r="1453" spans="6:6">
      <c r="F1453" s="102" t="str">
        <f t="shared" si="39"/>
        <v/>
      </c>
    </row>
    <row r="1454" spans="6:6">
      <c r="F1454" s="102" t="str">
        <f t="shared" si="39"/>
        <v/>
      </c>
    </row>
    <row r="1455" spans="6:6">
      <c r="F1455" s="102" t="str">
        <f t="shared" si="39"/>
        <v/>
      </c>
    </row>
    <row r="1456" spans="6:6">
      <c r="F1456" s="102" t="str">
        <f t="shared" si="39"/>
        <v/>
      </c>
    </row>
    <row r="1457" spans="6:6">
      <c r="F1457" s="102" t="str">
        <f t="shared" si="39"/>
        <v/>
      </c>
    </row>
    <row r="1458" spans="6:6">
      <c r="F1458" s="102" t="str">
        <f t="shared" si="39"/>
        <v/>
      </c>
    </row>
    <row r="1459" spans="6:6">
      <c r="F1459" s="102" t="str">
        <f t="shared" si="39"/>
        <v/>
      </c>
    </row>
    <row r="1460" spans="6:6">
      <c r="F1460" s="102" t="str">
        <f t="shared" si="39"/>
        <v/>
      </c>
    </row>
    <row r="1461" spans="6:6">
      <c r="F1461" s="102" t="str">
        <f t="shared" si="39"/>
        <v/>
      </c>
    </row>
    <row r="1462" spans="6:6">
      <c r="F1462" s="102" t="str">
        <f t="shared" si="39"/>
        <v/>
      </c>
    </row>
    <row r="1463" spans="6:6">
      <c r="F1463" s="102" t="str">
        <f t="shared" si="39"/>
        <v/>
      </c>
    </row>
    <row r="1464" spans="6:6">
      <c r="F1464" s="102" t="str">
        <f t="shared" si="39"/>
        <v/>
      </c>
    </row>
    <row r="1465" spans="6:6">
      <c r="F1465" s="102" t="str">
        <f t="shared" si="39"/>
        <v/>
      </c>
    </row>
    <row r="1466" spans="6:6">
      <c r="F1466" s="102" t="str">
        <f t="shared" si="39"/>
        <v/>
      </c>
    </row>
    <row r="1467" spans="6:6">
      <c r="F1467" s="102" t="str">
        <f t="shared" si="39"/>
        <v/>
      </c>
    </row>
    <row r="1468" spans="6:6">
      <c r="F1468" s="102" t="str">
        <f t="shared" si="39"/>
        <v/>
      </c>
    </row>
    <row r="1469" spans="6:6">
      <c r="F1469" s="102" t="str">
        <f t="shared" si="39"/>
        <v/>
      </c>
    </row>
    <row r="1470" spans="6:6">
      <c r="F1470" s="102" t="str">
        <f t="shared" si="39"/>
        <v/>
      </c>
    </row>
    <row r="1471" spans="6:6">
      <c r="F1471" s="102" t="str">
        <f t="shared" si="39"/>
        <v/>
      </c>
    </row>
    <row r="1472" spans="6:6">
      <c r="F1472" s="102" t="str">
        <f t="shared" si="39"/>
        <v/>
      </c>
    </row>
    <row r="1473" spans="6:6">
      <c r="F1473" s="102" t="str">
        <f t="shared" si="39"/>
        <v/>
      </c>
    </row>
    <row r="1474" spans="6:6">
      <c r="F1474" s="102" t="str">
        <f t="shared" si="39"/>
        <v/>
      </c>
    </row>
    <row r="1475" spans="6:6">
      <c r="F1475" s="102" t="str">
        <f t="shared" ref="F1475:F1522" si="40">UPPER(LEFT(B1475,1)) &amp; IFERROR(UPPER(LEFT(MID(B1475,FIND(" ",B1475)+1,LEN(B1475)),1)),"") &amp; IFERROR(UPPER(LEFT(MID(B1475,FIND(" ",B1475,FIND(" ",B1475)+1)+1,LEN(B1475)),1)),"") &amp; IFERROR(UPPER(LEFT(MID(B1475,FIND(" ",B1475,FIND(" ",B1475,FIND(" ",B1475)+1)+1)+1,LEN(B1475)),1)),"")</f>
        <v/>
      </c>
    </row>
    <row r="1476" spans="6:6">
      <c r="F1476" s="102" t="str">
        <f t="shared" si="40"/>
        <v/>
      </c>
    </row>
    <row r="1477" spans="6:6">
      <c r="F1477" s="102" t="str">
        <f t="shared" si="40"/>
        <v/>
      </c>
    </row>
    <row r="1478" spans="6:6">
      <c r="F1478" s="102" t="str">
        <f t="shared" si="40"/>
        <v/>
      </c>
    </row>
    <row r="1479" spans="6:6">
      <c r="F1479" s="102" t="str">
        <f t="shared" si="40"/>
        <v/>
      </c>
    </row>
    <row r="1480" spans="6:6">
      <c r="F1480" s="102" t="str">
        <f t="shared" si="40"/>
        <v/>
      </c>
    </row>
    <row r="1481" spans="6:6">
      <c r="F1481" s="102" t="str">
        <f t="shared" si="40"/>
        <v/>
      </c>
    </row>
    <row r="1482" spans="6:6">
      <c r="F1482" s="102" t="str">
        <f t="shared" si="40"/>
        <v/>
      </c>
    </row>
    <row r="1483" spans="6:6">
      <c r="F1483" s="102" t="str">
        <f t="shared" si="40"/>
        <v/>
      </c>
    </row>
    <row r="1484" spans="6:6">
      <c r="F1484" s="102" t="str">
        <f t="shared" si="40"/>
        <v/>
      </c>
    </row>
    <row r="1485" spans="6:6">
      <c r="F1485" s="102" t="str">
        <f t="shared" si="40"/>
        <v/>
      </c>
    </row>
    <row r="1486" spans="6:6">
      <c r="F1486" s="102" t="str">
        <f t="shared" si="40"/>
        <v/>
      </c>
    </row>
    <row r="1487" spans="6:6">
      <c r="F1487" s="102" t="str">
        <f t="shared" si="40"/>
        <v/>
      </c>
    </row>
    <row r="1488" spans="6:6">
      <c r="F1488" s="102" t="str">
        <f t="shared" si="40"/>
        <v/>
      </c>
    </row>
    <row r="1489" spans="6:6">
      <c r="F1489" s="102" t="str">
        <f t="shared" si="40"/>
        <v/>
      </c>
    </row>
    <row r="1490" spans="6:6">
      <c r="F1490" s="102" t="str">
        <f t="shared" si="40"/>
        <v/>
      </c>
    </row>
    <row r="1491" spans="6:6">
      <c r="F1491" s="102" t="str">
        <f t="shared" si="40"/>
        <v/>
      </c>
    </row>
    <row r="1492" spans="6:6">
      <c r="F1492" s="102" t="str">
        <f t="shared" si="40"/>
        <v/>
      </c>
    </row>
    <row r="1493" spans="6:6">
      <c r="F1493" s="102" t="str">
        <f t="shared" si="40"/>
        <v/>
      </c>
    </row>
    <row r="1494" spans="6:6">
      <c r="F1494" s="102" t="str">
        <f t="shared" si="40"/>
        <v/>
      </c>
    </row>
    <row r="1495" spans="6:6">
      <c r="F1495" s="102" t="str">
        <f t="shared" si="40"/>
        <v/>
      </c>
    </row>
    <row r="1496" spans="6:6">
      <c r="F1496" s="102" t="str">
        <f t="shared" si="40"/>
        <v/>
      </c>
    </row>
    <row r="1497" spans="6:6">
      <c r="F1497" s="102" t="str">
        <f t="shared" si="40"/>
        <v/>
      </c>
    </row>
    <row r="1498" spans="6:6">
      <c r="F1498" s="102" t="str">
        <f t="shared" si="40"/>
        <v/>
      </c>
    </row>
    <row r="1499" spans="6:6">
      <c r="F1499" s="102" t="str">
        <f t="shared" si="40"/>
        <v/>
      </c>
    </row>
    <row r="1500" spans="6:6">
      <c r="F1500" s="102" t="str">
        <f t="shared" si="40"/>
        <v/>
      </c>
    </row>
    <row r="1501" spans="6:6">
      <c r="F1501" s="102" t="str">
        <f t="shared" si="40"/>
        <v/>
      </c>
    </row>
    <row r="1502" spans="6:6">
      <c r="F1502" s="102" t="str">
        <f t="shared" si="40"/>
        <v/>
      </c>
    </row>
    <row r="1503" spans="6:6">
      <c r="F1503" s="102" t="str">
        <f t="shared" si="40"/>
        <v/>
      </c>
    </row>
    <row r="1504" spans="6:6">
      <c r="F1504" s="102" t="str">
        <f t="shared" si="40"/>
        <v/>
      </c>
    </row>
    <row r="1505" spans="6:6">
      <c r="F1505" s="102" t="str">
        <f t="shared" si="40"/>
        <v/>
      </c>
    </row>
    <row r="1506" spans="6:6">
      <c r="F1506" s="102" t="str">
        <f t="shared" si="40"/>
        <v/>
      </c>
    </row>
    <row r="1507" spans="6:6">
      <c r="F1507" s="102" t="str">
        <f t="shared" si="40"/>
        <v/>
      </c>
    </row>
    <row r="1508" spans="6:6">
      <c r="F1508" s="102" t="str">
        <f t="shared" si="40"/>
        <v/>
      </c>
    </row>
    <row r="1509" spans="6:6">
      <c r="F1509" s="102" t="str">
        <f t="shared" si="40"/>
        <v/>
      </c>
    </row>
    <row r="1510" spans="6:6">
      <c r="F1510" s="102" t="str">
        <f t="shared" si="40"/>
        <v/>
      </c>
    </row>
    <row r="1511" spans="6:6">
      <c r="F1511" s="102" t="str">
        <f t="shared" si="40"/>
        <v/>
      </c>
    </row>
    <row r="1512" spans="6:6">
      <c r="F1512" s="102" t="str">
        <f t="shared" si="40"/>
        <v/>
      </c>
    </row>
    <row r="1513" spans="6:6">
      <c r="F1513" s="102" t="str">
        <f t="shared" si="40"/>
        <v/>
      </c>
    </row>
    <row r="1514" spans="6:6">
      <c r="F1514" s="102" t="str">
        <f t="shared" si="40"/>
        <v/>
      </c>
    </row>
    <row r="1515" spans="6:6">
      <c r="F1515" s="102" t="str">
        <f t="shared" si="40"/>
        <v/>
      </c>
    </row>
    <row r="1516" spans="6:6">
      <c r="F1516" s="102" t="str">
        <f t="shared" si="40"/>
        <v/>
      </c>
    </row>
    <row r="1517" spans="6:6">
      <c r="F1517" s="102" t="str">
        <f t="shared" si="40"/>
        <v/>
      </c>
    </row>
    <row r="1518" spans="6:6">
      <c r="F1518" s="102" t="str">
        <f t="shared" si="40"/>
        <v/>
      </c>
    </row>
    <row r="1519" spans="6:6">
      <c r="F1519" s="102" t="str">
        <f t="shared" si="40"/>
        <v/>
      </c>
    </row>
    <row r="1520" spans="6:6">
      <c r="F1520" s="102" t="str">
        <f t="shared" si="40"/>
        <v/>
      </c>
    </row>
    <row r="1521" spans="6:6">
      <c r="F1521" s="102" t="str">
        <f t="shared" si="40"/>
        <v/>
      </c>
    </row>
    <row r="1522" spans="6:6">
      <c r="F1522" s="102" t="str">
        <f t="shared" si="40"/>
        <v/>
      </c>
    </row>
  </sheetData>
  <dataConsolidate/>
  <phoneticPr fontId="24" type="noConversion"/>
  <conditionalFormatting sqref="A423:E435 A436">
    <cfRule type="cellIs" dxfId="53" priority="9" operator="equal">
      <formula>0</formula>
    </cfRule>
  </conditionalFormatting>
  <conditionalFormatting sqref="A437:E520">
    <cfRule type="cellIs" dxfId="52" priority="3" operator="equal">
      <formula>0</formula>
    </cfRule>
  </conditionalFormatting>
  <conditionalFormatting sqref="A524:E567 A568 A569:E658 A659:D659">
    <cfRule type="cellIs" dxfId="51" priority="11" operator="equal">
      <formula>0</formula>
    </cfRule>
  </conditionalFormatting>
  <conditionalFormatting sqref="A660:E1522">
    <cfRule type="cellIs" dxfId="50" priority="2" operator="equal">
      <formula>0</formula>
    </cfRule>
  </conditionalFormatting>
  <conditionalFormatting sqref="A2:G2 I2:N5 Q2:T100 G3:G5 A3:E421 F3:F1522 G6:N100 G101:T101 G102:XFD472 G473:EH474 EK473:XFD474 G475:XFD490 IJ482:JD492 EE484:EH491 R489:AE491 EB489:ED491 EI489:EM491 G491:Q567 JE491:XFD1048576 R492:II492 R493:JD493 R494:W494 Y494:AA494 AE494:AI494 AJ494:JD504 R495:AI495 R496:U496 W496:AI496 R497:AI500 AF501:AI504 R501:AE516 AF505:JD516 R517:JD1048576 H568:Q568 G569:Q1522 A1523:Q1048576">
    <cfRule type="cellIs" dxfId="49" priority="12" operator="equal">
      <formula>0</formula>
    </cfRule>
  </conditionalFormatting>
  <conditionalFormatting sqref="B422:E422">
    <cfRule type="cellIs" dxfId="48" priority="10" operator="equal">
      <formula>0</formula>
    </cfRule>
  </conditionalFormatting>
  <conditionalFormatting sqref="B436:E437">
    <cfRule type="cellIs" dxfId="47" priority="8" operator="equal">
      <formula>0</formula>
    </cfRule>
  </conditionalFormatting>
  <conditionalFormatting sqref="T1:V1 U2:XFD101">
    <cfRule type="cellIs" dxfId="46" priority="1" operator="equal">
      <formula>0</formula>
    </cfRule>
  </conditionalFormatting>
  <dataValidations disablePrompts="1" count="1">
    <dataValidation type="list" allowBlank="1" showInputMessage="1" showErrorMessage="1" sqref="B2" xr:uid="{00000000-0002-0000-0400-000000000000}">
      <formula1>$B$2:$B$410</formula1>
    </dataValidation>
  </dataValidations>
  <hyperlinks>
    <hyperlink ref="G413" r:id="rId1" xr:uid="{00000000-0004-0000-0400-000000000000}"/>
    <hyperlink ref="H588" r:id="rId2" xr:uid="{1F869B51-682A-8544-A642-8016874D84C4}"/>
    <hyperlink ref="H612" r:id="rId3" xr:uid="{E82E938B-474C-0343-83FC-206DB14BA1D1}"/>
    <hyperlink ref="H661" r:id="rId4" xr:uid="{BCFD5712-A29A-4D4B-BA13-30E39DE86345}"/>
    <hyperlink ref="H665" r:id="rId5" xr:uid="{D24B7BB6-19CA-BC45-96FD-6EA3615BC25F}"/>
    <hyperlink ref="H666" r:id="rId6" xr:uid="{806CB8E9-0143-D84B-87F3-4AABB4751BB7}"/>
    <hyperlink ref="H673" r:id="rId7" xr:uid="{B1623D6E-92C7-CC46-98C7-2BAD8C647EE0}"/>
    <hyperlink ref="H725" r:id="rId8" xr:uid="{07FCB288-3303-014F-8B5E-569A9918788F}"/>
    <hyperlink ref="H729" r:id="rId9" xr:uid="{DC376C2E-67DB-9B45-A161-F6D065F1BB91}"/>
    <hyperlink ref="H741" r:id="rId10" xr:uid="{77E0B6DF-0A41-644F-A0C6-39BDB7849170}"/>
    <hyperlink ref="H742" r:id="rId11" xr:uid="{A84DD133-0B90-0E44-A84B-FCE0C24E220D}"/>
    <hyperlink ref="H743" r:id="rId12" xr:uid="{457C37A5-356A-9F45-90C2-4918DA4CD137}"/>
    <hyperlink ref="H744" r:id="rId13" xr:uid="{7AAFD1F6-009D-014C-AA4F-84A0314ADDC0}"/>
    <hyperlink ref="H757" r:id="rId14" xr:uid="{3562AA03-AD5C-D84E-8B69-8BB3645B246F}"/>
    <hyperlink ref="H760" r:id="rId15" xr:uid="{F0F9E7B1-DC9D-294E-B632-13C236EDFF3C}"/>
    <hyperlink ref="H761" r:id="rId16" xr:uid="{1D9C5F81-FCCC-A748-808F-AD4333EBC3EA}"/>
    <hyperlink ref="H799" r:id="rId17" xr:uid="{6B6B9A2A-3891-7F44-BBCF-9F4268D64A0B}"/>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VZ1048574"/>
  <sheetViews>
    <sheetView showGridLines="0" tabSelected="1" zoomScaleNormal="100" workbookViewId="0">
      <pane xSplit="3" ySplit="17" topLeftCell="D18" activePane="bottomRight" state="frozen"/>
      <selection activeCell="T14" sqref="T14"/>
      <selection pane="topRight" activeCell="T14" sqref="T14"/>
      <selection pane="bottomLeft" activeCell="T14" sqref="T14"/>
      <selection pane="bottomRight" activeCell="H65" sqref="H65"/>
    </sheetView>
  </sheetViews>
  <sheetFormatPr baseColWidth="10" defaultColWidth="0" defaultRowHeight="15" zeroHeight="1"/>
  <cols>
    <col min="1" max="1" width="1.83203125" style="2" customWidth="1"/>
    <col min="2" max="2" width="10" style="2" customWidth="1"/>
    <col min="3" max="3" width="18.5" style="2" customWidth="1"/>
    <col min="4" max="4" width="9.1640625" style="2" customWidth="1"/>
    <col min="5" max="5" width="6" style="2" customWidth="1"/>
    <col min="6" max="6" width="16.33203125" style="2" customWidth="1"/>
    <col min="7" max="7" width="9.83203125" style="2" customWidth="1"/>
    <col min="8" max="8" width="8.83203125" style="2" customWidth="1"/>
    <col min="9" max="9" width="20.6640625" style="2" customWidth="1"/>
    <col min="10" max="10" width="15.33203125" style="2" customWidth="1"/>
    <col min="11" max="11" width="18" style="2" customWidth="1"/>
    <col min="12" max="12" width="1.83203125" style="48" customWidth="1"/>
    <col min="13" max="13" width="13.6640625" style="20" customWidth="1"/>
    <col min="14" max="16" width="9.1640625" style="20" customWidth="1"/>
    <col min="17" max="17" width="12.1640625" style="20" customWidth="1"/>
    <col min="18" max="18" width="9.1640625" style="20" customWidth="1"/>
    <col min="19" max="115" width="9.1640625" style="75" customWidth="1"/>
    <col min="116" max="118" width="9.1640625" style="76" customWidth="1"/>
    <col min="119" max="251" width="9.1640625" customWidth="1"/>
    <col min="252" max="252" width="5" customWidth="1"/>
    <col min="253" max="253" width="10" customWidth="1"/>
    <col min="254" max="254" width="18.5" customWidth="1"/>
    <col min="255" max="255" width="9.1640625" customWidth="1"/>
    <col min="256" max="256" width="6" customWidth="1"/>
    <col min="257" max="257" width="16.33203125" customWidth="1"/>
    <col min="258" max="258" width="9.83203125" customWidth="1"/>
    <col min="259" max="259" width="8.83203125" customWidth="1"/>
    <col min="260" max="260" width="10.83203125" customWidth="1"/>
    <col min="261" max="261" width="14.1640625" customWidth="1"/>
    <col min="262" max="262" width="15.33203125" customWidth="1"/>
    <col min="263" max="263" width="16.5" customWidth="1"/>
    <col min="264" max="264" width="5" customWidth="1"/>
    <col min="265" max="507" width="9.1640625" customWidth="1"/>
    <col min="508" max="508" width="5" customWidth="1"/>
    <col min="509" max="509" width="10" customWidth="1"/>
    <col min="510" max="510" width="18.5" customWidth="1"/>
    <col min="511" max="511" width="9.1640625" customWidth="1"/>
    <col min="512" max="512" width="6" customWidth="1"/>
    <col min="513" max="513" width="16.33203125" customWidth="1"/>
    <col min="514" max="514" width="9.83203125" customWidth="1"/>
    <col min="515" max="515" width="8.83203125" customWidth="1"/>
    <col min="516" max="516" width="10.83203125" customWidth="1"/>
    <col min="517" max="517" width="14.1640625" customWidth="1"/>
    <col min="518" max="518" width="15.33203125" customWidth="1"/>
    <col min="519" max="519" width="16.5" customWidth="1"/>
    <col min="520" max="520" width="5" customWidth="1"/>
    <col min="521" max="763" width="9.1640625" customWidth="1"/>
    <col min="764" max="764" width="5" customWidth="1"/>
    <col min="765" max="765" width="10" customWidth="1"/>
    <col min="766" max="766" width="18.5" customWidth="1"/>
    <col min="767" max="767" width="9.1640625" customWidth="1"/>
    <col min="768" max="768" width="6" customWidth="1"/>
    <col min="769" max="769" width="16.33203125" customWidth="1"/>
    <col min="770" max="770" width="9.83203125" customWidth="1"/>
    <col min="771" max="771" width="8.83203125" customWidth="1"/>
    <col min="772" max="772" width="10.83203125" customWidth="1"/>
    <col min="773" max="773" width="14.1640625" customWidth="1"/>
    <col min="774" max="774" width="15.33203125" customWidth="1"/>
    <col min="775" max="775" width="16.5" customWidth="1"/>
    <col min="776" max="776" width="5" customWidth="1"/>
    <col min="777" max="1019" width="9.1640625" customWidth="1"/>
    <col min="1020" max="1020" width="5" customWidth="1"/>
    <col min="1021" max="1021" width="10" customWidth="1"/>
    <col min="1022" max="1022" width="18.5" customWidth="1"/>
    <col min="1023" max="1023" width="9.1640625" customWidth="1"/>
    <col min="1024" max="1024" width="6" customWidth="1"/>
    <col min="1025" max="1025" width="16.33203125" customWidth="1"/>
    <col min="1026" max="1026" width="9.83203125" customWidth="1"/>
    <col min="1027" max="1027" width="8.83203125" customWidth="1"/>
    <col min="1028" max="1028" width="10.83203125" customWidth="1"/>
    <col min="1029" max="1029" width="14.1640625" customWidth="1"/>
    <col min="1030" max="1030" width="15.33203125" customWidth="1"/>
    <col min="1031" max="1031" width="16.5" customWidth="1"/>
    <col min="1032" max="1032" width="5" customWidth="1"/>
    <col min="1033" max="1275" width="9.1640625" customWidth="1"/>
    <col min="1276" max="1276" width="5" customWidth="1"/>
    <col min="1277" max="1277" width="10" customWidth="1"/>
    <col min="1278" max="1278" width="18.5" customWidth="1"/>
    <col min="1279" max="1279" width="9.1640625" customWidth="1"/>
    <col min="1280" max="1280" width="6" customWidth="1"/>
    <col min="1281" max="1281" width="16.33203125" customWidth="1"/>
    <col min="1282" max="1282" width="9.83203125" customWidth="1"/>
    <col min="1283" max="1283" width="8.83203125" customWidth="1"/>
    <col min="1284" max="1284" width="10.83203125" customWidth="1"/>
    <col min="1285" max="1285" width="14.1640625" customWidth="1"/>
    <col min="1286" max="1286" width="15.33203125" customWidth="1"/>
    <col min="1287" max="1287" width="16.5" customWidth="1"/>
    <col min="1288" max="1288" width="5" customWidth="1"/>
    <col min="1289" max="1531" width="9.1640625" customWidth="1"/>
    <col min="1532" max="1532" width="5" customWidth="1"/>
    <col min="1533" max="1533" width="10" customWidth="1"/>
    <col min="1534" max="1534" width="18.5" customWidth="1"/>
    <col min="1535" max="1535" width="9.1640625" customWidth="1"/>
    <col min="1536" max="1536" width="6" customWidth="1"/>
    <col min="1537" max="1537" width="16.33203125" customWidth="1"/>
    <col min="1538" max="1538" width="9.83203125" customWidth="1"/>
    <col min="1539" max="1539" width="8.83203125" customWidth="1"/>
    <col min="1540" max="1540" width="10.83203125" customWidth="1"/>
    <col min="1541" max="1541" width="14.1640625" customWidth="1"/>
    <col min="1542" max="1542" width="15.33203125" customWidth="1"/>
    <col min="1543" max="1543" width="16.5" customWidth="1"/>
    <col min="1544" max="1544" width="5" customWidth="1"/>
    <col min="1545" max="1787" width="9.1640625" customWidth="1"/>
    <col min="1788" max="1788" width="5" customWidth="1"/>
    <col min="1789" max="1789" width="10" customWidth="1"/>
    <col min="1790" max="1790" width="18.5" customWidth="1"/>
    <col min="1791" max="1791" width="9.1640625" customWidth="1"/>
    <col min="1792" max="1792" width="6" customWidth="1"/>
    <col min="1793" max="1793" width="16.33203125" customWidth="1"/>
    <col min="1794" max="1794" width="9.83203125" customWidth="1"/>
    <col min="1795" max="1795" width="8.83203125" customWidth="1"/>
    <col min="1796" max="1796" width="10.83203125" customWidth="1"/>
    <col min="1797" max="1797" width="14.1640625" customWidth="1"/>
    <col min="1798" max="1798" width="15.33203125" customWidth="1"/>
    <col min="1799" max="1799" width="16.5" customWidth="1"/>
    <col min="1800" max="1800" width="5" customWidth="1"/>
    <col min="1801" max="2043" width="9.1640625" customWidth="1"/>
    <col min="2044" max="2044" width="5" customWidth="1"/>
    <col min="2045" max="2045" width="10" customWidth="1"/>
    <col min="2046" max="2046" width="18.5" customWidth="1"/>
    <col min="2047" max="2047" width="9.1640625" customWidth="1"/>
    <col min="2048" max="2048" width="6" customWidth="1"/>
    <col min="2049" max="2049" width="16.33203125" customWidth="1"/>
    <col min="2050" max="2050" width="9.83203125" customWidth="1"/>
    <col min="2051" max="2051" width="8.83203125" customWidth="1"/>
    <col min="2052" max="2052" width="10.83203125" customWidth="1"/>
    <col min="2053" max="2053" width="14.1640625" customWidth="1"/>
    <col min="2054" max="2054" width="15.33203125" customWidth="1"/>
    <col min="2055" max="2055" width="16.5" customWidth="1"/>
    <col min="2056" max="2056" width="5" customWidth="1"/>
    <col min="2057" max="2299" width="9.1640625" customWidth="1"/>
    <col min="2300" max="2300" width="5" customWidth="1"/>
    <col min="2301" max="2301" width="10" customWidth="1"/>
    <col min="2302" max="2302" width="18.5" customWidth="1"/>
    <col min="2303" max="2303" width="9.1640625" customWidth="1"/>
    <col min="2304" max="2304" width="6" customWidth="1"/>
    <col min="2305" max="2305" width="16.33203125" customWidth="1"/>
    <col min="2306" max="2306" width="9.83203125" customWidth="1"/>
    <col min="2307" max="2307" width="8.83203125" customWidth="1"/>
    <col min="2308" max="2308" width="10.83203125" customWidth="1"/>
    <col min="2309" max="2309" width="14.1640625" customWidth="1"/>
    <col min="2310" max="2310" width="15.33203125" customWidth="1"/>
    <col min="2311" max="2311" width="16.5" customWidth="1"/>
    <col min="2312" max="2312" width="5" customWidth="1"/>
    <col min="2313" max="2555" width="9.1640625" customWidth="1"/>
    <col min="2556" max="2556" width="5" customWidth="1"/>
    <col min="2557" max="2557" width="10" customWidth="1"/>
    <col min="2558" max="2558" width="18.5" customWidth="1"/>
    <col min="2559" max="2559" width="9.1640625" customWidth="1"/>
    <col min="2560" max="2560" width="6" customWidth="1"/>
    <col min="2561" max="2561" width="16.33203125" customWidth="1"/>
    <col min="2562" max="2562" width="9.83203125" customWidth="1"/>
    <col min="2563" max="2563" width="8.83203125" customWidth="1"/>
    <col min="2564" max="2564" width="10.83203125" customWidth="1"/>
    <col min="2565" max="2565" width="14.1640625" customWidth="1"/>
    <col min="2566" max="2566" width="15.33203125" customWidth="1"/>
    <col min="2567" max="2567" width="16.5" customWidth="1"/>
    <col min="2568" max="2568" width="5" customWidth="1"/>
    <col min="2569" max="2811" width="9.1640625" customWidth="1"/>
    <col min="2812" max="2812" width="5" customWidth="1"/>
    <col min="2813" max="2813" width="10" customWidth="1"/>
    <col min="2814" max="2814" width="18.5" customWidth="1"/>
    <col min="2815" max="2815" width="9.1640625" customWidth="1"/>
    <col min="2816" max="2816" width="6" customWidth="1"/>
    <col min="2817" max="2817" width="16.33203125" customWidth="1"/>
    <col min="2818" max="2818" width="9.83203125" customWidth="1"/>
    <col min="2819" max="2819" width="8.83203125" customWidth="1"/>
    <col min="2820" max="2820" width="10.83203125" customWidth="1"/>
    <col min="2821" max="2821" width="14.1640625" customWidth="1"/>
    <col min="2822" max="2822" width="15.33203125" customWidth="1"/>
    <col min="2823" max="2823" width="16.5" customWidth="1"/>
    <col min="2824" max="2824" width="5" customWidth="1"/>
    <col min="2825" max="3067" width="9.1640625" customWidth="1"/>
    <col min="3068" max="3068" width="5" customWidth="1"/>
    <col min="3069" max="3069" width="10" customWidth="1"/>
    <col min="3070" max="3070" width="18.5" customWidth="1"/>
    <col min="3071" max="3071" width="9.1640625" customWidth="1"/>
    <col min="3072" max="3072" width="6" customWidth="1"/>
    <col min="3073" max="3073" width="16.33203125" customWidth="1"/>
    <col min="3074" max="3074" width="9.83203125" customWidth="1"/>
    <col min="3075" max="3075" width="8.83203125" customWidth="1"/>
    <col min="3076" max="3076" width="10.83203125" customWidth="1"/>
    <col min="3077" max="3077" width="14.1640625" customWidth="1"/>
    <col min="3078" max="3078" width="15.33203125" customWidth="1"/>
    <col min="3079" max="3079" width="16.5" customWidth="1"/>
    <col min="3080" max="3080" width="5" customWidth="1"/>
    <col min="3081" max="3323" width="9.1640625" customWidth="1"/>
    <col min="3324" max="3324" width="5" customWidth="1"/>
    <col min="3325" max="3325" width="10" customWidth="1"/>
    <col min="3326" max="3326" width="18.5" customWidth="1"/>
    <col min="3327" max="3327" width="9.1640625" customWidth="1"/>
    <col min="3328" max="3328" width="6" customWidth="1"/>
    <col min="3329" max="3329" width="16.33203125" customWidth="1"/>
    <col min="3330" max="3330" width="9.83203125" customWidth="1"/>
    <col min="3331" max="3331" width="8.83203125" customWidth="1"/>
    <col min="3332" max="3332" width="10.83203125" customWidth="1"/>
    <col min="3333" max="3333" width="14.1640625" customWidth="1"/>
    <col min="3334" max="3334" width="15.33203125" customWidth="1"/>
    <col min="3335" max="3335" width="16.5" customWidth="1"/>
    <col min="3336" max="3336" width="5" customWidth="1"/>
    <col min="3337" max="3579" width="9.1640625" customWidth="1"/>
    <col min="3580" max="3580" width="5" customWidth="1"/>
    <col min="3581" max="3581" width="10" customWidth="1"/>
    <col min="3582" max="3582" width="18.5" customWidth="1"/>
    <col min="3583" max="3583" width="9.1640625" customWidth="1"/>
    <col min="3584" max="3584" width="6" customWidth="1"/>
    <col min="3585" max="3585" width="16.33203125" customWidth="1"/>
    <col min="3586" max="3586" width="9.83203125" customWidth="1"/>
    <col min="3587" max="3587" width="8.83203125" customWidth="1"/>
    <col min="3588" max="3588" width="10.83203125" customWidth="1"/>
    <col min="3589" max="3589" width="14.1640625" customWidth="1"/>
    <col min="3590" max="3590" width="15.33203125" customWidth="1"/>
    <col min="3591" max="3591" width="16.5" customWidth="1"/>
    <col min="3592" max="3592" width="5" customWidth="1"/>
    <col min="3593" max="3835" width="9.1640625" customWidth="1"/>
    <col min="3836" max="3836" width="5" customWidth="1"/>
    <col min="3837" max="3837" width="10" customWidth="1"/>
    <col min="3838" max="3838" width="18.5" customWidth="1"/>
    <col min="3839" max="3839" width="9.1640625" customWidth="1"/>
    <col min="3840" max="3840" width="6" customWidth="1"/>
    <col min="3841" max="3841" width="16.33203125" customWidth="1"/>
    <col min="3842" max="3842" width="9.83203125" customWidth="1"/>
    <col min="3843" max="3843" width="8.83203125" customWidth="1"/>
    <col min="3844" max="3844" width="10.83203125" customWidth="1"/>
    <col min="3845" max="3845" width="14.1640625" customWidth="1"/>
    <col min="3846" max="3846" width="15.33203125" customWidth="1"/>
    <col min="3847" max="3847" width="16.5" customWidth="1"/>
    <col min="3848" max="3848" width="5" customWidth="1"/>
    <col min="3849" max="4091" width="9.1640625" customWidth="1"/>
    <col min="4092" max="4092" width="5" customWidth="1"/>
    <col min="4093" max="4093" width="10" customWidth="1"/>
    <col min="4094" max="4094" width="18.5" customWidth="1"/>
    <col min="4095" max="4095" width="9.1640625" customWidth="1"/>
    <col min="4096" max="4096" width="6" customWidth="1"/>
    <col min="4097" max="4097" width="16.33203125" customWidth="1"/>
    <col min="4098" max="4098" width="9.83203125" customWidth="1"/>
    <col min="4099" max="4099" width="8.83203125" customWidth="1"/>
    <col min="4100" max="4100" width="10.83203125" customWidth="1"/>
    <col min="4101" max="4101" width="14.1640625" customWidth="1"/>
    <col min="4102" max="4102" width="15.33203125" customWidth="1"/>
    <col min="4103" max="4103" width="16.5" customWidth="1"/>
    <col min="4104" max="4104" width="5" customWidth="1"/>
    <col min="4105" max="4347" width="9.1640625" customWidth="1"/>
    <col min="4348" max="4348" width="5" customWidth="1"/>
    <col min="4349" max="4349" width="10" customWidth="1"/>
    <col min="4350" max="4350" width="18.5" customWidth="1"/>
    <col min="4351" max="4351" width="9.1640625" customWidth="1"/>
    <col min="4352" max="4352" width="6" customWidth="1"/>
    <col min="4353" max="4353" width="16.33203125" customWidth="1"/>
    <col min="4354" max="4354" width="9.83203125" customWidth="1"/>
    <col min="4355" max="4355" width="8.83203125" customWidth="1"/>
    <col min="4356" max="4356" width="10.83203125" customWidth="1"/>
    <col min="4357" max="4357" width="14.1640625" customWidth="1"/>
    <col min="4358" max="4358" width="15.33203125" customWidth="1"/>
    <col min="4359" max="4359" width="16.5" customWidth="1"/>
    <col min="4360" max="4360" width="5" customWidth="1"/>
    <col min="4361" max="4603" width="9.1640625" customWidth="1"/>
    <col min="4604" max="4604" width="5" customWidth="1"/>
    <col min="4605" max="4605" width="10" customWidth="1"/>
    <col min="4606" max="4606" width="18.5" customWidth="1"/>
    <col min="4607" max="4607" width="9.1640625" customWidth="1"/>
    <col min="4608" max="4608" width="6" customWidth="1"/>
    <col min="4609" max="4609" width="16.33203125" customWidth="1"/>
    <col min="4610" max="4610" width="9.83203125" customWidth="1"/>
    <col min="4611" max="4611" width="8.83203125" customWidth="1"/>
    <col min="4612" max="4612" width="10.83203125" customWidth="1"/>
    <col min="4613" max="4613" width="14.1640625" customWidth="1"/>
    <col min="4614" max="4614" width="15.33203125" customWidth="1"/>
    <col min="4615" max="4615" width="16.5" customWidth="1"/>
    <col min="4616" max="4616" width="5" customWidth="1"/>
    <col min="4617" max="4859" width="9.1640625" customWidth="1"/>
    <col min="4860" max="4860" width="5" customWidth="1"/>
    <col min="4861" max="4861" width="10" customWidth="1"/>
    <col min="4862" max="4862" width="18.5" customWidth="1"/>
    <col min="4863" max="4863" width="9.1640625" customWidth="1"/>
    <col min="4864" max="4864" width="6" customWidth="1"/>
    <col min="4865" max="4865" width="16.33203125" customWidth="1"/>
    <col min="4866" max="4866" width="9.83203125" customWidth="1"/>
    <col min="4867" max="4867" width="8.83203125" customWidth="1"/>
    <col min="4868" max="4868" width="10.83203125" customWidth="1"/>
    <col min="4869" max="4869" width="14.1640625" customWidth="1"/>
    <col min="4870" max="4870" width="15.33203125" customWidth="1"/>
    <col min="4871" max="4871" width="16.5" customWidth="1"/>
    <col min="4872" max="4872" width="5" customWidth="1"/>
    <col min="4873" max="5115" width="9.1640625" customWidth="1"/>
    <col min="5116" max="5116" width="5" customWidth="1"/>
    <col min="5117" max="5117" width="10" customWidth="1"/>
    <col min="5118" max="5118" width="18.5" customWidth="1"/>
    <col min="5119" max="5119" width="9.1640625" customWidth="1"/>
    <col min="5120" max="5120" width="6" customWidth="1"/>
    <col min="5121" max="5121" width="16.33203125" customWidth="1"/>
    <col min="5122" max="5122" width="9.83203125" customWidth="1"/>
    <col min="5123" max="5123" width="8.83203125" customWidth="1"/>
    <col min="5124" max="5124" width="10.83203125" customWidth="1"/>
    <col min="5125" max="5125" width="14.1640625" customWidth="1"/>
    <col min="5126" max="5126" width="15.33203125" customWidth="1"/>
    <col min="5127" max="5127" width="16.5" customWidth="1"/>
    <col min="5128" max="5128" width="5" customWidth="1"/>
    <col min="5129" max="5371" width="9.1640625" customWidth="1"/>
    <col min="5372" max="5372" width="5" customWidth="1"/>
    <col min="5373" max="5373" width="10" customWidth="1"/>
    <col min="5374" max="5374" width="18.5" customWidth="1"/>
    <col min="5375" max="5375" width="9.1640625" customWidth="1"/>
    <col min="5376" max="5376" width="6" customWidth="1"/>
    <col min="5377" max="5377" width="16.33203125" customWidth="1"/>
    <col min="5378" max="5378" width="9.83203125" customWidth="1"/>
    <col min="5379" max="5379" width="8.83203125" customWidth="1"/>
    <col min="5380" max="5380" width="10.83203125" customWidth="1"/>
    <col min="5381" max="5381" width="14.1640625" customWidth="1"/>
    <col min="5382" max="5382" width="15.33203125" customWidth="1"/>
    <col min="5383" max="5383" width="16.5" customWidth="1"/>
    <col min="5384" max="5384" width="5" customWidth="1"/>
    <col min="5385" max="5627" width="9.1640625" customWidth="1"/>
    <col min="5628" max="5628" width="5" customWidth="1"/>
    <col min="5629" max="5629" width="10" customWidth="1"/>
    <col min="5630" max="5630" width="18.5" customWidth="1"/>
    <col min="5631" max="5631" width="9.1640625" customWidth="1"/>
    <col min="5632" max="5632" width="6" customWidth="1"/>
    <col min="5633" max="5633" width="16.33203125" customWidth="1"/>
    <col min="5634" max="5634" width="9.83203125" customWidth="1"/>
    <col min="5635" max="5635" width="8.83203125" customWidth="1"/>
    <col min="5636" max="5636" width="10.83203125" customWidth="1"/>
    <col min="5637" max="5637" width="14.1640625" customWidth="1"/>
    <col min="5638" max="5638" width="15.33203125" customWidth="1"/>
    <col min="5639" max="5639" width="16.5" customWidth="1"/>
    <col min="5640" max="5640" width="5" customWidth="1"/>
    <col min="5641" max="5883" width="9.1640625" customWidth="1"/>
    <col min="5884" max="5884" width="5" customWidth="1"/>
    <col min="5885" max="5885" width="10" customWidth="1"/>
    <col min="5886" max="5886" width="18.5" customWidth="1"/>
    <col min="5887" max="5887" width="9.1640625" customWidth="1"/>
    <col min="5888" max="5888" width="6" customWidth="1"/>
    <col min="5889" max="5889" width="16.33203125" customWidth="1"/>
    <col min="5890" max="5890" width="9.83203125" customWidth="1"/>
    <col min="5891" max="5891" width="8.83203125" customWidth="1"/>
    <col min="5892" max="5892" width="10.83203125" customWidth="1"/>
    <col min="5893" max="5893" width="14.1640625" customWidth="1"/>
    <col min="5894" max="5894" width="15.33203125" customWidth="1"/>
    <col min="5895" max="5895" width="16.5" customWidth="1"/>
    <col min="5896" max="5896" width="5" customWidth="1"/>
    <col min="5897" max="6139" width="9.1640625" customWidth="1"/>
    <col min="6140" max="6140" width="5" customWidth="1"/>
    <col min="6141" max="6141" width="10" customWidth="1"/>
    <col min="6142" max="6142" width="18.5" customWidth="1"/>
    <col min="6143" max="6143" width="9.1640625" customWidth="1"/>
    <col min="6144" max="6144" width="6" customWidth="1"/>
    <col min="6145" max="6145" width="16.33203125" customWidth="1"/>
    <col min="6146" max="6146" width="9.83203125" customWidth="1"/>
    <col min="6147" max="6147" width="8.83203125" customWidth="1"/>
    <col min="6148" max="6148" width="10.83203125" customWidth="1"/>
    <col min="6149" max="6149" width="14.1640625" customWidth="1"/>
    <col min="6150" max="6150" width="15.33203125" customWidth="1"/>
    <col min="6151" max="6151" width="16.5" customWidth="1"/>
    <col min="6152" max="6152" width="5" customWidth="1"/>
    <col min="6153" max="6395" width="9.1640625" customWidth="1"/>
    <col min="6396" max="6396" width="5" customWidth="1"/>
    <col min="6397" max="6397" width="10" customWidth="1"/>
    <col min="6398" max="6398" width="18.5" customWidth="1"/>
    <col min="6399" max="6399" width="9.1640625" customWidth="1"/>
    <col min="6400" max="6400" width="6" customWidth="1"/>
    <col min="6401" max="6401" width="16.33203125" customWidth="1"/>
    <col min="6402" max="6402" width="9.83203125" customWidth="1"/>
    <col min="6403" max="6403" width="8.83203125" customWidth="1"/>
    <col min="6404" max="6404" width="10.83203125" customWidth="1"/>
    <col min="6405" max="6405" width="14.1640625" customWidth="1"/>
    <col min="6406" max="6406" width="15.33203125" customWidth="1"/>
    <col min="6407" max="6407" width="16.5" customWidth="1"/>
    <col min="6408" max="6408" width="5" customWidth="1"/>
    <col min="6409" max="6651" width="9.1640625" customWidth="1"/>
    <col min="6652" max="6652" width="5" customWidth="1"/>
    <col min="6653" max="6653" width="10" customWidth="1"/>
    <col min="6654" max="6654" width="18.5" customWidth="1"/>
    <col min="6655" max="6655" width="9.1640625" customWidth="1"/>
    <col min="6656" max="6656" width="6" customWidth="1"/>
    <col min="6657" max="6657" width="16.33203125" customWidth="1"/>
    <col min="6658" max="6658" width="9.83203125" customWidth="1"/>
    <col min="6659" max="6659" width="8.83203125" customWidth="1"/>
    <col min="6660" max="6660" width="10.83203125" customWidth="1"/>
    <col min="6661" max="6661" width="14.1640625" customWidth="1"/>
    <col min="6662" max="6662" width="15.33203125" customWidth="1"/>
    <col min="6663" max="6663" width="16.5" customWidth="1"/>
    <col min="6664" max="6664" width="5" customWidth="1"/>
    <col min="6665" max="6907" width="9.1640625" customWidth="1"/>
    <col min="6908" max="6908" width="5" customWidth="1"/>
    <col min="6909" max="6909" width="10" customWidth="1"/>
    <col min="6910" max="6910" width="18.5" customWidth="1"/>
    <col min="6911" max="6911" width="9.1640625" customWidth="1"/>
    <col min="6912" max="6912" width="6" customWidth="1"/>
    <col min="6913" max="6913" width="16.33203125" customWidth="1"/>
    <col min="6914" max="6914" width="9.83203125" customWidth="1"/>
    <col min="6915" max="6915" width="8.83203125" customWidth="1"/>
    <col min="6916" max="6916" width="10.83203125" customWidth="1"/>
    <col min="6917" max="6917" width="14.1640625" customWidth="1"/>
    <col min="6918" max="6918" width="15.33203125" customWidth="1"/>
    <col min="6919" max="6919" width="16.5" customWidth="1"/>
    <col min="6920" max="6920" width="5" customWidth="1"/>
    <col min="6921" max="7163" width="9.1640625" customWidth="1"/>
    <col min="7164" max="7164" width="5" customWidth="1"/>
    <col min="7165" max="7165" width="10" customWidth="1"/>
    <col min="7166" max="7166" width="18.5" customWidth="1"/>
    <col min="7167" max="7167" width="9.1640625" customWidth="1"/>
    <col min="7168" max="7168" width="6" customWidth="1"/>
    <col min="7169" max="7169" width="16.33203125" customWidth="1"/>
    <col min="7170" max="7170" width="9.83203125" customWidth="1"/>
    <col min="7171" max="7171" width="8.83203125" customWidth="1"/>
    <col min="7172" max="7172" width="10.83203125" customWidth="1"/>
    <col min="7173" max="7173" width="14.1640625" customWidth="1"/>
    <col min="7174" max="7174" width="15.33203125" customWidth="1"/>
    <col min="7175" max="7175" width="16.5" customWidth="1"/>
    <col min="7176" max="7176" width="5" customWidth="1"/>
    <col min="7177" max="7419" width="9.1640625" customWidth="1"/>
    <col min="7420" max="7420" width="5" customWidth="1"/>
    <col min="7421" max="7421" width="10" customWidth="1"/>
    <col min="7422" max="7422" width="18.5" customWidth="1"/>
    <col min="7423" max="7423" width="9.1640625" customWidth="1"/>
    <col min="7424" max="7424" width="6" customWidth="1"/>
    <col min="7425" max="7425" width="16.33203125" customWidth="1"/>
    <col min="7426" max="7426" width="9.83203125" customWidth="1"/>
    <col min="7427" max="7427" width="8.83203125" customWidth="1"/>
    <col min="7428" max="7428" width="10.83203125" customWidth="1"/>
    <col min="7429" max="7429" width="14.1640625" customWidth="1"/>
    <col min="7430" max="7430" width="15.33203125" customWidth="1"/>
    <col min="7431" max="7431" width="16.5" customWidth="1"/>
    <col min="7432" max="7432" width="5" customWidth="1"/>
    <col min="7433" max="7675" width="9.1640625" customWidth="1"/>
    <col min="7676" max="7676" width="5" customWidth="1"/>
    <col min="7677" max="7677" width="10" customWidth="1"/>
    <col min="7678" max="7678" width="18.5" customWidth="1"/>
    <col min="7679" max="7679" width="9.1640625" customWidth="1"/>
    <col min="7680" max="7680" width="6" customWidth="1"/>
    <col min="7681" max="7681" width="16.33203125" customWidth="1"/>
    <col min="7682" max="7682" width="9.83203125" customWidth="1"/>
    <col min="7683" max="7683" width="8.83203125" customWidth="1"/>
    <col min="7684" max="7684" width="10.83203125" customWidth="1"/>
    <col min="7685" max="7685" width="14.1640625" customWidth="1"/>
    <col min="7686" max="7686" width="15.33203125" customWidth="1"/>
    <col min="7687" max="7687" width="16.5" customWidth="1"/>
    <col min="7688" max="7688" width="5" customWidth="1"/>
    <col min="7689" max="7931" width="9.1640625" customWidth="1"/>
    <col min="7932" max="7932" width="5" customWidth="1"/>
    <col min="7933" max="7933" width="10" customWidth="1"/>
    <col min="7934" max="7934" width="18.5" customWidth="1"/>
    <col min="7935" max="7935" width="9.1640625" customWidth="1"/>
    <col min="7936" max="7936" width="6" customWidth="1"/>
    <col min="7937" max="7937" width="16.33203125" customWidth="1"/>
    <col min="7938" max="7938" width="9.83203125" customWidth="1"/>
    <col min="7939" max="7939" width="8.83203125" customWidth="1"/>
    <col min="7940" max="7940" width="10.83203125" customWidth="1"/>
    <col min="7941" max="7941" width="14.1640625" customWidth="1"/>
    <col min="7942" max="7942" width="15.33203125" customWidth="1"/>
    <col min="7943" max="7943" width="16.5" customWidth="1"/>
    <col min="7944" max="7944" width="5" customWidth="1"/>
    <col min="7945" max="8187" width="9.1640625" customWidth="1"/>
    <col min="8188" max="8188" width="5" customWidth="1"/>
    <col min="8189" max="8189" width="10" customWidth="1"/>
    <col min="8190" max="8190" width="18.5" customWidth="1"/>
    <col min="8191" max="8191" width="9.1640625" customWidth="1"/>
    <col min="8192" max="8192" width="6" customWidth="1"/>
    <col min="8193" max="8193" width="16.33203125" customWidth="1"/>
    <col min="8194" max="8194" width="9.83203125" customWidth="1"/>
    <col min="8195" max="8195" width="8.83203125" customWidth="1"/>
    <col min="8196" max="8196" width="10.83203125" customWidth="1"/>
    <col min="8197" max="8197" width="14.1640625" customWidth="1"/>
    <col min="8198" max="8198" width="15.33203125" customWidth="1"/>
    <col min="8199" max="8199" width="16.5" customWidth="1"/>
    <col min="8200" max="8200" width="5" customWidth="1"/>
    <col min="8201" max="8443" width="9.1640625" customWidth="1"/>
    <col min="8444" max="8444" width="5" customWidth="1"/>
    <col min="8445" max="8445" width="10" customWidth="1"/>
    <col min="8446" max="8446" width="18.5" customWidth="1"/>
    <col min="8447" max="8447" width="9.1640625" customWidth="1"/>
    <col min="8448" max="8448" width="6" customWidth="1"/>
    <col min="8449" max="8449" width="16.33203125" customWidth="1"/>
    <col min="8450" max="8450" width="9.83203125" customWidth="1"/>
    <col min="8451" max="8451" width="8.83203125" customWidth="1"/>
    <col min="8452" max="8452" width="10.83203125" customWidth="1"/>
    <col min="8453" max="8453" width="14.1640625" customWidth="1"/>
    <col min="8454" max="8454" width="15.33203125" customWidth="1"/>
    <col min="8455" max="8455" width="16.5" customWidth="1"/>
    <col min="8456" max="8456" width="5" customWidth="1"/>
    <col min="8457" max="8699" width="9.1640625" customWidth="1"/>
    <col min="8700" max="8700" width="5" customWidth="1"/>
    <col min="8701" max="8701" width="10" customWidth="1"/>
    <col min="8702" max="8702" width="18.5" customWidth="1"/>
    <col min="8703" max="8703" width="9.1640625" customWidth="1"/>
    <col min="8704" max="8704" width="6" customWidth="1"/>
    <col min="8705" max="8705" width="16.33203125" customWidth="1"/>
    <col min="8706" max="8706" width="9.83203125" customWidth="1"/>
    <col min="8707" max="8707" width="8.83203125" customWidth="1"/>
    <col min="8708" max="8708" width="10.83203125" customWidth="1"/>
    <col min="8709" max="8709" width="14.1640625" customWidth="1"/>
    <col min="8710" max="8710" width="15.33203125" customWidth="1"/>
    <col min="8711" max="8711" width="16.5" customWidth="1"/>
    <col min="8712" max="8712" width="5" customWidth="1"/>
    <col min="8713" max="8955" width="9.1640625" customWidth="1"/>
    <col min="8956" max="8956" width="5" customWidth="1"/>
    <col min="8957" max="8957" width="10" customWidth="1"/>
    <col min="8958" max="8958" width="18.5" customWidth="1"/>
    <col min="8959" max="8959" width="9.1640625" customWidth="1"/>
    <col min="8960" max="8960" width="6" customWidth="1"/>
    <col min="8961" max="8961" width="16.33203125" customWidth="1"/>
    <col min="8962" max="8962" width="9.83203125" customWidth="1"/>
    <col min="8963" max="8963" width="8.83203125" customWidth="1"/>
    <col min="8964" max="8964" width="10.83203125" customWidth="1"/>
    <col min="8965" max="8965" width="14.1640625" customWidth="1"/>
    <col min="8966" max="8966" width="15.33203125" customWidth="1"/>
    <col min="8967" max="8967" width="16.5" customWidth="1"/>
    <col min="8968" max="8968" width="5" customWidth="1"/>
    <col min="8969" max="9211" width="9.1640625" customWidth="1"/>
    <col min="9212" max="9212" width="5" customWidth="1"/>
    <col min="9213" max="9213" width="10" customWidth="1"/>
    <col min="9214" max="9214" width="18.5" customWidth="1"/>
    <col min="9215" max="9215" width="9.1640625" customWidth="1"/>
    <col min="9216" max="9216" width="6" customWidth="1"/>
    <col min="9217" max="9217" width="16.33203125" customWidth="1"/>
    <col min="9218" max="9218" width="9.83203125" customWidth="1"/>
    <col min="9219" max="9219" width="8.83203125" customWidth="1"/>
    <col min="9220" max="9220" width="10.83203125" customWidth="1"/>
    <col min="9221" max="9221" width="14.1640625" customWidth="1"/>
    <col min="9222" max="9222" width="15.33203125" customWidth="1"/>
    <col min="9223" max="9223" width="16.5" customWidth="1"/>
    <col min="9224" max="9224" width="5" customWidth="1"/>
    <col min="9225" max="9467" width="9.1640625" customWidth="1"/>
    <col min="9468" max="9468" width="5" customWidth="1"/>
    <col min="9469" max="9469" width="10" customWidth="1"/>
    <col min="9470" max="9470" width="18.5" customWidth="1"/>
    <col min="9471" max="9471" width="9.1640625" customWidth="1"/>
    <col min="9472" max="9472" width="6" customWidth="1"/>
    <col min="9473" max="9473" width="16.33203125" customWidth="1"/>
    <col min="9474" max="9474" width="9.83203125" customWidth="1"/>
    <col min="9475" max="9475" width="8.83203125" customWidth="1"/>
    <col min="9476" max="9476" width="10.83203125" customWidth="1"/>
    <col min="9477" max="9477" width="14.1640625" customWidth="1"/>
    <col min="9478" max="9478" width="15.33203125" customWidth="1"/>
    <col min="9479" max="9479" width="16.5" customWidth="1"/>
    <col min="9480" max="9480" width="5" customWidth="1"/>
    <col min="9481" max="9723" width="9.1640625" customWidth="1"/>
    <col min="9724" max="9724" width="5" customWidth="1"/>
    <col min="9725" max="9725" width="10" customWidth="1"/>
    <col min="9726" max="9726" width="18.5" customWidth="1"/>
    <col min="9727" max="9727" width="9.1640625" customWidth="1"/>
    <col min="9728" max="9728" width="6" customWidth="1"/>
    <col min="9729" max="9729" width="16.33203125" customWidth="1"/>
    <col min="9730" max="9730" width="9.83203125" customWidth="1"/>
    <col min="9731" max="9731" width="8.83203125" customWidth="1"/>
    <col min="9732" max="9732" width="10.83203125" customWidth="1"/>
    <col min="9733" max="9733" width="14.1640625" customWidth="1"/>
    <col min="9734" max="9734" width="15.33203125" customWidth="1"/>
    <col min="9735" max="9735" width="16.5" customWidth="1"/>
    <col min="9736" max="9736" width="5" customWidth="1"/>
    <col min="9737" max="9979" width="9.1640625" customWidth="1"/>
    <col min="9980" max="9980" width="5" customWidth="1"/>
    <col min="9981" max="9981" width="10" customWidth="1"/>
    <col min="9982" max="9982" width="18.5" customWidth="1"/>
    <col min="9983" max="9983" width="9.1640625" customWidth="1"/>
    <col min="9984" max="9984" width="6" customWidth="1"/>
    <col min="9985" max="9985" width="16.33203125" customWidth="1"/>
    <col min="9986" max="9986" width="9.83203125" customWidth="1"/>
    <col min="9987" max="9987" width="8.83203125" customWidth="1"/>
    <col min="9988" max="9988" width="10.83203125" customWidth="1"/>
    <col min="9989" max="9989" width="14.1640625" customWidth="1"/>
    <col min="9990" max="9990" width="15.33203125" customWidth="1"/>
    <col min="9991" max="9991" width="16.5" customWidth="1"/>
    <col min="9992" max="9992" width="5" customWidth="1"/>
    <col min="9993" max="10235" width="9.1640625" customWidth="1"/>
    <col min="10236" max="10236" width="5" customWidth="1"/>
    <col min="10237" max="10237" width="10" customWidth="1"/>
    <col min="10238" max="10238" width="18.5" customWidth="1"/>
    <col min="10239" max="10239" width="9.1640625" customWidth="1"/>
    <col min="10240" max="10240" width="6" customWidth="1"/>
    <col min="10241" max="10241" width="16.33203125" customWidth="1"/>
    <col min="10242" max="10242" width="9.83203125" customWidth="1"/>
    <col min="10243" max="10243" width="8.83203125" customWidth="1"/>
    <col min="10244" max="10244" width="10.83203125" customWidth="1"/>
    <col min="10245" max="10245" width="14.1640625" customWidth="1"/>
    <col min="10246" max="10246" width="15.33203125" customWidth="1"/>
    <col min="10247" max="10247" width="16.5" customWidth="1"/>
    <col min="10248" max="10248" width="5" customWidth="1"/>
    <col min="10249" max="10491" width="9.1640625" customWidth="1"/>
    <col min="10492" max="10492" width="5" customWidth="1"/>
    <col min="10493" max="10493" width="10" customWidth="1"/>
    <col min="10494" max="10494" width="18.5" customWidth="1"/>
    <col min="10495" max="10495" width="9.1640625" customWidth="1"/>
    <col min="10496" max="10496" width="6" customWidth="1"/>
    <col min="10497" max="10497" width="16.33203125" customWidth="1"/>
    <col min="10498" max="10498" width="9.83203125" customWidth="1"/>
    <col min="10499" max="10499" width="8.83203125" customWidth="1"/>
    <col min="10500" max="10500" width="10.83203125" customWidth="1"/>
    <col min="10501" max="10501" width="14.1640625" customWidth="1"/>
    <col min="10502" max="10502" width="15.33203125" customWidth="1"/>
    <col min="10503" max="10503" width="16.5" customWidth="1"/>
    <col min="10504" max="10504" width="5" customWidth="1"/>
    <col min="10505" max="10747" width="9.1640625" customWidth="1"/>
    <col min="10748" max="10748" width="5" customWidth="1"/>
    <col min="10749" max="10749" width="10" customWidth="1"/>
    <col min="10750" max="10750" width="18.5" customWidth="1"/>
    <col min="10751" max="10751" width="9.1640625" customWidth="1"/>
    <col min="10752" max="10752" width="6" customWidth="1"/>
    <col min="10753" max="10753" width="16.33203125" customWidth="1"/>
    <col min="10754" max="10754" width="9.83203125" customWidth="1"/>
    <col min="10755" max="10755" width="8.83203125" customWidth="1"/>
    <col min="10756" max="10756" width="10.83203125" customWidth="1"/>
    <col min="10757" max="10757" width="14.1640625" customWidth="1"/>
    <col min="10758" max="10758" width="15.33203125" customWidth="1"/>
    <col min="10759" max="10759" width="16.5" customWidth="1"/>
    <col min="10760" max="10760" width="5" customWidth="1"/>
    <col min="10761" max="11003" width="9.1640625" customWidth="1"/>
    <col min="11004" max="11004" width="5" customWidth="1"/>
    <col min="11005" max="11005" width="10" customWidth="1"/>
    <col min="11006" max="11006" width="18.5" customWidth="1"/>
    <col min="11007" max="11007" width="9.1640625" customWidth="1"/>
    <col min="11008" max="11008" width="6" customWidth="1"/>
    <col min="11009" max="11009" width="16.33203125" customWidth="1"/>
    <col min="11010" max="11010" width="9.83203125" customWidth="1"/>
    <col min="11011" max="11011" width="8.83203125" customWidth="1"/>
    <col min="11012" max="11012" width="10.83203125" customWidth="1"/>
    <col min="11013" max="11013" width="14.1640625" customWidth="1"/>
    <col min="11014" max="11014" width="15.33203125" customWidth="1"/>
    <col min="11015" max="11015" width="16.5" customWidth="1"/>
    <col min="11016" max="11016" width="5" customWidth="1"/>
    <col min="11017" max="11259" width="9.1640625" customWidth="1"/>
    <col min="11260" max="11260" width="5" customWidth="1"/>
    <col min="11261" max="11261" width="10" customWidth="1"/>
    <col min="11262" max="11262" width="18.5" customWidth="1"/>
    <col min="11263" max="11263" width="9.1640625" customWidth="1"/>
    <col min="11264" max="11264" width="6" customWidth="1"/>
    <col min="11265" max="11265" width="16.33203125" customWidth="1"/>
    <col min="11266" max="11266" width="9.83203125" customWidth="1"/>
    <col min="11267" max="11267" width="8.83203125" customWidth="1"/>
    <col min="11268" max="11268" width="10.83203125" customWidth="1"/>
    <col min="11269" max="11269" width="14.1640625" customWidth="1"/>
    <col min="11270" max="11270" width="15.33203125" customWidth="1"/>
    <col min="11271" max="11271" width="16.5" customWidth="1"/>
    <col min="11272" max="11272" width="5" customWidth="1"/>
    <col min="11273" max="11515" width="9.1640625" customWidth="1"/>
    <col min="11516" max="11516" width="5" customWidth="1"/>
    <col min="11517" max="11517" width="10" customWidth="1"/>
    <col min="11518" max="11518" width="18.5" customWidth="1"/>
    <col min="11519" max="11519" width="9.1640625" customWidth="1"/>
    <col min="11520" max="11520" width="6" customWidth="1"/>
    <col min="11521" max="11521" width="16.33203125" customWidth="1"/>
    <col min="11522" max="11522" width="9.83203125" customWidth="1"/>
    <col min="11523" max="11523" width="8.83203125" customWidth="1"/>
    <col min="11524" max="11524" width="10.83203125" customWidth="1"/>
    <col min="11525" max="11525" width="14.1640625" customWidth="1"/>
    <col min="11526" max="11526" width="15.33203125" customWidth="1"/>
    <col min="11527" max="11527" width="16.5" customWidth="1"/>
    <col min="11528" max="11528" width="5" customWidth="1"/>
    <col min="11529" max="11771" width="9.1640625" customWidth="1"/>
    <col min="11772" max="11772" width="5" customWidth="1"/>
    <col min="11773" max="11773" width="10" customWidth="1"/>
    <col min="11774" max="11774" width="18.5" customWidth="1"/>
    <col min="11775" max="11775" width="9.1640625" customWidth="1"/>
    <col min="11776" max="11776" width="6" customWidth="1"/>
    <col min="11777" max="11777" width="16.33203125" customWidth="1"/>
    <col min="11778" max="11778" width="9.83203125" customWidth="1"/>
    <col min="11779" max="11779" width="8.83203125" customWidth="1"/>
    <col min="11780" max="11780" width="10.83203125" customWidth="1"/>
    <col min="11781" max="11781" width="14.1640625" customWidth="1"/>
    <col min="11782" max="11782" width="15.33203125" customWidth="1"/>
    <col min="11783" max="11783" width="16.5" customWidth="1"/>
    <col min="11784" max="11784" width="5" customWidth="1"/>
    <col min="11785" max="12027" width="9.1640625" customWidth="1"/>
    <col min="12028" max="12028" width="5" customWidth="1"/>
    <col min="12029" max="12029" width="10" customWidth="1"/>
    <col min="12030" max="12030" width="18.5" customWidth="1"/>
    <col min="12031" max="12031" width="9.1640625" customWidth="1"/>
    <col min="12032" max="12032" width="6" customWidth="1"/>
    <col min="12033" max="12033" width="16.33203125" customWidth="1"/>
    <col min="12034" max="12034" width="9.83203125" customWidth="1"/>
    <col min="12035" max="12035" width="8.83203125" customWidth="1"/>
    <col min="12036" max="12036" width="10.83203125" customWidth="1"/>
    <col min="12037" max="12037" width="14.1640625" customWidth="1"/>
    <col min="12038" max="12038" width="15.33203125" customWidth="1"/>
    <col min="12039" max="12039" width="16.5" customWidth="1"/>
    <col min="12040" max="12040" width="5" customWidth="1"/>
    <col min="12041" max="12283" width="9.1640625" customWidth="1"/>
    <col min="12284" max="12284" width="5" customWidth="1"/>
    <col min="12285" max="12285" width="10" customWidth="1"/>
    <col min="12286" max="12286" width="18.5" customWidth="1"/>
    <col min="12287" max="12287" width="9.1640625" customWidth="1"/>
    <col min="12288" max="12288" width="6" customWidth="1"/>
    <col min="12289" max="12289" width="16.33203125" customWidth="1"/>
    <col min="12290" max="12290" width="9.83203125" customWidth="1"/>
    <col min="12291" max="12291" width="8.83203125" customWidth="1"/>
    <col min="12292" max="12292" width="10.83203125" customWidth="1"/>
    <col min="12293" max="12293" width="14.1640625" customWidth="1"/>
    <col min="12294" max="12294" width="15.33203125" customWidth="1"/>
    <col min="12295" max="12295" width="16.5" customWidth="1"/>
    <col min="12296" max="12296" width="5" customWidth="1"/>
    <col min="12297" max="12539" width="9.1640625" customWidth="1"/>
    <col min="12540" max="12540" width="5" customWidth="1"/>
    <col min="12541" max="12541" width="10" customWidth="1"/>
    <col min="12542" max="12542" width="18.5" customWidth="1"/>
    <col min="12543" max="12543" width="9.1640625" customWidth="1"/>
    <col min="12544" max="12544" width="6" customWidth="1"/>
    <col min="12545" max="12545" width="16.33203125" customWidth="1"/>
    <col min="12546" max="12546" width="9.83203125" customWidth="1"/>
    <col min="12547" max="12547" width="8.83203125" customWidth="1"/>
    <col min="12548" max="12548" width="10.83203125" customWidth="1"/>
    <col min="12549" max="12549" width="14.1640625" customWidth="1"/>
    <col min="12550" max="12550" width="15.33203125" customWidth="1"/>
    <col min="12551" max="12551" width="16.5" customWidth="1"/>
    <col min="12552" max="12552" width="5" customWidth="1"/>
    <col min="12553" max="12795" width="9.1640625" customWidth="1"/>
    <col min="12796" max="12796" width="5" customWidth="1"/>
    <col min="12797" max="12797" width="10" customWidth="1"/>
    <col min="12798" max="12798" width="18.5" customWidth="1"/>
    <col min="12799" max="12799" width="9.1640625" customWidth="1"/>
    <col min="12800" max="12800" width="6" customWidth="1"/>
    <col min="12801" max="12801" width="16.33203125" customWidth="1"/>
    <col min="12802" max="12802" width="9.83203125" customWidth="1"/>
    <col min="12803" max="12803" width="8.83203125" customWidth="1"/>
    <col min="12804" max="12804" width="10.83203125" customWidth="1"/>
    <col min="12805" max="12805" width="14.1640625" customWidth="1"/>
    <col min="12806" max="12806" width="15.33203125" customWidth="1"/>
    <col min="12807" max="12807" width="16.5" customWidth="1"/>
    <col min="12808" max="12808" width="5" customWidth="1"/>
    <col min="12809" max="13051" width="9.1640625" customWidth="1"/>
    <col min="13052" max="13052" width="5" customWidth="1"/>
    <col min="13053" max="13053" width="10" customWidth="1"/>
    <col min="13054" max="13054" width="18.5" customWidth="1"/>
    <col min="13055" max="13055" width="9.1640625" customWidth="1"/>
    <col min="13056" max="13056" width="6" customWidth="1"/>
    <col min="13057" max="13057" width="16.33203125" customWidth="1"/>
    <col min="13058" max="13058" width="9.83203125" customWidth="1"/>
    <col min="13059" max="13059" width="8.83203125" customWidth="1"/>
    <col min="13060" max="13060" width="10.83203125" customWidth="1"/>
    <col min="13061" max="13061" width="14.1640625" customWidth="1"/>
    <col min="13062" max="13062" width="15.33203125" customWidth="1"/>
    <col min="13063" max="13063" width="16.5" customWidth="1"/>
    <col min="13064" max="13064" width="5" customWidth="1"/>
    <col min="13065" max="13307" width="9.1640625" customWidth="1"/>
    <col min="13308" max="13308" width="5" customWidth="1"/>
    <col min="13309" max="13309" width="10" customWidth="1"/>
    <col min="13310" max="13310" width="18.5" customWidth="1"/>
    <col min="13311" max="13311" width="9.1640625" customWidth="1"/>
    <col min="13312" max="13312" width="6" customWidth="1"/>
    <col min="13313" max="13313" width="16.33203125" customWidth="1"/>
    <col min="13314" max="13314" width="9.83203125" customWidth="1"/>
    <col min="13315" max="13315" width="8.83203125" customWidth="1"/>
    <col min="13316" max="13316" width="10.83203125" customWidth="1"/>
    <col min="13317" max="13317" width="14.1640625" customWidth="1"/>
    <col min="13318" max="13318" width="15.33203125" customWidth="1"/>
    <col min="13319" max="13319" width="16.5" customWidth="1"/>
    <col min="13320" max="13320" width="5" customWidth="1"/>
    <col min="13321" max="13563" width="9.1640625" customWidth="1"/>
    <col min="13564" max="13564" width="5" customWidth="1"/>
    <col min="13565" max="13565" width="10" customWidth="1"/>
    <col min="13566" max="13566" width="18.5" customWidth="1"/>
    <col min="13567" max="13567" width="9.1640625" customWidth="1"/>
    <col min="13568" max="13568" width="6" customWidth="1"/>
    <col min="13569" max="13569" width="16.33203125" customWidth="1"/>
    <col min="13570" max="13570" width="9.83203125" customWidth="1"/>
    <col min="13571" max="13571" width="8.83203125" customWidth="1"/>
    <col min="13572" max="13572" width="10.83203125" customWidth="1"/>
    <col min="13573" max="13573" width="14.1640625" customWidth="1"/>
    <col min="13574" max="13574" width="15.33203125" customWidth="1"/>
    <col min="13575" max="13575" width="16.5" customWidth="1"/>
    <col min="13576" max="13576" width="5" customWidth="1"/>
    <col min="13577" max="13819" width="9.1640625" customWidth="1"/>
    <col min="13820" max="13820" width="5" customWidth="1"/>
    <col min="13821" max="13821" width="10" customWidth="1"/>
    <col min="13822" max="13822" width="18.5" customWidth="1"/>
    <col min="13823" max="13823" width="9.1640625" customWidth="1"/>
    <col min="13824" max="13824" width="6" customWidth="1"/>
    <col min="13825" max="13825" width="16.33203125" customWidth="1"/>
    <col min="13826" max="13826" width="9.83203125" customWidth="1"/>
    <col min="13827" max="13827" width="8.83203125" customWidth="1"/>
    <col min="13828" max="13828" width="10.83203125" customWidth="1"/>
    <col min="13829" max="13829" width="14.1640625" customWidth="1"/>
    <col min="13830" max="13830" width="15.33203125" customWidth="1"/>
    <col min="13831" max="13831" width="16.5" customWidth="1"/>
    <col min="13832" max="13832" width="5" customWidth="1"/>
    <col min="13833" max="14075" width="9.1640625" customWidth="1"/>
    <col min="14076" max="14076" width="5" customWidth="1"/>
    <col min="14077" max="14077" width="10" customWidth="1"/>
    <col min="14078" max="14078" width="18.5" customWidth="1"/>
    <col min="14079" max="14079" width="9.1640625" customWidth="1"/>
    <col min="14080" max="14080" width="6" customWidth="1"/>
    <col min="14081" max="14081" width="16.33203125" customWidth="1"/>
    <col min="14082" max="14082" width="9.83203125" customWidth="1"/>
    <col min="14083" max="14083" width="8.83203125" customWidth="1"/>
    <col min="14084" max="14084" width="10.83203125" customWidth="1"/>
    <col min="14085" max="14085" width="14.1640625" customWidth="1"/>
    <col min="14086" max="14086" width="15.33203125" customWidth="1"/>
    <col min="14087" max="14087" width="16.5" customWidth="1"/>
    <col min="14088" max="14088" width="5" customWidth="1"/>
    <col min="14089" max="14331" width="9.1640625" customWidth="1"/>
    <col min="14332" max="14332" width="5" customWidth="1"/>
    <col min="14333" max="14333" width="10" customWidth="1"/>
    <col min="14334" max="14334" width="18.5" customWidth="1"/>
    <col min="14335" max="14335" width="9.1640625" customWidth="1"/>
    <col min="14336" max="14336" width="6" customWidth="1"/>
    <col min="14337" max="14337" width="16.33203125" customWidth="1"/>
    <col min="14338" max="14338" width="9.83203125" customWidth="1"/>
    <col min="14339" max="14339" width="8.83203125" customWidth="1"/>
    <col min="14340" max="14340" width="10.83203125" customWidth="1"/>
    <col min="14341" max="14341" width="14.1640625" customWidth="1"/>
    <col min="14342" max="14342" width="15.33203125" customWidth="1"/>
    <col min="14343" max="14343" width="16.5" customWidth="1"/>
    <col min="14344" max="14344" width="5" customWidth="1"/>
    <col min="14345" max="14587" width="9.1640625" customWidth="1"/>
    <col min="14588" max="14588" width="5" customWidth="1"/>
    <col min="14589" max="14589" width="10" customWidth="1"/>
    <col min="14590" max="14590" width="18.5" customWidth="1"/>
    <col min="14591" max="14591" width="9.1640625" customWidth="1"/>
    <col min="14592" max="14592" width="6" customWidth="1"/>
    <col min="14593" max="14593" width="16.33203125" customWidth="1"/>
    <col min="14594" max="14594" width="9.83203125" customWidth="1"/>
    <col min="14595" max="14595" width="8.83203125" customWidth="1"/>
    <col min="14596" max="14596" width="10.83203125" customWidth="1"/>
    <col min="14597" max="14597" width="14.1640625" customWidth="1"/>
    <col min="14598" max="14598" width="15.33203125" customWidth="1"/>
    <col min="14599" max="14599" width="16.5" customWidth="1"/>
    <col min="14600" max="14600" width="5" customWidth="1"/>
    <col min="14601" max="14843" width="9.1640625" customWidth="1"/>
    <col min="14844" max="14844" width="5" customWidth="1"/>
    <col min="14845" max="14845" width="10" customWidth="1"/>
    <col min="14846" max="14846" width="18.5" customWidth="1"/>
    <col min="14847" max="14847" width="9.1640625" customWidth="1"/>
    <col min="14848" max="14848" width="6" customWidth="1"/>
    <col min="14849" max="14849" width="16.33203125" customWidth="1"/>
    <col min="14850" max="14850" width="9.83203125" customWidth="1"/>
    <col min="14851" max="14851" width="8.83203125" customWidth="1"/>
    <col min="14852" max="14852" width="10.83203125" customWidth="1"/>
    <col min="14853" max="14853" width="14.1640625" customWidth="1"/>
    <col min="14854" max="14854" width="15.33203125" customWidth="1"/>
    <col min="14855" max="14855" width="16.5" customWidth="1"/>
    <col min="14856" max="14856" width="5" customWidth="1"/>
    <col min="14857" max="15099" width="9.1640625" customWidth="1"/>
    <col min="15100" max="15100" width="5" customWidth="1"/>
    <col min="15101" max="15101" width="10" customWidth="1"/>
    <col min="15102" max="15102" width="18.5" customWidth="1"/>
    <col min="15103" max="15103" width="9.1640625" customWidth="1"/>
    <col min="15104" max="15104" width="6" customWidth="1"/>
    <col min="15105" max="15105" width="16.33203125" customWidth="1"/>
    <col min="15106" max="15106" width="9.83203125" customWidth="1"/>
    <col min="15107" max="15107" width="8.83203125" customWidth="1"/>
    <col min="15108" max="15108" width="10.83203125" customWidth="1"/>
    <col min="15109" max="15109" width="14.1640625" customWidth="1"/>
    <col min="15110" max="15110" width="15.33203125" customWidth="1"/>
    <col min="15111" max="15111" width="16.5" customWidth="1"/>
    <col min="15112" max="15112" width="5" customWidth="1"/>
    <col min="15113" max="15355" width="9.1640625" customWidth="1"/>
    <col min="15356" max="15356" width="5" customWidth="1"/>
    <col min="15357" max="15357" width="10" customWidth="1"/>
    <col min="15358" max="15358" width="18.5" customWidth="1"/>
    <col min="15359" max="15359" width="9.1640625" customWidth="1"/>
    <col min="15360" max="15360" width="6" customWidth="1"/>
    <col min="15361" max="15361" width="16.33203125" customWidth="1"/>
    <col min="15362" max="15362" width="9.83203125" customWidth="1"/>
    <col min="15363" max="15363" width="8.83203125" customWidth="1"/>
    <col min="15364" max="15364" width="10.83203125" customWidth="1"/>
    <col min="15365" max="15365" width="14.1640625" customWidth="1"/>
    <col min="15366" max="15366" width="15.33203125" customWidth="1"/>
    <col min="15367" max="15367" width="16.5" customWidth="1"/>
    <col min="15368" max="15368" width="5" customWidth="1"/>
    <col min="15369" max="15611" width="9.1640625" customWidth="1"/>
    <col min="15612" max="15612" width="5" customWidth="1"/>
    <col min="15613" max="15613" width="10" customWidth="1"/>
    <col min="15614" max="15614" width="18.5" customWidth="1"/>
    <col min="15615" max="15615" width="9.1640625" customWidth="1"/>
    <col min="15616" max="15616" width="6" customWidth="1"/>
    <col min="15617" max="15617" width="16.33203125" customWidth="1"/>
    <col min="15618" max="15618" width="9.83203125" customWidth="1"/>
    <col min="15619" max="15619" width="8.83203125" customWidth="1"/>
    <col min="15620" max="15620" width="10.83203125" customWidth="1"/>
    <col min="15621" max="15621" width="14.1640625" customWidth="1"/>
    <col min="15622" max="15622" width="15.33203125" customWidth="1"/>
    <col min="15623" max="15623" width="16.5" customWidth="1"/>
    <col min="15624" max="15624" width="5" customWidth="1"/>
    <col min="15625" max="15867" width="9.1640625" customWidth="1"/>
    <col min="15868" max="15868" width="5" customWidth="1"/>
    <col min="15869" max="15869" width="10" customWidth="1"/>
    <col min="15870" max="15870" width="18.5" customWidth="1"/>
    <col min="15871" max="15871" width="9.1640625" customWidth="1"/>
    <col min="15872" max="15872" width="6" customWidth="1"/>
    <col min="15873" max="15873" width="16.33203125" customWidth="1"/>
    <col min="15874" max="15874" width="9.83203125" customWidth="1"/>
    <col min="15875" max="15875" width="8.83203125" customWidth="1"/>
    <col min="15876" max="15876" width="10.83203125" customWidth="1"/>
    <col min="15877" max="15877" width="14.1640625" customWidth="1"/>
    <col min="15878" max="15878" width="15.33203125" customWidth="1"/>
    <col min="15879" max="15879" width="16.5" customWidth="1"/>
    <col min="15880" max="15880" width="5" customWidth="1"/>
    <col min="15881" max="16123" width="9.1640625" customWidth="1"/>
    <col min="16124" max="16124" width="5" customWidth="1"/>
    <col min="16125" max="16125" width="10" customWidth="1"/>
    <col min="16126" max="16126" width="18.5" customWidth="1"/>
    <col min="16127" max="16127" width="9.1640625" customWidth="1"/>
    <col min="16128" max="16128" width="6" customWidth="1"/>
    <col min="16129" max="16129" width="16.33203125" customWidth="1"/>
    <col min="16130" max="16130" width="9.83203125" customWidth="1"/>
    <col min="16131" max="16131" width="8.83203125" customWidth="1"/>
    <col min="16132" max="16132" width="10.83203125" customWidth="1"/>
    <col min="16133" max="16133" width="14.1640625" customWidth="1"/>
    <col min="16134" max="16134" width="15.33203125" customWidth="1"/>
    <col min="16135" max="16135" width="16.5" customWidth="1"/>
    <col min="16136" max="16136" width="5" customWidth="1"/>
    <col min="16137" max="16137" width="10.83203125" style="2" customWidth="1" collapsed="1"/>
    <col min="16138" max="16138" width="10.83203125" style="2" customWidth="1"/>
    <col min="16139" max="16141" width="10.83203125" style="2" customWidth="1" collapsed="1"/>
    <col min="16142" max="16142" width="10.83203125" style="2" customWidth="1"/>
    <col min="16143" max="16143" width="10.83203125" style="2" customWidth="1" collapsed="1"/>
    <col min="16144" max="16145" width="10.83203125" style="2" customWidth="1"/>
    <col min="16146" max="16146" width="10.83203125" style="2" customWidth="1" collapsed="1"/>
    <col min="16147" max="16147" width="0" style="2" hidden="1"/>
    <col min="16148" max="16148" width="10.83203125" style="2" customWidth="1"/>
    <col min="16149" max="16384" width="0" style="2" hidden="1"/>
  </cols>
  <sheetData>
    <row r="1" spans="1:18" ht="12.75" customHeight="1">
      <c r="A1" s="1"/>
      <c r="B1" s="372" t="s">
        <v>0</v>
      </c>
      <c r="C1" s="372"/>
      <c r="D1" s="372"/>
      <c r="E1" s="372"/>
      <c r="F1" s="372"/>
      <c r="G1" s="372"/>
      <c r="H1" s="3"/>
      <c r="I1" s="4"/>
      <c r="J1" s="1"/>
      <c r="K1" s="5" t="s">
        <v>1</v>
      </c>
      <c r="M1" s="340" t="s">
        <v>1745</v>
      </c>
      <c r="N1" s="48"/>
      <c r="O1" s="48"/>
      <c r="P1" s="48"/>
      <c r="Q1" s="48"/>
      <c r="R1" s="48"/>
    </row>
    <row r="2" spans="1:18">
      <c r="A2" s="1"/>
      <c r="B2" s="372"/>
      <c r="C2" s="372"/>
      <c r="D2" s="372"/>
      <c r="E2" s="372"/>
      <c r="F2" s="372"/>
      <c r="G2" s="372"/>
      <c r="H2" s="3"/>
      <c r="I2" s="4"/>
      <c r="J2" s="7"/>
      <c r="K2" s="6"/>
      <c r="M2" s="48"/>
      <c r="N2" s="48"/>
      <c r="O2" s="48"/>
      <c r="P2" s="48"/>
      <c r="Q2" s="48"/>
      <c r="R2" s="48"/>
    </row>
    <row r="3" spans="1:18">
      <c r="A3" s="1"/>
      <c r="B3" s="372"/>
      <c r="C3" s="372"/>
      <c r="D3" s="372"/>
      <c r="E3" s="372"/>
      <c r="F3" s="372"/>
      <c r="G3" s="372"/>
      <c r="H3" s="3"/>
      <c r="I3" s="1"/>
      <c r="J3" s="1"/>
      <c r="K3" s="7"/>
      <c r="M3" s="334"/>
      <c r="N3" s="48"/>
      <c r="O3" s="48"/>
      <c r="P3" s="48"/>
      <c r="Q3" s="48"/>
      <c r="R3" s="48"/>
    </row>
    <row r="4" spans="1:18" ht="24.75" customHeight="1">
      <c r="A4" s="1"/>
      <c r="B4" s="372"/>
      <c r="C4" s="372"/>
      <c r="D4" s="372"/>
      <c r="E4" s="372"/>
      <c r="F4" s="372"/>
      <c r="G4" s="372"/>
      <c r="H4" s="3"/>
      <c r="I4" s="1"/>
      <c r="J4" s="1"/>
      <c r="K4" s="1"/>
      <c r="M4" s="48"/>
      <c r="N4" s="48"/>
      <c r="O4" s="48"/>
      <c r="P4" s="48"/>
      <c r="Q4" s="48"/>
      <c r="R4" s="48"/>
    </row>
    <row r="5" spans="1:18" ht="18" customHeight="1" thickBot="1">
      <c r="A5" s="1"/>
      <c r="B5" s="372"/>
      <c r="C5" s="372"/>
      <c r="D5" s="372"/>
      <c r="E5" s="372"/>
      <c r="F5" s="372"/>
      <c r="G5" s="372"/>
      <c r="H5" s="1"/>
      <c r="I5" s="1"/>
      <c r="J5" s="8"/>
      <c r="K5" s="1"/>
      <c r="M5" s="48"/>
      <c r="N5" s="48"/>
      <c r="O5" s="48"/>
      <c r="P5" s="48"/>
      <c r="Q5" s="48"/>
      <c r="R5" s="48"/>
    </row>
    <row r="6" spans="1:18" ht="12.75" customHeight="1" thickTop="1">
      <c r="A6" s="1"/>
      <c r="B6" s="9"/>
      <c r="C6" s="9"/>
      <c r="D6" s="9"/>
      <c r="E6" s="9"/>
      <c r="F6" s="10"/>
      <c r="G6" s="10"/>
      <c r="H6" s="10"/>
      <c r="I6" s="10"/>
      <c r="J6" s="10"/>
      <c r="K6" s="10"/>
      <c r="M6" s="48"/>
      <c r="N6" s="48"/>
      <c r="O6" s="48"/>
      <c r="P6" s="48"/>
      <c r="Q6" s="48"/>
      <c r="R6" s="48"/>
    </row>
    <row r="7" spans="1:18" ht="13" customHeight="1">
      <c r="A7" s="1"/>
      <c r="B7" s="1"/>
      <c r="C7" s="1"/>
      <c r="D7" s="1"/>
      <c r="E7" s="1"/>
      <c r="F7" s="1"/>
      <c r="G7" s="373" t="s">
        <v>2834</v>
      </c>
      <c r="H7" s="374"/>
      <c r="I7" s="1"/>
      <c r="J7" s="1"/>
      <c r="K7" s="1"/>
      <c r="M7" s="48"/>
      <c r="N7" s="48"/>
      <c r="O7" s="48"/>
      <c r="P7" s="48"/>
      <c r="Q7" s="48"/>
      <c r="R7" s="48"/>
    </row>
    <row r="8" spans="1:18" ht="13.5" customHeight="1" thickBot="1">
      <c r="A8" s="1"/>
      <c r="B8" s="1"/>
      <c r="C8" s="1"/>
      <c r="D8" s="4"/>
      <c r="E8" s="1"/>
      <c r="F8" s="1"/>
      <c r="G8" s="375"/>
      <c r="H8" s="375"/>
      <c r="I8" s="1"/>
      <c r="J8" s="1"/>
      <c r="K8" s="1"/>
      <c r="M8" s="335"/>
      <c r="N8" s="48"/>
      <c r="O8" s="48"/>
      <c r="P8" s="48"/>
      <c r="Q8" s="48"/>
      <c r="R8" s="48"/>
    </row>
    <row r="9" spans="1:18" ht="13.5" customHeight="1" thickBot="1">
      <c r="A9" s="1"/>
      <c r="B9" s="11" t="s">
        <v>2</v>
      </c>
      <c r="C9" s="12"/>
      <c r="D9" s="300"/>
      <c r="E9" s="300"/>
      <c r="F9" s="300"/>
      <c r="G9" s="300"/>
      <c r="H9" s="301"/>
      <c r="I9" s="13"/>
      <c r="J9" s="11" t="s">
        <v>3</v>
      </c>
      <c r="K9" s="14"/>
      <c r="M9" s="335"/>
      <c r="N9" s="48"/>
      <c r="O9" s="48"/>
      <c r="P9" s="48"/>
      <c r="Q9" s="48"/>
      <c r="R9" s="48"/>
    </row>
    <row r="10" spans="1:18" ht="13" customHeight="1">
      <c r="A10" s="1"/>
      <c r="B10" s="13"/>
      <c r="C10" s="13"/>
      <c r="D10" s="13"/>
      <c r="E10" s="13"/>
      <c r="F10" s="13"/>
      <c r="G10" s="13"/>
      <c r="H10" s="15"/>
      <c r="I10" s="13"/>
      <c r="J10" s="13"/>
      <c r="K10" s="15"/>
      <c r="M10" s="48"/>
      <c r="N10" s="48"/>
      <c r="O10" s="48"/>
      <c r="P10" s="48"/>
      <c r="Q10" s="48"/>
      <c r="R10" s="48"/>
    </row>
    <row r="11" spans="1:18">
      <c r="A11" s="1"/>
      <c r="B11" s="13" t="s">
        <v>4</v>
      </c>
      <c r="C11" s="46" t="s">
        <v>847</v>
      </c>
      <c r="D11" s="302"/>
      <c r="E11" s="302"/>
      <c r="F11" s="302"/>
      <c r="G11" s="302"/>
      <c r="H11" s="15"/>
      <c r="I11" s="13"/>
      <c r="J11" s="13" t="s">
        <v>5</v>
      </c>
      <c r="K11" s="40">
        <f ca="1">NOW()</f>
        <v>45621.554740856482</v>
      </c>
      <c r="M11" s="336"/>
      <c r="N11" s="48"/>
      <c r="O11" s="48"/>
      <c r="P11" s="48"/>
      <c r="Q11" s="337"/>
      <c r="R11" s="48"/>
    </row>
    <row r="12" spans="1:18">
      <c r="A12" s="1"/>
      <c r="B12" s="13" t="s">
        <v>6</v>
      </c>
      <c r="C12" s="45" t="str">
        <f>IFERROR(VLOOKUP(C11,'Client List'!B:E,2,0),"")</f>
        <v>Mankoadze - Winneba</v>
      </c>
      <c r="D12" s="303"/>
      <c r="E12" s="303"/>
      <c r="F12" s="303"/>
      <c r="G12" s="303"/>
      <c r="H12" s="15"/>
      <c r="I12" s="13"/>
      <c r="J12" s="13" t="s">
        <v>7</v>
      </c>
      <c r="K12" s="16" t="str">
        <f ca="1">IFERROR("TSL-" &amp; LEFT(C11,1) &amp; IF(ISNUMBER(FIND(" ",C11)), MID(C11,FIND(" ",C11)+1,1), "") &amp; IF(ISNUMBER(FIND(" ",C11,FIND(" ",C11)+1)), MID(C11,FIND(" ",C11,FIND(" ",C11)+1)+1,1), "") &amp; "-" &amp; TEXT(TODAY(),"ddmmyy"), "")</f>
        <v>TSL-TR-251124</v>
      </c>
      <c r="M12" s="335"/>
      <c r="N12" s="48"/>
      <c r="O12" s="48"/>
      <c r="P12" s="48"/>
      <c r="Q12" s="337"/>
      <c r="R12" s="48"/>
    </row>
    <row r="13" spans="1:18">
      <c r="A13" s="1"/>
      <c r="B13" s="13" t="s">
        <v>8</v>
      </c>
      <c r="C13" s="45" t="str">
        <f>IFERROR(VLOOKUP(C11,'Client List'!B:E,3,0),"")</f>
        <v>Central Region</v>
      </c>
      <c r="D13" s="303"/>
      <c r="E13" s="303"/>
      <c r="F13" s="303"/>
      <c r="G13" s="303"/>
      <c r="H13" s="15"/>
      <c r="I13" s="13"/>
      <c r="J13" s="13" t="s">
        <v>9</v>
      </c>
      <c r="K13" s="16"/>
      <c r="M13" s="338"/>
      <c r="N13" s="48"/>
      <c r="O13" s="48"/>
      <c r="P13" s="48"/>
      <c r="Q13" s="341">
        <f>DATE(2025,6,1)</f>
        <v>45809</v>
      </c>
      <c r="R13" s="48"/>
    </row>
    <row r="14" spans="1:18">
      <c r="A14" s="1"/>
      <c r="B14" s="13" t="s">
        <v>1729</v>
      </c>
      <c r="C14" s="46" t="str">
        <f>IFERROR(IF(AND(VLOOKUP(C11,'Client List'!B:E,4,0)=0,VLOOKUP(C11,'Client List'!B:H,7,0)=0),"",VLOOKUP(C11,'Client List'!B:E,4,0)&amp;"  "&amp;VLOOKUP(C11,'Client List'!B:H,7,0)),"")</f>
        <v xml:space="preserve">0545245745  </v>
      </c>
      <c r="D14" s="304"/>
      <c r="E14" s="304"/>
      <c r="F14" s="304"/>
      <c r="G14" s="304"/>
      <c r="H14" s="15"/>
      <c r="I14" s="13"/>
      <c r="J14" s="13" t="s">
        <v>10</v>
      </c>
      <c r="K14" s="16" t="s">
        <v>18</v>
      </c>
      <c r="M14" s="339"/>
      <c r="N14" s="48"/>
      <c r="O14" s="338"/>
      <c r="P14" s="48"/>
      <c r="Q14" s="48"/>
      <c r="R14" s="48"/>
    </row>
    <row r="15" spans="1:18">
      <c r="A15" s="1"/>
      <c r="B15" s="13" t="str">
        <f>IF(C15&lt;&gt;"","Attention","")</f>
        <v/>
      </c>
      <c r="C15" s="17" t="str">
        <f>IFERROR(IF(VLOOKUP(C11,'Client List'!B:G,6,0)=0,"",VLOOKUP(C11,'Client List'!B:G,6,0)),"")</f>
        <v/>
      </c>
      <c r="D15" s="17"/>
      <c r="E15" s="17"/>
      <c r="F15" s="17"/>
      <c r="G15" s="17"/>
      <c r="H15" s="13"/>
      <c r="I15" s="13"/>
      <c r="J15" s="13"/>
      <c r="K15" s="13"/>
      <c r="M15" s="48"/>
      <c r="N15" s="48"/>
      <c r="O15" s="48"/>
      <c r="P15" s="48"/>
      <c r="Q15" s="48"/>
      <c r="R15" s="48"/>
    </row>
    <row r="16" spans="1:18">
      <c r="A16" s="1"/>
      <c r="B16" s="18" t="s">
        <v>11</v>
      </c>
      <c r="C16" s="369" t="s">
        <v>12</v>
      </c>
      <c r="D16" s="370"/>
      <c r="E16" s="370"/>
      <c r="F16" s="370"/>
      <c r="G16" s="370"/>
      <c r="H16" s="370"/>
      <c r="I16" s="371"/>
      <c r="J16" s="18" t="s">
        <v>13</v>
      </c>
      <c r="K16" s="19" t="s">
        <v>14</v>
      </c>
      <c r="M16" s="339"/>
      <c r="N16" s="48"/>
      <c r="O16" s="48"/>
      <c r="P16" s="48"/>
      <c r="Q16" s="48"/>
      <c r="R16" s="48"/>
    </row>
    <row r="17" spans="1:115 16131:16136" s="75" customFormat="1" ht="15" customHeight="1">
      <c r="B17" s="78"/>
      <c r="C17" s="358" t="str">
        <f>IF(OR('Customer Base'!D$7="Hybrid",'Customer Base'!D$7="Mini-grid"),'Customer Base'!D$7&amp;" Solar System with "&amp;'Customer Base'!$J$7&amp;"kVA inverter, ",IF('Customer Base'!D$7="Grid-Tied","Grid-Tied Solar System with "&amp;'Customer Base'!$J$7&amp;"kVA inverter, ",IF('Customer Base'!D$7="Mini-Grid","Mini-Grid Solar System with ",IF('Customer Base'!D$7="Backup","Backup System with "&amp;'Customer Base'!$J$7&amp;"kVA inverter, ",""))))&amp;IF(OR('Customer Base'!D$7="Hybrid",'Customer Base'!D$7="Mini-grid"),'Customer Base'!$J$8&amp;"kWh Battery, ","")&amp;IF('Customer Base'!D$7="Backup","and "&amp;'Customer Base'!$J$8&amp;"kWh Battery","")&amp;IF(AND(OR('Customer Base'!D19="Lithium",'Customer Base'!D34="Yes"),OR('Customer Base'!D$7="Hybrid",'Customer Base'!D$7="Mini-grid",'Customer Base'!D$7="Grid-Tied")),'Customer Base'!$J$9&amp;"kWp Solar Panels and Remote Monitoring","")&amp;IF(AND('Customer Base'!D19&lt;&gt;"Lithium",'Customer Base'!D34="No",OR('Customer Base'!D$7="Hybrid",'Customer Base'!D$7="Mini-grid",'Customer Base'!D$7="Grid-Tied")),"and "&amp;'Customer Base'!$J$9&amp;"kWp Solar Panels","")</f>
        <v>Hybrid Solar System with 5kVA inverter, 10kWh Battery, 5.085kWp Solar Panels and Remote Monitoring</v>
      </c>
      <c r="D17" s="357"/>
      <c r="E17" s="357"/>
      <c r="F17" s="357"/>
      <c r="G17" s="357"/>
      <c r="H17" s="357"/>
      <c r="I17" s="357"/>
      <c r="J17" s="356"/>
      <c r="K17" s="278">
        <f>J17*B17</f>
        <v>0</v>
      </c>
      <c r="M17" s="48"/>
      <c r="N17" s="48"/>
      <c r="O17" s="48"/>
      <c r="P17" s="48"/>
      <c r="Q17" s="48"/>
      <c r="R17" s="48"/>
    </row>
    <row r="18" spans="1:115 16131:16136" ht="15.75" customHeight="1">
      <c r="A18" s="1"/>
      <c r="B18" s="294">
        <f t="array" ref="B18">IF('Customer Base'!$I$15="MANUAL",IFERROR(INDEX(Items!B$6:B$679,SMALL(IF(Items!B$6:B$679&lt;&gt;"",ROW(Items!B$6:B$679)-MIN(ROW(Items!B$6:B$679))+1),Items!N6)),""),IF('Customer Base'!$I$15="AUTOMATE",IFERROR(INDEX(Items!A$6:A$679,SMALL(IF(Items!A$6:A$679&lt;&gt;"",ROW(Items!A$6:A$679)-MIN(ROW(Items!A$6:A$679))+1),Items!N6)),""),""))</f>
        <v>1</v>
      </c>
      <c r="C18" s="279" t="str">
        <f t="array" ref="C18">IFERROR(INDEX(Items!O:O,SMALL(IF(Items!$O$6:$O$676&lt;&gt;"",ROW(Items!$O$6:$O$676)),Items!N6)),"gdhgf")</f>
        <v>Victron MultiPlus-II 48/5000/70-50 230V</v>
      </c>
      <c r="D18" s="280"/>
      <c r="E18" s="280"/>
      <c r="F18" s="281"/>
      <c r="G18" s="281"/>
      <c r="H18" s="281"/>
      <c r="I18" s="281"/>
      <c r="J18" s="285">
        <f>IF('Customer Base'!I$12="DISPLAY TAX",IF('Customer Base'!$I$17="Retail",IF($K$14="USD",IF(ISNA(VLOOKUP(C18,Items!C$6:F$598,4,0)),"",(VLOOKUP(C18,Items!C$6:F$598,4,0))),IF($K$14="GH₵",IF(ISNA(VLOOKUP(C18,Items!C$6:G$598,5,0)),"",(VLOOKUP(C18,Items!C$6:G$598,5,0))),"")),IF('Customer Base'!$I$17="Super Dealer",IF($K$14="USD",IF(ISNA(VLOOKUP(C18,Items!C$6:I$598,6,0)),"",(VLOOKUP(C18,Items!C$6:I$598,6,0))),IF($K$14="GH₵",IF(ISNA(VLOOKUP(C18,Items!C$6:I$598,7,0)),"",(VLOOKUP(C18,Items!C$6:I$598,7,0))),"")),"")),IF('Customer Base'!I$12="DO NOT DISPLAY TAX",IF('Customer Base'!$I$17="Retail",IF($K$14="USD",IF(ISNA(VLOOKUP(C18,Items!C$6:F$598,2,0)),"",(VLOOKUP(C18,Items!C$6:F$598,2,0))),IF($K$14="GH₵",IF(ISNA(VLOOKUP(C18,Items!C$6:G$598,2,0)),"",'Customer Base'!J$5*(VLOOKUP(C18,Items!C$6:G$598,2,0))),"")),IF('Customer Base'!$I$17="Super Dealer",IF($K$14="USD",IF(ISNA(VLOOKUP(C18,Items!C$6:I$598,3,0)),"",(VLOOKUP(C18,Items!C$6:I$598,3,0))),IF($K$14="GH₵",IF(ISNA(VLOOKUP(C18,Items!C$6:I$598,3,0)),"",'Customer Base'!J$5*(VLOOKUP(C18,Items!C$6:I$598,3,0))),"")),"")),""))</f>
        <v>15653.076999999999</v>
      </c>
      <c r="K18" s="282">
        <f t="shared" ref="K18:K56" si="0">IFERROR(SUM(B18*J18),"")</f>
        <v>15653.076999999999</v>
      </c>
      <c r="L18" s="49"/>
      <c r="M18" s="48"/>
      <c r="N18" s="48"/>
      <c r="O18" s="48"/>
      <c r="P18" s="48"/>
      <c r="Q18" s="48"/>
      <c r="R18" s="48"/>
    </row>
    <row r="19" spans="1:115 16131:16136" ht="15.75" customHeight="1">
      <c r="A19" s="1"/>
      <c r="B19" s="294">
        <f t="array" ref="B19">IF('Customer Base'!$I$15="MANUAL",IFERROR(INDEX(Items!B$6:B$679,SMALL(IF(Items!B$6:B$679&lt;&gt;"",ROW(Items!B$6:B$679)-MIN(ROW(Items!B$6:B$679))+1),Items!N7)),""),IF('Customer Base'!$I$15="AUTOMATE",IFERROR(INDEX(Items!A$6:A$679,SMALL(IF(Items!A$6:A$679&lt;&gt;"",ROW(Items!A$6:A$679)-MIN(ROW(Items!A$6:A$679))+1),Items!N7)),""),""))</f>
        <v>2</v>
      </c>
      <c r="C19" s="279" t="str">
        <f t="array" ref="C19">IFERROR(INDEX(Items!O:O,SMALL(IF(Items!$O$6:$O$676&lt;&gt;"",ROW(Items!$O$6:$O$676)),Items!N7)),"")</f>
        <v>BYD LV 5.0KWH Lithium Battery</v>
      </c>
      <c r="D19" s="280"/>
      <c r="E19" s="280"/>
      <c r="F19" s="281"/>
      <c r="G19" s="281"/>
      <c r="H19" s="281"/>
      <c r="I19" s="281"/>
      <c r="J19" s="285">
        <f>IF('Customer Base'!I$12="DISPLAY TAX",IF('Customer Base'!$I$17="Retail",IF($K$14="USD",IF(ISNA(VLOOKUP(C19,Items!C$6:F$598,4,0)),"",(VLOOKUP(C19,Items!C$6:F$598,4,0))),IF($K$14="GH₵",IF(ISNA(VLOOKUP(C19,Items!C$6:G$598,5,0)),"",(VLOOKUP(C19,Items!C$6:G$598,5,0))),"")),IF('Customer Base'!$I$17="Super Dealer",IF($K$14="USD",IF(ISNA(VLOOKUP(C19,Items!C$6:I$598,6,0)),"",(VLOOKUP(C19,Items!C$6:I$598,6,0))),IF($K$14="GH₵",IF(ISNA(VLOOKUP(C19,Items!C$6:I$598,7,0)),"",(VLOOKUP(C19,Items!C$6:I$598,7,0))),"")),"")),IF('Customer Base'!I$12="DO NOT DISPLAY TAX",IF('Customer Base'!$I$17="Retail",IF($K$14="USD",IF(ISNA(VLOOKUP(C19,Items!C$6:F$598,2,0)),"",(VLOOKUP(C19,Items!C$6:F$598,2,0))),IF($K$14="GH₵",IF(ISNA(VLOOKUP(C19,Items!C$6:G$598,2,0)),"",'Customer Base'!J$5*(VLOOKUP(C19,Items!C$6:G$598,2,0))),"")),IF('Customer Base'!$I$17="Super Dealer",IF($K$14="USD",IF(ISNA(VLOOKUP(C19,Items!C$6:I$598,3,0)),"",(VLOOKUP(C19,Items!C$6:I$598,3,0))),IF($K$14="GH₵",IF(ISNA(VLOOKUP(C19,Items!C$6:I$598,3,0)),"",'Customer Base'!J$5*(VLOOKUP(C19,Items!C$6:I$598,3,0))),"")),"")),""))</f>
        <v>18996.25</v>
      </c>
      <c r="K19" s="282">
        <f t="shared" si="0"/>
        <v>37992.5</v>
      </c>
      <c r="L19" s="49"/>
      <c r="M19" s="48"/>
      <c r="N19" s="48"/>
      <c r="O19" s="48"/>
      <c r="P19" s="48"/>
      <c r="Q19" s="48"/>
      <c r="R19" s="48"/>
    </row>
    <row r="20" spans="1:115 16131:16136" ht="15.75" customHeight="1">
      <c r="A20" s="1"/>
      <c r="B20" s="294">
        <f t="array" ref="B20">IF('Customer Base'!$I$15="MANUAL",IFERROR(INDEX(Items!B$6:B$679,SMALL(IF(Items!B$6:B$679&lt;&gt;"",ROW(Items!B$6:B$679)-MIN(ROW(Items!B$6:B$679))+1),Items!N8)),""),IF('Customer Base'!$I$15="AUTOMATE",IFERROR(INDEX(Items!A$6:A$679,SMALL(IF(Items!A$6:A$679&lt;&gt;"",ROW(Items!A$6:A$679)-MIN(ROW(Items!A$6:A$679))+1),Items!N8)),""),""))</f>
        <v>9</v>
      </c>
      <c r="C20" s="279" t="str">
        <f t="array" ref="C20">IFERROR(INDEX(Items!O:O,SMALL(IF(Items!$O$6:$O$676&lt;&gt;"",ROW(Items!$O$6:$O$676)),Items!N8)),"")</f>
        <v>JA Solar JAM72-S30 565 Watts Solar Panel</v>
      </c>
      <c r="D20" s="280"/>
      <c r="E20" s="280"/>
      <c r="F20" s="281"/>
      <c r="G20" s="281"/>
      <c r="H20" s="281"/>
      <c r="I20" s="281"/>
      <c r="J20" s="285">
        <f>IF('Customer Base'!I$12="DISPLAY TAX",IF('Customer Base'!$I$17="Retail",IF($K$14="USD",IF(ISNA(VLOOKUP(C20,Items!C$6:F$598,4,0)),"",(VLOOKUP(C20,Items!C$6:F$598,4,0))),IF($K$14="GH₵",IF(ISNA(VLOOKUP(C20,Items!C$6:G$598,5,0)),"",(VLOOKUP(C20,Items!C$6:G$598,5,0))),"")),IF('Customer Base'!$I$17="Super Dealer",IF($K$14="USD",IF(ISNA(VLOOKUP(C20,Items!C$6:I$598,6,0)),"",(VLOOKUP(C20,Items!C$6:I$598,6,0))),IF($K$14="GH₵",IF(ISNA(VLOOKUP(C20,Items!C$6:I$598,7,0)),"",(VLOOKUP(C20,Items!C$6:I$598,7,0))),"")),"")),IF('Customer Base'!I$12="DO NOT DISPLAY TAX",IF('Customer Base'!$I$17="Retail",IF($K$14="USD",IF(ISNA(VLOOKUP(C20,Items!C$6:F$598,2,0)),"",(VLOOKUP(C20,Items!C$6:F$598,2,0))),IF($K$14="GH₵",IF(ISNA(VLOOKUP(C20,Items!C$6:G$598,2,0)),"",'Customer Base'!J$5*(VLOOKUP(C20,Items!C$6:G$598,2,0))),"")),IF('Customer Base'!$I$17="Super Dealer",IF($K$14="USD",IF(ISNA(VLOOKUP(C20,Items!C$6:I$598,3,0)),"",(VLOOKUP(C20,Items!C$6:I$598,3,0))),IF($K$14="GH₵",IF(ISNA(VLOOKUP(C20,Items!C$6:I$598,3,0)),"",'Customer Base'!J$5*(VLOOKUP(C20,Items!C$6:I$598,3,0))),"")),"")),""))</f>
        <v>1946.3849999999998</v>
      </c>
      <c r="K20" s="282">
        <f t="shared" si="0"/>
        <v>17517.464999999997</v>
      </c>
      <c r="L20" s="49"/>
      <c r="M20" s="48"/>
      <c r="N20" s="48"/>
      <c r="O20" s="48"/>
      <c r="P20" s="48"/>
      <c r="Q20" s="48"/>
      <c r="R20" s="48"/>
    </row>
    <row r="21" spans="1:115 16131:16136" ht="15.75" customHeight="1">
      <c r="A21" s="1"/>
      <c r="B21" s="294">
        <f t="array" ref="B21">IF('Customer Base'!$I$15="MANUAL",IFERROR(INDEX(Items!B$6:B$679,SMALL(IF(Items!B$6:B$679&lt;&gt;"",ROW(Items!B$6:B$679)-MIN(ROW(Items!B$6:B$679))+1),Items!N9)),""),IF('Customer Base'!$I$15="AUTOMATE",IFERROR(INDEX(Items!A$6:A$679,SMALL(IF(Items!A$6:A$679&lt;&gt;"",ROW(Items!A$6:A$679)-MIN(ROW(Items!A$6:A$679))+1),Items!N9)),""),""))</f>
        <v>1</v>
      </c>
      <c r="C21" s="279" t="str">
        <f t="array" ref="C21">IFERROR(INDEX(Items!O:O,SMALL(IF(Items!$O$6:$O$676&lt;&gt;"",ROW(Items!$O$6:$O$676)),Items!N9)),"")</f>
        <v>Victron SmartSolar MPPT 100/20 up to 48V</v>
      </c>
      <c r="D21" s="280"/>
      <c r="E21" s="280"/>
      <c r="F21" s="281"/>
      <c r="G21" s="281"/>
      <c r="H21" s="281"/>
      <c r="I21" s="281"/>
      <c r="J21" s="285">
        <f>IF('Customer Base'!I$12="DISPLAY TAX",IF('Customer Base'!$I$17="Retail",IF($K$14="USD",IF(ISNA(VLOOKUP(C21,Items!C$6:F$598,4,0)),"",(VLOOKUP(C21,Items!C$6:F$598,4,0))),IF($K$14="GH₵",IF(ISNA(VLOOKUP(C21,Items!C$6:G$598,5,0)),"",(VLOOKUP(C21,Items!C$6:G$598,5,0))),"")),IF('Customer Base'!$I$17="Super Dealer",IF($K$14="USD",IF(ISNA(VLOOKUP(C21,Items!C$6:I$598,6,0)),"",(VLOOKUP(C21,Items!C$6:I$598,6,0))),IF($K$14="GH₵",IF(ISNA(VLOOKUP(C21,Items!C$6:I$598,7,0)),"",(VLOOKUP(C21,Items!C$6:I$598,7,0))),"")),"")),IF('Customer Base'!I$12="DO NOT DISPLAY TAX",IF('Customer Base'!$I$17="Retail",IF($K$14="USD",IF(ISNA(VLOOKUP(C21,Items!C$6:F$598,2,0)),"",(VLOOKUP(C21,Items!C$6:F$598,2,0))),IF($K$14="GH₵",IF(ISNA(VLOOKUP(C21,Items!C$6:G$598,2,0)),"",'Customer Base'!J$5*(VLOOKUP(C21,Items!C$6:G$598,2,0))),"")),IF('Customer Base'!$I$17="Super Dealer",IF($K$14="USD",IF(ISNA(VLOOKUP(C21,Items!C$6:I$598,3,0)),"",(VLOOKUP(C21,Items!C$6:I$598,3,0))),IF($K$14="GH₵",IF(ISNA(VLOOKUP(C21,Items!C$6:I$598,3,0)),"",'Customer Base'!J$5*(VLOOKUP(C21,Items!C$6:I$598,3,0))),"")),"")),""))</f>
        <v>1508.01</v>
      </c>
      <c r="K21" s="282">
        <f t="shared" si="0"/>
        <v>1508.01</v>
      </c>
      <c r="L21" s="49"/>
      <c r="M21" s="48"/>
      <c r="N21" s="48"/>
      <c r="O21" s="48"/>
      <c r="P21" s="48"/>
      <c r="Q21" s="48"/>
      <c r="R21" s="48"/>
      <c r="DF21" s="76"/>
      <c r="DG21" s="76"/>
      <c r="DH21" s="76"/>
      <c r="DI21" s="76"/>
      <c r="DJ21" s="76"/>
      <c r="DK21" s="76"/>
      <c r="WVK21" s="2"/>
      <c r="WVL21" s="2"/>
      <c r="WVM21" s="2"/>
      <c r="WVN21" s="2"/>
      <c r="WVO21" s="2"/>
      <c r="WVP21" s="2"/>
    </row>
    <row r="22" spans="1:115 16131:16136" ht="15.75" customHeight="1">
      <c r="A22" s="1"/>
      <c r="B22" s="294">
        <f t="array" ref="B22">IF('Customer Base'!$I$15="MANUAL",IFERROR(INDEX(Items!B$6:B$679,SMALL(IF(Items!B$6:B$679&lt;&gt;"",ROW(Items!B$6:B$679)-MIN(ROW(Items!B$6:B$679))+1),Items!N10)),""),IF('Customer Base'!$I$15="AUTOMATE",IFERROR(INDEX(Items!A$6:A$679,SMALL(IF(Items!A$6:A$679&lt;&gt;"",ROW(Items!A$6:A$679)-MIN(ROW(Items!A$6:A$679))+1),Items!N10)),""),""))</f>
        <v>1</v>
      </c>
      <c r="C22" s="279" t="str">
        <f t="array" ref="C22">IFERROR(INDEX(Items!O:O,SMALL(IF(Items!$O$6:$O$676&lt;&gt;"",ROW(Items!$O$6:$O$676)),Items!N10)),"")</f>
        <v>Victron SmartSolar MPPT 250/70-Tr VE.Can</v>
      </c>
      <c r="D22" s="280"/>
      <c r="E22" s="280"/>
      <c r="F22" s="281"/>
      <c r="G22" s="281"/>
      <c r="H22" s="281"/>
      <c r="I22" s="281"/>
      <c r="J22" s="285">
        <f>IF('Customer Base'!I$12="DISPLAY TAX",IF('Customer Base'!$I$17="Retail",IF($K$14="USD",IF(ISNA(VLOOKUP(C22,Items!C$6:F$598,4,0)),"",(VLOOKUP(C22,Items!C$6:F$598,4,0))),IF($K$14="GH₵",IF(ISNA(VLOOKUP(C22,Items!C$6:G$598,5,0)),"",(VLOOKUP(C22,Items!C$6:G$598,5,0))),"")),IF('Customer Base'!$I$17="Super Dealer",IF($K$14="USD",IF(ISNA(VLOOKUP(C22,Items!C$6:I$598,6,0)),"",(VLOOKUP(C22,Items!C$6:I$598,6,0))),IF($K$14="GH₵",IF(ISNA(VLOOKUP(C22,Items!C$6:I$598,7,0)),"",(VLOOKUP(C22,Items!C$6:I$598,7,0))),"")),"")),IF('Customer Base'!I$12="DO NOT DISPLAY TAX",IF('Customer Base'!$I$17="Retail",IF($K$14="USD",IF(ISNA(VLOOKUP(C22,Items!C$6:F$598,2,0)),"",(VLOOKUP(C22,Items!C$6:F$598,2,0))),IF($K$14="GH₵",IF(ISNA(VLOOKUP(C22,Items!C$6:G$598,2,0)),"",'Customer Base'!J$5*(VLOOKUP(C22,Items!C$6:G$598,2,0))),"")),IF('Customer Base'!$I$17="Super Dealer",IF($K$14="USD",IF(ISNA(VLOOKUP(C22,Items!C$6:I$598,3,0)),"",(VLOOKUP(C22,Items!C$6:I$598,3,0))),IF($K$14="GH₵",IF(ISNA(VLOOKUP(C22,Items!C$6:I$598,3,0)),"",'Customer Base'!J$5*(VLOOKUP(C22,Items!C$6:I$598,3,0))),"")),"")),""))</f>
        <v>8625.884</v>
      </c>
      <c r="K22" s="282">
        <f t="shared" si="0"/>
        <v>8625.884</v>
      </c>
      <c r="L22" s="49"/>
      <c r="M22" s="48"/>
      <c r="N22" s="48"/>
      <c r="O22" s="48"/>
      <c r="P22" s="48"/>
      <c r="Q22" s="48"/>
      <c r="R22" s="48"/>
      <c r="DF22" s="76"/>
      <c r="DG22" s="76"/>
      <c r="DH22" s="76"/>
      <c r="DI22" s="76"/>
      <c r="DJ22" s="76"/>
      <c r="DK22" s="76"/>
      <c r="WVK22" s="2"/>
      <c r="WVL22" s="2"/>
      <c r="WVM22" s="2"/>
      <c r="WVN22" s="2"/>
      <c r="WVO22" s="2"/>
      <c r="WVP22" s="2"/>
    </row>
    <row r="23" spans="1:115 16131:16136" ht="15.75" customHeight="1">
      <c r="A23" s="1"/>
      <c r="B23" s="294">
        <f t="array" ref="B23">IF('Customer Base'!$I$15="MANUAL",IFERROR(INDEX(Items!B$6:B$679,SMALL(IF(Items!B$6:B$679&lt;&gt;"",ROW(Items!B$6:B$679)-MIN(ROW(Items!B$6:B$679))+1),Items!N11)),""),IF('Customer Base'!$I$15="AUTOMATE",IFERROR(INDEX(Items!A$6:A$679,SMALL(IF(Items!A$6:A$679&lt;&gt;"",ROW(Items!A$6:A$679)-MIN(ROW(Items!A$6:A$679))+1),Items!N11)),""),""))</f>
        <v>1</v>
      </c>
      <c r="C23" s="279" t="str">
        <f t="array" ref="C23">IFERROR(INDEX(Items!O:O,SMALL(IF(Items!$O$6:$O$676&lt;&gt;"",ROW(Items!$O$6:$O$676)),Items!N11)),"")</f>
        <v>Victron Cerbo GX</v>
      </c>
      <c r="D23" s="280"/>
      <c r="E23" s="280"/>
      <c r="F23" s="281"/>
      <c r="G23" s="281"/>
      <c r="H23" s="281"/>
      <c r="I23" s="281"/>
      <c r="J23" s="285">
        <f>IF('Customer Base'!I$12="DISPLAY TAX",IF('Customer Base'!$I$17="Retail",IF($K$14="USD",IF(ISNA(VLOOKUP(C23,Items!C$6:F$598,4,0)),"",(VLOOKUP(C23,Items!C$6:F$598,4,0))),IF($K$14="GH₵",IF(ISNA(VLOOKUP(C23,Items!C$6:G$598,5,0)),"",(VLOOKUP(C23,Items!C$6:G$598,5,0))),"")),IF('Customer Base'!$I$17="Super Dealer",IF($K$14="USD",IF(ISNA(VLOOKUP(C23,Items!C$6:I$598,6,0)),"",(VLOOKUP(C23,Items!C$6:I$598,6,0))),IF($K$14="GH₵",IF(ISNA(VLOOKUP(C23,Items!C$6:I$598,7,0)),"",(VLOOKUP(C23,Items!C$6:I$598,7,0))),"")),"")),IF('Customer Base'!I$12="DO NOT DISPLAY TAX",IF('Customer Base'!$I$17="Retail",IF($K$14="USD",IF(ISNA(VLOOKUP(C23,Items!C$6:F$598,2,0)),"",(VLOOKUP(C23,Items!C$6:F$598,2,0))),IF($K$14="GH₵",IF(ISNA(VLOOKUP(C23,Items!C$6:G$598,2,0)),"",'Customer Base'!J$5*(VLOOKUP(C23,Items!C$6:G$598,2,0))),"")),IF('Customer Base'!$I$17="Super Dealer",IF($K$14="USD",IF(ISNA(VLOOKUP(C23,Items!C$6:I$598,3,0)),"",(VLOOKUP(C23,Items!C$6:I$598,3,0))),IF($K$14="GH₵",IF(ISNA(VLOOKUP(C23,Items!C$6:I$598,3,0)),"",'Customer Base'!J$5*(VLOOKUP(C23,Items!C$6:I$598,3,0))),"")),"")),""))</f>
        <v>4644.6040000000003</v>
      </c>
      <c r="K23" s="282">
        <f t="shared" si="0"/>
        <v>4644.6040000000003</v>
      </c>
      <c r="L23" s="49"/>
      <c r="M23" s="48"/>
      <c r="N23" s="48"/>
      <c r="O23" s="48"/>
      <c r="P23" s="48"/>
      <c r="Q23" s="48"/>
      <c r="R23" s="48"/>
      <c r="DF23" s="76"/>
      <c r="DG23" s="76"/>
      <c r="DH23" s="76"/>
      <c r="DI23" s="76"/>
      <c r="DJ23" s="76"/>
      <c r="DK23" s="76"/>
      <c r="WVK23" s="2"/>
      <c r="WVL23" s="2"/>
      <c r="WVM23" s="2"/>
      <c r="WVN23" s="2"/>
      <c r="WVO23" s="2"/>
      <c r="WVP23" s="2"/>
    </row>
    <row r="24" spans="1:115 16131:16136" ht="15.75" customHeight="1">
      <c r="A24" s="1"/>
      <c r="B24" s="294">
        <f t="array" ref="B24">IF('Customer Base'!$I$15="MANUAL",IFERROR(INDEX(Items!B$6:B$679,SMALL(IF(Items!B$6:B$679&lt;&gt;"",ROW(Items!B$6:B$679)-MIN(ROW(Items!B$6:B$679))+1),Items!N12)),""),IF('Customer Base'!$I$15="AUTOMATE",IFERROR(INDEX(Items!A$6:A$679,SMALL(IF(Items!A$6:A$679&lt;&gt;"",ROW(Items!A$6:A$679)-MIN(ROW(Items!A$6:A$679))+1),Items!N12)),""),""))</f>
        <v>2</v>
      </c>
      <c r="C24" s="279" t="str">
        <f t="array" ref="C24">IFERROR(INDEX(Items!O:O,SMALL(IF(Items!$O$6:$O$676&lt;&gt;"",ROW(Items!$O$6:$O$676)),Items!N12)),"")</f>
        <v>Victron Solar Busbar 150A 2P with 10 screws +cover</v>
      </c>
      <c r="D24" s="280"/>
      <c r="E24" s="280"/>
      <c r="F24" s="281"/>
      <c r="G24" s="281"/>
      <c r="H24" s="281"/>
      <c r="I24" s="281"/>
      <c r="J24" s="285">
        <f>IF('Customer Base'!I$12="DISPLAY TAX",IF('Customer Base'!$I$17="Retail",IF($K$14="USD",IF(ISNA(VLOOKUP(C24,Items!C$6:F$598,4,0)),"",(VLOOKUP(C24,Items!C$6:F$598,4,0))),IF($K$14="GH₵",IF(ISNA(VLOOKUP(C24,Items!C$6:G$598,5,0)),"",(VLOOKUP(C24,Items!C$6:G$598,5,0))),"")),IF('Customer Base'!$I$17="Super Dealer",IF($K$14="USD",IF(ISNA(VLOOKUP(C24,Items!C$6:I$598,6,0)),"",(VLOOKUP(C24,Items!C$6:I$598,6,0))),IF($K$14="GH₵",IF(ISNA(VLOOKUP(C24,Items!C$6:I$598,7,0)),"",(VLOOKUP(C24,Items!C$6:I$598,7,0))),"")),"")),IF('Customer Base'!I$12="DO NOT DISPLAY TAX",IF('Customer Base'!$I$17="Retail",IF($K$14="USD",IF(ISNA(VLOOKUP(C24,Items!C$6:F$598,2,0)),"",(VLOOKUP(C24,Items!C$6:F$598,2,0))),IF($K$14="GH₵",IF(ISNA(VLOOKUP(C24,Items!C$6:G$598,2,0)),"",'Customer Base'!J$5*(VLOOKUP(C24,Items!C$6:G$598,2,0))),"")),IF('Customer Base'!$I$17="Super Dealer",IF($K$14="USD",IF(ISNA(VLOOKUP(C24,Items!C$6:I$598,3,0)),"",(VLOOKUP(C24,Items!C$6:I$598,3,0))),IF($K$14="GH₵",IF(ISNA(VLOOKUP(C24,Items!C$6:I$598,3,0)),"",'Customer Base'!J$5*(VLOOKUP(C24,Items!C$6:I$598,3,0))),"")),"")),""))</f>
        <v>316.46499999999997</v>
      </c>
      <c r="K24" s="282">
        <f t="shared" si="0"/>
        <v>632.92999999999995</v>
      </c>
      <c r="L24" s="49"/>
      <c r="M24" s="48"/>
      <c r="N24" s="48"/>
      <c r="O24" s="48"/>
      <c r="P24" s="48"/>
      <c r="Q24" s="48"/>
      <c r="R24" s="48"/>
      <c r="DF24" s="76"/>
      <c r="DG24" s="76"/>
      <c r="DH24" s="76"/>
      <c r="DI24" s="76"/>
      <c r="DJ24" s="76"/>
      <c r="DK24" s="76"/>
      <c r="WVK24" s="2"/>
      <c r="WVL24" s="2"/>
      <c r="WVM24" s="2"/>
      <c r="WVN24" s="2"/>
      <c r="WVO24" s="2"/>
      <c r="WVP24" s="2"/>
    </row>
    <row r="25" spans="1:115 16131:16136" ht="15.75" customHeight="1">
      <c r="A25" s="1"/>
      <c r="B25" s="294">
        <f t="array" ref="B25">IF('Customer Base'!$I$15="MANUAL",IFERROR(INDEX(Items!B$6:B$679,SMALL(IF(Items!B$6:B$679&lt;&gt;"",ROW(Items!B$6:B$679)-MIN(ROW(Items!B$6:B$679))+1),Items!N13)),""),IF('Customer Base'!$I$15="AUTOMATE",IFERROR(INDEX(Items!A$6:A$679,SMALL(IF(Items!A$6:A$679&lt;&gt;"",ROW(Items!A$6:A$679)-MIN(ROW(Items!A$6:A$679))+1),Items!N13)),""),""))</f>
        <v>1</v>
      </c>
      <c r="C25" s="279" t="str">
        <f t="array" ref="C25">IFERROR(INDEX(Items!O:O,SMALL(IF(Items!$O$6:$O$676&lt;&gt;"",ROW(Items!$O$6:$O$676)),Items!N13)),"")</f>
        <v>Solar DC Combiner BHS 2/1</v>
      </c>
      <c r="D25" s="280"/>
      <c r="E25" s="280"/>
      <c r="F25" s="280"/>
      <c r="G25" s="280"/>
      <c r="H25" s="280"/>
      <c r="I25" s="280"/>
      <c r="J25" s="285">
        <f>IF('Customer Base'!I$12="DISPLAY TAX",IF('Customer Base'!$I$17="Retail",IF($K$14="USD",IF(ISNA(VLOOKUP(C25,Items!C$6:F$598,4,0)),"",(VLOOKUP(C25,Items!C$6:F$598,4,0))),IF($K$14="GH₵",IF(ISNA(VLOOKUP(C25,Items!C$6:G$598,5,0)),"",(VLOOKUP(C25,Items!C$6:G$598,5,0))),"")),IF('Customer Base'!$I$17="Super Dealer",IF($K$14="USD",IF(ISNA(VLOOKUP(C25,Items!C$6:I$598,6,0)),"",(VLOOKUP(C25,Items!C$6:I$598,6,0))),IF($K$14="GH₵",IF(ISNA(VLOOKUP(C25,Items!C$6:I$598,7,0)),"",(VLOOKUP(C25,Items!C$6:I$598,7,0))),"")),"")),IF('Customer Base'!I$12="DO NOT DISPLAY TAX",IF('Customer Base'!$I$17="Retail",IF($K$14="USD",IF(ISNA(VLOOKUP(C25,Items!C$6:F$598,2,0)),"",(VLOOKUP(C25,Items!C$6:F$598,2,0))),IF($K$14="GH₵",IF(ISNA(VLOOKUP(C25,Items!C$6:G$598,2,0)),"",'Customer Base'!J$5*(VLOOKUP(C25,Items!C$6:G$598,2,0))),"")),IF('Customer Base'!$I$17="Super Dealer",IF($K$14="USD",IF(ISNA(VLOOKUP(C25,Items!C$6:I$598,3,0)),"",(VLOOKUP(C25,Items!C$6:I$598,3,0))),IF($K$14="GH₵",IF(ISNA(VLOOKUP(C25,Items!C$6:I$598,3,0)),"",'Customer Base'!J$5*(VLOOKUP(C25,Items!C$6:I$598,3,0))),"")),"")),""))</f>
        <v>2010.68</v>
      </c>
      <c r="K25" s="282">
        <f t="shared" si="0"/>
        <v>2010.68</v>
      </c>
      <c r="L25" s="49"/>
      <c r="M25" s="48"/>
      <c r="N25" s="48"/>
      <c r="O25" s="48"/>
      <c r="P25" s="48"/>
      <c r="Q25" s="48"/>
      <c r="R25" s="48"/>
      <c r="DF25" s="76"/>
      <c r="DG25" s="76"/>
      <c r="DH25" s="76"/>
      <c r="DI25" s="76"/>
      <c r="DJ25" s="76"/>
      <c r="DK25" s="76"/>
      <c r="WVK25" s="2"/>
      <c r="WVL25" s="2"/>
      <c r="WVM25" s="2"/>
      <c r="WVN25" s="2"/>
      <c r="WVO25" s="2"/>
      <c r="WVP25" s="2"/>
    </row>
    <row r="26" spans="1:115 16131:16136" ht="16" customHeight="1">
      <c r="A26" s="1"/>
      <c r="B26" s="294">
        <f t="array" ref="B26">IF('Customer Base'!$I$15="MANUAL",IFERROR(INDEX(Items!B$6:B$679,SMALL(IF(Items!B$6:B$679&lt;&gt;"",ROW(Items!B$6:B$679)-MIN(ROW(Items!B$6:B$679))+1),Items!N14)),""),IF('Customer Base'!$I$15="AUTOMATE",IFERROR(INDEX(Items!A$6:A$679,SMALL(IF(Items!A$6:A$679&lt;&gt;"",ROW(Items!A$6:A$679)-MIN(ROW(Items!A$6:A$679))+1),Items!N14)),""),""))</f>
        <v>1</v>
      </c>
      <c r="C26" s="279" t="str">
        <f t="array" ref="C26">IFERROR(INDEX(Items!O:O,SMALL(IF(Items!$O$6:$O$676&lt;&gt;"",ROW(Items!$O$6:$O$676)),Items!N14)),"")</f>
        <v>Citel AC Surge Protection Device DAC50VGS-11-275/G VAC 1-Phase</v>
      </c>
      <c r="D26" s="280"/>
      <c r="E26" s="280"/>
      <c r="F26" s="280"/>
      <c r="G26" s="280"/>
      <c r="H26" s="280"/>
      <c r="I26" s="280"/>
      <c r="J26" s="285">
        <f>IF('Customer Base'!I$12="DISPLAY TAX",IF('Customer Base'!$I$17="Retail",IF($K$14="USD",IF(ISNA(VLOOKUP(C26,Items!C$6:F$598,4,0)),"",(VLOOKUP(C26,Items!C$6:F$598,4,0))),IF($K$14="GH₵",IF(ISNA(VLOOKUP(C26,Items!C$6:G$598,5,0)),"",(VLOOKUP(C26,Items!C$6:G$598,5,0))),"")),IF('Customer Base'!$I$17="Super Dealer",IF($K$14="USD",IF(ISNA(VLOOKUP(C26,Items!C$6:I$598,6,0)),"",(VLOOKUP(C26,Items!C$6:I$598,6,0))),IF($K$14="GH₵",IF(ISNA(VLOOKUP(C26,Items!C$6:I$598,7,0)),"",(VLOOKUP(C26,Items!C$6:I$598,7,0))),"")),"")),IF('Customer Base'!I$12="DO NOT DISPLAY TAX",IF('Customer Base'!$I$17="Retail",IF($K$14="USD",IF(ISNA(VLOOKUP(C26,Items!C$6:F$598,2,0)),"",(VLOOKUP(C26,Items!C$6:F$598,2,0))),IF($K$14="GH₵",IF(ISNA(VLOOKUP(C26,Items!C$6:G$598,2,0)),"",'Customer Base'!J$5*(VLOOKUP(C26,Items!C$6:G$598,2,0))),"")),IF('Customer Base'!$I$17="Super Dealer",IF($K$14="USD",IF(ISNA(VLOOKUP(C26,Items!C$6:I$598,3,0)),"",(VLOOKUP(C26,Items!C$6:I$598,3,0))),IF($K$14="GH₵",IF(ISNA(VLOOKUP(C26,Items!C$6:I$598,3,0)),"",'Customer Base'!J$5*(VLOOKUP(C26,Items!C$6:I$598,3,0))),"")),"")),""))</f>
        <v>815.79499999999996</v>
      </c>
      <c r="K26" s="282">
        <f t="shared" si="0"/>
        <v>815.79499999999996</v>
      </c>
      <c r="L26" s="49"/>
      <c r="M26" s="48"/>
      <c r="N26" s="48"/>
      <c r="O26" s="48"/>
      <c r="P26" s="48"/>
      <c r="Q26" s="48"/>
      <c r="R26" s="48"/>
      <c r="DF26" s="76"/>
      <c r="DG26" s="76"/>
      <c r="DH26" s="76"/>
      <c r="DI26" s="76"/>
      <c r="DJ26" s="76"/>
      <c r="DK26" s="76"/>
      <c r="WVK26" s="2"/>
      <c r="WVL26" s="2"/>
      <c r="WVM26" s="2"/>
      <c r="WVN26" s="2"/>
      <c r="WVO26" s="2"/>
      <c r="WVP26" s="2"/>
    </row>
    <row r="27" spans="1:115 16131:16136" ht="16" customHeight="1">
      <c r="A27" s="1"/>
      <c r="B27" s="294">
        <f t="array" ref="B27">IF('Customer Base'!$I$15="MANUAL",IFERROR(INDEX(Items!B$6:B$679,SMALL(IF(Items!B$6:B$679&lt;&gt;"",ROW(Items!B$6:B$679)-MIN(ROW(Items!B$6:B$679))+1),Items!N15)),""),IF('Customer Base'!$I$15="AUTOMATE",IFERROR(INDEX(Items!A$6:A$679,SMALL(IF(Items!A$6:A$679&lt;&gt;"",ROW(Items!A$6:A$679)-MIN(ROW(Items!A$6:A$679))+1),Items!N15)),""),""))</f>
        <v>20</v>
      </c>
      <c r="C27" s="279" t="str">
        <f t="array" ref="C27">IFERROR(INDEX(Items!O:O,SMALL(IF(Items!$O$6:$O$676&lt;&gt;"",ROW(Items!$O$6:$O$676)),Items!N15)),"")</f>
        <v>Hikra Sol DC Solar cable 1x4mm2 1500V H1Z2Z2</v>
      </c>
      <c r="D27" s="280"/>
      <c r="E27" s="280"/>
      <c r="F27" s="280"/>
      <c r="G27" s="280"/>
      <c r="H27" s="280"/>
      <c r="I27" s="280"/>
      <c r="J27" s="285">
        <f>IF('Customer Base'!I$12="DISPLAY TAX",IF('Customer Base'!$I$17="Retail",IF($K$14="USD",IF(ISNA(VLOOKUP(C27,Items!C$6:F$598,4,0)),"",(VLOOKUP(C27,Items!C$6:F$598,4,0))),IF($K$14="GH₵",IF(ISNA(VLOOKUP(C27,Items!C$6:G$598,5,0)),"",(VLOOKUP(C27,Items!C$6:G$598,5,0))),"")),IF('Customer Base'!$I$17="Super Dealer",IF($K$14="USD",IF(ISNA(VLOOKUP(C27,Items!C$6:I$598,6,0)),"",(VLOOKUP(C27,Items!C$6:I$598,6,0))),IF($K$14="GH₵",IF(ISNA(VLOOKUP(C27,Items!C$6:I$598,7,0)),"",(VLOOKUP(C27,Items!C$6:I$598,7,0))),"")),"")),IF('Customer Base'!I$12="DO NOT DISPLAY TAX",IF('Customer Base'!$I$17="Retail",IF($K$14="USD",IF(ISNA(VLOOKUP(C27,Items!C$6:F$598,2,0)),"",(VLOOKUP(C27,Items!C$6:F$598,2,0))),IF($K$14="GH₵",IF(ISNA(VLOOKUP(C27,Items!C$6:G$598,2,0)),"",'Customer Base'!J$5*(VLOOKUP(C27,Items!C$6:G$598,2,0))),"")),IF('Customer Base'!$I$17="Super Dealer",IF($K$14="USD",IF(ISNA(VLOOKUP(C27,Items!C$6:I$598,3,0)),"",(VLOOKUP(C27,Items!C$6:I$598,3,0))),IF($K$14="GH₵",IF(ISNA(VLOOKUP(C27,Items!C$6:I$598,3,0)),"",'Customer Base'!J$5*(VLOOKUP(C27,Items!C$6:I$598,3,0))),"")),"")),""))</f>
        <v>17.033999999999999</v>
      </c>
      <c r="K27" s="282">
        <f t="shared" si="0"/>
        <v>340.67999999999995</v>
      </c>
      <c r="L27" s="49"/>
      <c r="M27" s="48"/>
      <c r="N27" s="48"/>
      <c r="O27" s="48"/>
      <c r="P27" s="48"/>
      <c r="Q27" s="48"/>
      <c r="R27" s="48"/>
      <c r="DF27" s="76"/>
      <c r="DG27" s="76"/>
      <c r="DH27" s="76"/>
      <c r="DI27" s="76"/>
      <c r="DJ27" s="76"/>
      <c r="DK27" s="76"/>
      <c r="WVK27" s="2"/>
      <c r="WVL27" s="2"/>
      <c r="WVM27" s="2"/>
      <c r="WVN27" s="2"/>
      <c r="WVO27" s="2"/>
      <c r="WVP27" s="2"/>
    </row>
    <row r="28" spans="1:115 16131:16136" ht="16" customHeight="1">
      <c r="A28" s="1"/>
      <c r="B28" s="294">
        <f t="array" ref="B28">IF('Customer Base'!$I$15="MANUAL",IFERROR(INDEX(Items!B$6:B$679,SMALL(IF(Items!B$6:B$679&lt;&gt;"",ROW(Items!B$6:B$679)-MIN(ROW(Items!B$6:B$679))+1),Items!N16)),""),IF('Customer Base'!$I$15="AUTOMATE",IFERROR(INDEX(Items!A$6:A$679,SMALL(IF(Items!A$6:A$679&lt;&gt;"",ROW(Items!A$6:A$679)-MIN(ROW(Items!A$6:A$679))+1),Items!N16)),""),""))</f>
        <v>80</v>
      </c>
      <c r="C28" s="279" t="str">
        <f t="array" ref="C28">IFERROR(INDEX(Items!O:O,SMALL(IF(Items!$O$6:$O$676&lt;&gt;"",ROW(Items!$O$6:$O$676)),Items!N16)),"")</f>
        <v>Hikra Sol DC Solar cable 1x6mm2 1500V H1Z2Z2</v>
      </c>
      <c r="D28" s="280"/>
      <c r="E28" s="280"/>
      <c r="F28" s="280"/>
      <c r="G28" s="280"/>
      <c r="H28" s="280"/>
      <c r="I28" s="280"/>
      <c r="J28" s="285">
        <f>IF('Customer Base'!I$12="DISPLAY TAX",IF('Customer Base'!$I$17="Retail",IF($K$14="USD",IF(ISNA(VLOOKUP(C28,Items!C$6:F$598,4,0)),"",(VLOOKUP(C28,Items!C$6:F$598,4,0))),IF($K$14="GH₵",IF(ISNA(VLOOKUP(C28,Items!C$6:G$598,5,0)),"",(VLOOKUP(C28,Items!C$6:G$598,5,0))),"")),IF('Customer Base'!$I$17="Super Dealer",IF($K$14="USD",IF(ISNA(VLOOKUP(C28,Items!C$6:I$598,6,0)),"",(VLOOKUP(C28,Items!C$6:I$598,6,0))),IF($K$14="GH₵",IF(ISNA(VLOOKUP(C28,Items!C$6:I$598,7,0)),"",(VLOOKUP(C28,Items!C$6:I$598,7,0))),"")),"")),IF('Customer Base'!I$12="DO NOT DISPLAY TAX",IF('Customer Base'!$I$17="Retail",IF($K$14="USD",IF(ISNA(VLOOKUP(C28,Items!C$6:F$598,2,0)),"",(VLOOKUP(C28,Items!C$6:F$598,2,0))),IF($K$14="GH₵",IF(ISNA(VLOOKUP(C28,Items!C$6:G$598,2,0)),"",'Customer Base'!J$5*(VLOOKUP(C28,Items!C$6:G$598,2,0))),"")),IF('Customer Base'!$I$17="Super Dealer",IF($K$14="USD",IF(ISNA(VLOOKUP(C28,Items!C$6:I$598,3,0)),"",(VLOOKUP(C28,Items!C$6:I$598,3,0))),IF($K$14="GH₵",IF(ISNA(VLOOKUP(C28,Items!C$6:I$598,3,0)),"",'Customer Base'!J$5*(VLOOKUP(C28,Items!C$6:I$598,3,0))),"")),"")),""))</f>
        <v>22.712</v>
      </c>
      <c r="K28" s="282">
        <f t="shared" si="0"/>
        <v>1816.96</v>
      </c>
      <c r="L28" s="49"/>
      <c r="M28" s="48"/>
      <c r="N28" s="48"/>
      <c r="O28" s="48"/>
      <c r="P28" s="48"/>
      <c r="Q28" s="48"/>
      <c r="R28" s="48"/>
      <c r="DF28" s="76"/>
      <c r="DG28" s="76"/>
      <c r="DH28" s="76"/>
      <c r="DI28" s="76"/>
      <c r="DJ28" s="76"/>
      <c r="DK28" s="76"/>
      <c r="WVK28" s="2"/>
      <c r="WVL28" s="2"/>
      <c r="WVM28" s="2"/>
      <c r="WVN28" s="2"/>
      <c r="WVO28" s="2"/>
      <c r="WVP28" s="2"/>
    </row>
    <row r="29" spans="1:115 16131:16136" ht="16" customHeight="1">
      <c r="A29" s="1"/>
      <c r="B29" s="294">
        <f t="array" ref="B29">IF('Customer Base'!$I$15="MANUAL",IFERROR(INDEX(Items!B$6:B$679,SMALL(IF(Items!B$6:B$679&lt;&gt;"",ROW(Items!B$6:B$679)-MIN(ROW(Items!B$6:B$679))+1),Items!N17)),""),IF('Customer Base'!$I$15="AUTOMATE",IFERROR(INDEX(Items!A$6:A$679,SMALL(IF(Items!A$6:A$679&lt;&gt;"",ROW(Items!A$6:A$679)-MIN(ROW(Items!A$6:A$679))+1),Items!N17)),""),""))</f>
        <v>60</v>
      </c>
      <c r="C29" s="279" t="str">
        <f t="array" ref="C29">IFERROR(INDEX(Items!O:O,SMALL(IF(Items!$O$6:$O$676&lt;&gt;"",ROW(Items!$O$6:$O$676)),Items!N17)),"")</f>
        <v>Hikra Sol DC Solar cable 1x16mm2 1500V H1Z2Z2</v>
      </c>
      <c r="D29" s="280"/>
      <c r="E29" s="280"/>
      <c r="F29" s="280"/>
      <c r="G29" s="280"/>
      <c r="H29" s="280"/>
      <c r="I29" s="280"/>
      <c r="J29" s="285">
        <f>IF('Customer Base'!I$12="DISPLAY TAX",IF('Customer Base'!$I$17="Retail",IF($K$14="USD",IF(ISNA(VLOOKUP(C29,Items!C$6:F$598,4,0)),"",(VLOOKUP(C29,Items!C$6:F$598,4,0))),IF($K$14="GH₵",IF(ISNA(VLOOKUP(C29,Items!C$6:G$598,5,0)),"",(VLOOKUP(C29,Items!C$6:G$598,5,0))),"")),IF('Customer Base'!$I$17="Super Dealer",IF($K$14="USD",IF(ISNA(VLOOKUP(C29,Items!C$6:I$598,6,0)),"",(VLOOKUP(C29,Items!C$6:I$598,6,0))),IF($K$14="GH₵",IF(ISNA(VLOOKUP(C29,Items!C$6:I$598,7,0)),"",(VLOOKUP(C29,Items!C$6:I$598,7,0))),"")),"")),IF('Customer Base'!I$12="DO NOT DISPLAY TAX",IF('Customer Base'!$I$17="Retail",IF($K$14="USD",IF(ISNA(VLOOKUP(C29,Items!C$6:F$598,2,0)),"",(VLOOKUP(C29,Items!C$6:F$598,2,0))),IF($K$14="GH₵",IF(ISNA(VLOOKUP(C29,Items!C$6:G$598,2,0)),"",'Customer Base'!J$5*(VLOOKUP(C29,Items!C$6:G$598,2,0))),"")),IF('Customer Base'!$I$17="Super Dealer",IF($K$14="USD",IF(ISNA(VLOOKUP(C29,Items!C$6:I$598,3,0)),"",(VLOOKUP(C29,Items!C$6:I$598,3,0))),IF($K$14="GH₵",IF(ISNA(VLOOKUP(C29,Items!C$6:I$598,3,0)),"",'Customer Base'!J$5*(VLOOKUP(C29,Items!C$6:I$598,3,0))),"")),"")),""))</f>
        <v>75.650999999999996</v>
      </c>
      <c r="K29" s="282">
        <f t="shared" si="0"/>
        <v>4539.0599999999995</v>
      </c>
      <c r="L29" s="49"/>
      <c r="M29" s="48"/>
      <c r="N29" s="48"/>
      <c r="O29" s="48"/>
      <c r="P29" s="48"/>
      <c r="Q29" s="48"/>
      <c r="R29" s="48"/>
      <c r="DF29" s="76"/>
      <c r="DG29" s="76"/>
      <c r="DH29" s="76"/>
      <c r="DI29" s="76"/>
      <c r="DJ29" s="76"/>
      <c r="DK29" s="76"/>
      <c r="WVK29" s="2"/>
      <c r="WVL29" s="2"/>
      <c r="WVM29" s="2"/>
      <c r="WVN29" s="2"/>
      <c r="WVO29" s="2"/>
      <c r="WVP29" s="2"/>
    </row>
    <row r="30" spans="1:115 16131:16136" ht="16" customHeight="1">
      <c r="A30" s="1"/>
      <c r="B30" s="294">
        <f t="array" ref="B30">IF('Customer Base'!$I$15="MANUAL",IFERROR(INDEX(Items!B$6:B$679,SMALL(IF(Items!B$6:B$679&lt;&gt;"",ROW(Items!B$6:B$679)-MIN(ROW(Items!B$6:B$679))+1),Items!N18)),""),IF('Customer Base'!$I$15="AUTOMATE",IFERROR(INDEX(Items!A$6:A$679,SMALL(IF(Items!A$6:A$679&lt;&gt;"",ROW(Items!A$6:A$679)-MIN(ROW(Items!A$6:A$679))+1),Items!N18)),""),""))</f>
        <v>15</v>
      </c>
      <c r="C30" s="279" t="str">
        <f t="array" ref="C30">IFERROR(INDEX(Items!O:O,SMALL(IF(Items!$O$6:$O$676&lt;&gt;"",ROW(Items!$O$6:$O$676)),Items!N18)),"")</f>
        <v>Hikra Sol DC Solar cable 1x25mm2 1500V H1Z2Z2</v>
      </c>
      <c r="D30" s="280"/>
      <c r="E30" s="280"/>
      <c r="F30" s="283"/>
      <c r="G30" s="283"/>
      <c r="H30" s="283"/>
      <c r="I30" s="283"/>
      <c r="J30" s="285">
        <f>IF('Customer Base'!I$12="DISPLAY TAX",IF('Customer Base'!$I$17="Retail",IF($K$14="USD",IF(ISNA(VLOOKUP(C30,Items!C$6:F$598,4,0)),"",(VLOOKUP(C30,Items!C$6:F$598,4,0))),IF($K$14="GH₵",IF(ISNA(VLOOKUP(C30,Items!C$6:G$598,5,0)),"",(VLOOKUP(C30,Items!C$6:G$598,5,0))),"")),IF('Customer Base'!$I$17="Super Dealer",IF($K$14="USD",IF(ISNA(VLOOKUP(C30,Items!C$6:I$598,6,0)),"",(VLOOKUP(C30,Items!C$6:I$598,6,0))),IF($K$14="GH₵",IF(ISNA(VLOOKUP(C30,Items!C$6:I$598,7,0)),"",(VLOOKUP(C30,Items!C$6:I$598,7,0))),"")),"")),IF('Customer Base'!I$12="DO NOT DISPLAY TAX",IF('Customer Base'!$I$17="Retail",IF($K$14="USD",IF(ISNA(VLOOKUP(C30,Items!C$6:F$598,2,0)),"",(VLOOKUP(C30,Items!C$6:F$598,2,0))),IF($K$14="GH₵",IF(ISNA(VLOOKUP(C30,Items!C$6:G$598,2,0)),"",'Customer Base'!J$5*(VLOOKUP(C30,Items!C$6:G$598,2,0))),"")),IF('Customer Base'!$I$17="Super Dealer",IF($K$14="USD",IF(ISNA(VLOOKUP(C30,Items!C$6:I$598,3,0)),"",(VLOOKUP(C30,Items!C$6:I$598,3,0))),IF($K$14="GH₵",IF(ISNA(VLOOKUP(C30,Items!C$6:I$598,3,0)),"",'Customer Base'!J$5*(VLOOKUP(C30,Items!C$6:I$598,3,0))),"")),"")),""))</f>
        <v>137.77500000000001</v>
      </c>
      <c r="K30" s="282">
        <f t="shared" si="0"/>
        <v>2066.625</v>
      </c>
      <c r="L30" s="49"/>
      <c r="M30" s="48"/>
      <c r="N30" s="48"/>
      <c r="O30" s="48"/>
      <c r="P30" s="48"/>
      <c r="Q30" s="48"/>
      <c r="R30" s="48"/>
      <c r="DF30" s="76"/>
      <c r="DG30" s="76"/>
      <c r="DH30" s="76"/>
      <c r="DI30" s="76"/>
      <c r="DJ30" s="76"/>
      <c r="DK30" s="76"/>
      <c r="WVK30" s="2"/>
      <c r="WVL30" s="2"/>
      <c r="WVM30" s="2"/>
      <c r="WVN30" s="2"/>
      <c r="WVO30" s="2"/>
      <c r="WVP30" s="2"/>
    </row>
    <row r="31" spans="1:115 16131:16136" ht="16" customHeight="1">
      <c r="A31" s="1"/>
      <c r="B31" s="294">
        <f t="array" ref="B31">IF('Customer Base'!$I$15="MANUAL",IFERROR(INDEX(Items!B$6:B$679,SMALL(IF(Items!B$6:B$679&lt;&gt;"",ROW(Items!B$6:B$679)-MIN(ROW(Items!B$6:B$679))+1),Items!N19)),""),IF('Customer Base'!$I$15="AUTOMATE",IFERROR(INDEX(Items!A$6:A$679,SMALL(IF(Items!A$6:A$679&lt;&gt;"",ROW(Items!A$6:A$679)-MIN(ROW(Items!A$6:A$679))+1),Items!N19)),""),""))</f>
        <v>10</v>
      </c>
      <c r="C31" s="279" t="str">
        <f t="array" ref="C31">IFERROR(INDEX(Items!O:O,SMALL(IF(Items!$O$6:$O$676&lt;&gt;"",ROW(Items!$O$6:$O$676)),Items!N19)),"")</f>
        <v>Top Cable AC solar cable 5x4mm2 RV-K 0.6/1KV</v>
      </c>
      <c r="D31" s="280"/>
      <c r="E31" s="280"/>
      <c r="F31" s="280"/>
      <c r="G31" s="280"/>
      <c r="H31" s="280"/>
      <c r="I31" s="280"/>
      <c r="J31" s="285">
        <f>IF('Customer Base'!I$12="DISPLAY TAX",IF('Customer Base'!$I$17="Retail",IF($K$14="USD",IF(ISNA(VLOOKUP(C31,Items!C$6:F$598,4,0)),"",(VLOOKUP(C31,Items!C$6:F$598,4,0))),IF($K$14="GH₵",IF(ISNA(VLOOKUP(C31,Items!C$6:G$598,5,0)),"",(VLOOKUP(C31,Items!C$6:G$598,5,0))),"")),IF('Customer Base'!$I$17="Super Dealer",IF($K$14="USD",IF(ISNA(VLOOKUP(C31,Items!C$6:I$598,6,0)),"",(VLOOKUP(C31,Items!C$6:I$598,6,0))),IF($K$14="GH₵",IF(ISNA(VLOOKUP(C31,Items!C$6:I$598,7,0)),"",(VLOOKUP(C31,Items!C$6:I$598,7,0))),"")),"")),IF('Customer Base'!I$12="DO NOT DISPLAY TAX",IF('Customer Base'!$I$17="Retail",IF($K$14="USD",IF(ISNA(VLOOKUP(C31,Items!C$6:F$598,2,0)),"",(VLOOKUP(C31,Items!C$6:F$598,2,0))),IF($K$14="GH₵",IF(ISNA(VLOOKUP(C31,Items!C$6:G$598,2,0)),"",'Customer Base'!J$5*(VLOOKUP(C31,Items!C$6:G$598,2,0))),"")),IF('Customer Base'!$I$17="Super Dealer",IF($K$14="USD",IF(ISNA(VLOOKUP(C31,Items!C$6:I$598,3,0)),"",(VLOOKUP(C31,Items!C$6:I$598,3,0))),IF($K$14="GH₵",IF(ISNA(VLOOKUP(C31,Items!C$6:I$598,3,0)),"",'Customer Base'!J$5*(VLOOKUP(C31,Items!C$6:I$598,3,0))),"")),"")),""))</f>
        <v>175.517</v>
      </c>
      <c r="K31" s="282">
        <f t="shared" si="0"/>
        <v>1755.17</v>
      </c>
      <c r="L31" s="49"/>
      <c r="M31" s="48"/>
      <c r="N31" s="48"/>
      <c r="O31" s="48"/>
      <c r="P31" s="48"/>
      <c r="Q31" s="48"/>
      <c r="R31" s="48"/>
      <c r="DF31" s="76"/>
      <c r="DG31" s="76"/>
      <c r="DH31" s="76"/>
      <c r="DI31" s="76"/>
      <c r="DJ31" s="76"/>
      <c r="DK31" s="76"/>
      <c r="WVK31" s="2"/>
      <c r="WVL31" s="2"/>
      <c r="WVM31" s="2"/>
      <c r="WVN31" s="2"/>
      <c r="WVO31" s="2"/>
      <c r="WVP31" s="2"/>
    </row>
    <row r="32" spans="1:115 16131:16136" ht="16" customHeight="1">
      <c r="A32" s="1"/>
      <c r="B32" s="294">
        <f t="array" ref="B32">IF('Customer Base'!$I$15="MANUAL",IFERROR(INDEX(Items!B$6:B$679,SMALL(IF(Items!B$6:B$679&lt;&gt;"",ROW(Items!B$6:B$679)-MIN(ROW(Items!B$6:B$679))+1),Items!N20)),""),IF('Customer Base'!$I$15="AUTOMATE",IFERROR(INDEX(Items!A$6:A$679,SMALL(IF(Items!A$6:A$679&lt;&gt;"",ROW(Items!A$6:A$679)-MIN(ROW(Items!A$6:A$679))+1),Items!N20)),""),""))</f>
        <v>30</v>
      </c>
      <c r="C32" s="279" t="str">
        <f t="array" ref="C32">IFERROR(INDEX(Items!O:O,SMALL(IF(Items!$O$6:$O$676&lt;&gt;"",ROW(Items!$O$6:$O$676)),Items!N20)),"")</f>
        <v>1x6mm2 RV-K 0.6/1KV Yellow/Green Earth Cable</v>
      </c>
      <c r="D32" s="284"/>
      <c r="E32" s="284"/>
      <c r="F32" s="284"/>
      <c r="G32" s="284"/>
      <c r="H32" s="284"/>
      <c r="I32" s="284"/>
      <c r="J32" s="285">
        <f>IF('Customer Base'!I$12="DISPLAY TAX",IF('Customer Base'!$I$17="Retail",IF($K$14="USD",IF(ISNA(VLOOKUP(C32,Items!C$6:F$598,4,0)),"",(VLOOKUP(C32,Items!C$6:F$598,4,0))),IF($K$14="GH₵",IF(ISNA(VLOOKUP(C32,Items!C$6:G$598,5,0)),"",(VLOOKUP(C32,Items!C$6:G$598,5,0))),"")),IF('Customer Base'!$I$17="Super Dealer",IF($K$14="USD",IF(ISNA(VLOOKUP(C32,Items!C$6:I$598,6,0)),"",(VLOOKUP(C32,Items!C$6:I$598,6,0))),IF($K$14="GH₵",IF(ISNA(VLOOKUP(C32,Items!C$6:I$598,7,0)),"",(VLOOKUP(C32,Items!C$6:I$598,7,0))),"")),"")),IF('Customer Base'!I$12="DO NOT DISPLAY TAX",IF('Customer Base'!$I$17="Retail",IF($K$14="USD",IF(ISNA(VLOOKUP(C32,Items!C$6:F$598,2,0)),"",(VLOOKUP(C32,Items!C$6:F$598,2,0))),IF($K$14="GH₵",IF(ISNA(VLOOKUP(C32,Items!C$6:G$598,2,0)),"",'Customer Base'!J$5*(VLOOKUP(C32,Items!C$6:G$598,2,0))),"")),IF('Customer Base'!$I$17="Super Dealer",IF($K$14="USD",IF(ISNA(VLOOKUP(C32,Items!C$6:I$598,3,0)),"",(VLOOKUP(C32,Items!C$6:I$598,3,0))),IF($K$14="GH₵",IF(ISNA(VLOOKUP(C32,Items!C$6:I$598,3,0)),"",'Customer Base'!J$5*(VLOOKUP(C32,Items!C$6:I$598,3,0))),"")),"")),""))</f>
        <v>36.74</v>
      </c>
      <c r="K32" s="282">
        <f t="shared" si="0"/>
        <v>1102.2</v>
      </c>
      <c r="L32" s="49"/>
      <c r="M32" s="48"/>
      <c r="N32" s="48"/>
      <c r="O32" s="48"/>
      <c r="P32" s="48"/>
      <c r="Q32" s="48"/>
      <c r="R32" s="48"/>
    </row>
    <row r="33" spans="1:18" ht="16" customHeight="1">
      <c r="A33" s="1"/>
      <c r="B33" s="294">
        <f t="array" ref="B33">IF('Customer Base'!$I$15="MANUAL",IFERROR(INDEX(Items!B$6:B$679,SMALL(IF(Items!B$6:B$679&lt;&gt;"",ROW(Items!B$6:B$679)-MIN(ROW(Items!B$6:B$679))+1),Items!N21)),""),IF('Customer Base'!$I$15="AUTOMATE",IFERROR(INDEX(Items!A$6:A$679,SMALL(IF(Items!A$6:A$679&lt;&gt;"",ROW(Items!A$6:A$679)-MIN(ROW(Items!A$6:A$679))+1),Items!N21)),""),""))</f>
        <v>1</v>
      </c>
      <c r="C33" s="279" t="str">
        <f t="array" ref="C33">IFERROR(INDEX(Items!O:O,SMALL(IF(Items!$O$6:$O$676&lt;&gt;"",ROW(Items!$O$6:$O$676)),Items!N21)),"")</f>
        <v>Victron VE.Can to CAN-bus BMS type B Cable 1.8m</v>
      </c>
      <c r="D33" s="284"/>
      <c r="E33" s="284"/>
      <c r="F33" s="284"/>
      <c r="G33" s="284"/>
      <c r="H33" s="284"/>
      <c r="I33" s="284"/>
      <c r="J33" s="285">
        <f>IF('Customer Base'!I$12="DISPLAY TAX",IF('Customer Base'!$I$17="Retail",IF($K$14="USD",IF(ISNA(VLOOKUP(C33,Items!C$6:F$598,4,0)),"",(VLOOKUP(C33,Items!C$6:F$598,4,0))),IF($K$14="GH₵",IF(ISNA(VLOOKUP(C33,Items!C$6:G$598,5,0)),"",(VLOOKUP(C33,Items!C$6:G$598,5,0))),"")),IF('Customer Base'!$I$17="Super Dealer",IF($K$14="USD",IF(ISNA(VLOOKUP(C33,Items!C$6:I$598,6,0)),"",(VLOOKUP(C33,Items!C$6:I$598,6,0))),IF($K$14="GH₵",IF(ISNA(VLOOKUP(C33,Items!C$6:I$598,7,0)),"",(VLOOKUP(C33,Items!C$6:I$598,7,0))),"")),"")),IF('Customer Base'!I$12="DO NOT DISPLAY TAX",IF('Customer Base'!$I$17="Retail",IF($K$14="USD",IF(ISNA(VLOOKUP(C33,Items!C$6:F$598,2,0)),"",(VLOOKUP(C33,Items!C$6:F$598,2,0))),IF($K$14="GH₵",IF(ISNA(VLOOKUP(C33,Items!C$6:G$598,2,0)),"",'Customer Base'!J$5*(VLOOKUP(C33,Items!C$6:G$598,2,0))),"")),IF('Customer Base'!$I$17="Super Dealer",IF($K$14="USD",IF(ISNA(VLOOKUP(C33,Items!C$6:I$598,3,0)),"",(VLOOKUP(C33,Items!C$6:I$598,3,0))),IF($K$14="GH₵",IF(ISNA(VLOOKUP(C33,Items!C$6:I$598,3,0)),"",'Customer Base'!J$5*(VLOOKUP(C33,Items!C$6:I$598,3,0))),"")),"")),""))</f>
        <v>291.916</v>
      </c>
      <c r="K33" s="282">
        <f t="shared" si="0"/>
        <v>291.916</v>
      </c>
      <c r="L33" s="49"/>
      <c r="M33" s="48"/>
      <c r="N33" s="48"/>
      <c r="O33" s="48"/>
      <c r="P33" s="48"/>
      <c r="Q33" s="48"/>
      <c r="R33" s="48"/>
    </row>
    <row r="34" spans="1:18" ht="16" customHeight="1">
      <c r="A34" s="1"/>
      <c r="B34" s="294">
        <f t="array" ref="B34">IF('Customer Base'!$I$15="MANUAL",IFERROR(INDEX(Items!B$6:B$679,SMALL(IF(Items!B$6:B$679&lt;&gt;"",ROW(Items!B$6:B$679)-MIN(ROW(Items!B$6:B$679))+1),Items!N22)),""),IF('Customer Base'!$I$15="AUTOMATE",IFERROR(INDEX(Items!A$6:A$679,SMALL(IF(Items!A$6:A$679&lt;&gt;"",ROW(Items!A$6:A$679)-MIN(ROW(Items!A$6:A$679))+1),Items!N22)),""),""))</f>
        <v>1</v>
      </c>
      <c r="C34" s="279" t="str">
        <f t="array" ref="C34">IFERROR(INDEX(Items!O:O,SMALL(IF(Items!$O$6:$O$676&lt;&gt;"",ROW(Items!$O$6:$O$676)),Items!N22)),"")</f>
        <v>63A Manual Transfer Switch</v>
      </c>
      <c r="D34" s="284"/>
      <c r="E34" s="284"/>
      <c r="F34" s="284"/>
      <c r="G34" s="284"/>
      <c r="H34" s="284"/>
      <c r="I34" s="284"/>
      <c r="J34" s="285">
        <f>IF('Customer Base'!I$12="DISPLAY TAX",IF('Customer Base'!$I$17="Retail",IF($K$14="USD",IF(ISNA(VLOOKUP(C34,Items!C$6:F$598,4,0)),"",(VLOOKUP(C34,Items!C$6:F$598,4,0))),IF($K$14="GH₵",IF(ISNA(VLOOKUP(C34,Items!C$6:G$598,5,0)),"",(VLOOKUP(C34,Items!C$6:G$598,5,0))),"")),IF('Customer Base'!$I$17="Super Dealer",IF($K$14="USD",IF(ISNA(VLOOKUP(C34,Items!C$6:I$598,6,0)),"",(VLOOKUP(C34,Items!C$6:I$598,6,0))),IF($K$14="GH₵",IF(ISNA(VLOOKUP(C34,Items!C$6:I$598,7,0)),"",(VLOOKUP(C34,Items!C$6:I$598,7,0))),"")),"")),IF('Customer Base'!I$12="DO NOT DISPLAY TAX",IF('Customer Base'!$I$17="Retail",IF($K$14="USD",IF(ISNA(VLOOKUP(C34,Items!C$6:F$598,2,0)),"",(VLOOKUP(C34,Items!C$6:F$598,2,0))),IF($K$14="GH₵",IF(ISNA(VLOOKUP(C34,Items!C$6:G$598,2,0)),"",'Customer Base'!J$5*(VLOOKUP(C34,Items!C$6:G$598,2,0))),"")),IF('Customer Base'!$I$17="Super Dealer",IF($K$14="USD",IF(ISNA(VLOOKUP(C34,Items!C$6:I$598,3,0)),"",(VLOOKUP(C34,Items!C$6:I$598,3,0))),IF($K$14="GH₵",IF(ISNA(VLOOKUP(C34,Items!C$6:I$598,3,0)),"",'Customer Base'!J$5*(VLOOKUP(C34,Items!C$6:I$598,3,0))),"")),"")),""))</f>
        <v>1177.684</v>
      </c>
      <c r="K34" s="282">
        <f t="shared" si="0"/>
        <v>1177.684</v>
      </c>
      <c r="L34" s="49"/>
      <c r="M34" s="48"/>
      <c r="N34" s="48"/>
      <c r="O34" s="48"/>
      <c r="P34" s="48"/>
      <c r="Q34" s="48"/>
      <c r="R34" s="48"/>
    </row>
    <row r="35" spans="1:18" ht="16" customHeight="1">
      <c r="A35" s="1"/>
      <c r="B35" s="294">
        <f t="array" ref="B35">IF('Customer Base'!$I$15="MANUAL",IFERROR(INDEX(Items!B$6:B$679,SMALL(IF(Items!B$6:B$679&lt;&gt;"",ROW(Items!B$6:B$679)-MIN(ROW(Items!B$6:B$679))+1),Items!N23)),""),IF('Customer Base'!$I$15="AUTOMATE",IFERROR(INDEX(Items!A$6:A$679,SMALL(IF(Items!A$6:A$679&lt;&gt;"",ROW(Items!A$6:A$679)-MIN(ROW(Items!A$6:A$679))+1),Items!N23)),""),""))</f>
        <v>2</v>
      </c>
      <c r="C35" s="279" t="str">
        <f t="array" ref="C35">IFERROR(INDEX(Items!O:O,SMALL(IF(Items!$O$6:$O$676&lt;&gt;"",ROW(Items!$O$6:$O$676)),Items!N23)),"")</f>
        <v>32A 2-Pole AC Circuit Breaker</v>
      </c>
      <c r="D35" s="284"/>
      <c r="E35" s="284"/>
      <c r="F35" s="284"/>
      <c r="G35" s="284"/>
      <c r="H35" s="284"/>
      <c r="I35" s="284"/>
      <c r="J35" s="285">
        <f>IF('Customer Base'!I$12="DISPLAY TAX",IF('Customer Base'!$I$17="Retail",IF($K$14="USD",IF(ISNA(VLOOKUP(C35,Items!C$6:F$598,4,0)),"",(VLOOKUP(C35,Items!C$6:F$598,4,0))),IF($K$14="GH₵",IF(ISNA(VLOOKUP(C35,Items!C$6:G$598,5,0)),"",(VLOOKUP(C35,Items!C$6:G$598,5,0))),"")),IF('Customer Base'!$I$17="Super Dealer",IF($K$14="USD",IF(ISNA(VLOOKUP(C35,Items!C$6:I$598,6,0)),"",(VLOOKUP(C35,Items!C$6:I$598,6,0))),IF($K$14="GH₵",IF(ISNA(VLOOKUP(C35,Items!C$6:I$598,7,0)),"",(VLOOKUP(C35,Items!C$6:I$598,7,0))),"")),"")),IF('Customer Base'!I$12="DO NOT DISPLAY TAX",IF('Customer Base'!$I$17="Retail",IF($K$14="USD",IF(ISNA(VLOOKUP(C35,Items!C$6:F$598,2,0)),"",(VLOOKUP(C35,Items!C$6:F$598,2,0))),IF($K$14="GH₵",IF(ISNA(VLOOKUP(C35,Items!C$6:G$598,2,0)),"",'Customer Base'!J$5*(VLOOKUP(C35,Items!C$6:G$598,2,0))),"")),IF('Customer Base'!$I$17="Super Dealer",IF($K$14="USD",IF(ISNA(VLOOKUP(C35,Items!C$6:I$598,3,0)),"",(VLOOKUP(C35,Items!C$6:I$598,3,0))),IF($K$14="GH₵",IF(ISNA(VLOOKUP(C35,Items!C$6:I$598,3,0)),"",'Customer Base'!J$5*(VLOOKUP(C35,Items!C$6:I$598,3,0))),"")),"")),""))</f>
        <v>818.3</v>
      </c>
      <c r="K35" s="282">
        <f t="shared" si="0"/>
        <v>1636.6</v>
      </c>
      <c r="L35" s="49"/>
      <c r="M35" s="48"/>
      <c r="N35" s="48"/>
      <c r="O35" s="48"/>
      <c r="P35" s="48"/>
      <c r="Q35" s="48"/>
      <c r="R35" s="48"/>
    </row>
    <row r="36" spans="1:18" ht="16" customHeight="1">
      <c r="A36" s="1"/>
      <c r="B36" s="294">
        <f t="array" ref="B36">IF('Customer Base'!$I$15="MANUAL",IFERROR(INDEX(Items!B$6:B$679,SMALL(IF(Items!B$6:B$679&lt;&gt;"",ROW(Items!B$6:B$679)-MIN(ROW(Items!B$6:B$679))+1),Items!N24)),""),IF('Customer Base'!$I$15="AUTOMATE",IFERROR(INDEX(Items!A$6:A$679,SMALL(IF(Items!A$6:A$679&lt;&gt;"",ROW(Items!A$6:A$679)-MIN(ROW(Items!A$6:A$679))+1),Items!N24)),""),""))</f>
        <v>3</v>
      </c>
      <c r="C36" s="279" t="str">
        <f t="array" ref="C36">IFERROR(INDEX(Items!O:O,SMALL(IF(Items!$O$6:$O$676&lt;&gt;"",ROW(Items!$O$6:$O$676)),Items!N24)),"")</f>
        <v>Victron MC4 Solar connector pair MC4, 1x Male/1x Female</v>
      </c>
      <c r="D36" s="284"/>
      <c r="E36" s="284"/>
      <c r="F36" s="284"/>
      <c r="G36" s="284"/>
      <c r="H36" s="284"/>
      <c r="I36" s="284"/>
      <c r="J36" s="285">
        <f>IF('Customer Base'!I$12="DISPLAY TAX",IF('Customer Base'!$I$17="Retail",IF($K$14="USD",IF(ISNA(VLOOKUP(C36,Items!C$6:F$598,4,0)),"",(VLOOKUP(C36,Items!C$6:F$598,4,0))),IF($K$14="GH₵",IF(ISNA(VLOOKUP(C36,Items!C$6:G$598,5,0)),"",(VLOOKUP(C36,Items!C$6:G$598,5,0))),"")),IF('Customer Base'!$I$17="Super Dealer",IF($K$14="USD",IF(ISNA(VLOOKUP(C36,Items!C$6:I$598,6,0)),"",(VLOOKUP(C36,Items!C$6:I$598,6,0))),IF($K$14="GH₵",IF(ISNA(VLOOKUP(C36,Items!C$6:I$598,7,0)),"",(VLOOKUP(C36,Items!C$6:I$598,7,0))),"")),"")),IF('Customer Base'!I$12="DO NOT DISPLAY TAX",IF('Customer Base'!$I$17="Retail",IF($K$14="USD",IF(ISNA(VLOOKUP(C36,Items!C$6:F$598,2,0)),"",(VLOOKUP(C36,Items!C$6:F$598,2,0))),IF($K$14="GH₵",IF(ISNA(VLOOKUP(C36,Items!C$6:G$598,2,0)),"",'Customer Base'!J$5*(VLOOKUP(C36,Items!C$6:G$598,2,0))),"")),IF('Customer Base'!$I$17="Super Dealer",IF($K$14="USD",IF(ISNA(VLOOKUP(C36,Items!C$6:I$598,3,0)),"",(VLOOKUP(C36,Items!C$6:I$598,3,0))),IF($K$14="GH₵",IF(ISNA(VLOOKUP(C36,Items!C$6:I$598,3,0)),"",'Customer Base'!J$5*(VLOOKUP(C36,Items!C$6:I$598,3,0))),"")),"")),""))</f>
        <v>150.80099999999999</v>
      </c>
      <c r="K36" s="282">
        <f t="shared" si="0"/>
        <v>452.40299999999996</v>
      </c>
      <c r="L36" s="49"/>
      <c r="M36" s="48"/>
      <c r="N36" s="48"/>
      <c r="O36" s="48"/>
      <c r="P36" s="48"/>
      <c r="Q36" s="48"/>
      <c r="R36" s="48"/>
    </row>
    <row r="37" spans="1:18" ht="16" customHeight="1">
      <c r="A37" s="1"/>
      <c r="B37" s="294">
        <f t="array" ref="B37">IF('Customer Base'!$I$15="MANUAL",IFERROR(INDEX(Items!B$6:B$679,SMALL(IF(Items!B$6:B$679&lt;&gt;"",ROW(Items!B$6:B$679)-MIN(ROW(Items!B$6:B$679))+1),Items!N25)),""),IF('Customer Base'!$I$15="AUTOMATE",IFERROR(INDEX(Items!A$6:A$679,SMALL(IF(Items!A$6:A$679&lt;&gt;"",ROW(Items!A$6:A$679)-MIN(ROW(Items!A$6:A$679))+1),Items!N25)),""),""))</f>
        <v>1</v>
      </c>
      <c r="C37" s="279" t="str">
        <f t="array" ref="C37">IFERROR(INDEX(Items!O:O,SMALL(IF(Items!$O$6:$O$676&lt;&gt;"",ROW(Items!$O$6:$O$676)),Items!N25)),"")</f>
        <v>50x200mm Enclosure with Dinrail</v>
      </c>
      <c r="D37" s="284"/>
      <c r="E37" s="284"/>
      <c r="F37" s="284"/>
      <c r="G37" s="284"/>
      <c r="H37" s="284"/>
      <c r="I37" s="284"/>
      <c r="J37" s="285">
        <f>IF('Customer Base'!I$12="DISPLAY TAX",IF('Customer Base'!$I$17="Retail",IF($K$14="USD",IF(ISNA(VLOOKUP(C37,Items!C$6:F$598,4,0)),"",(VLOOKUP(C37,Items!C$6:F$598,4,0))),IF($K$14="GH₵",IF(ISNA(VLOOKUP(C37,Items!C$6:G$598,5,0)),"",(VLOOKUP(C37,Items!C$6:G$598,5,0))),"")),IF('Customer Base'!$I$17="Super Dealer",IF($K$14="USD",IF(ISNA(VLOOKUP(C37,Items!C$6:I$598,6,0)),"",(VLOOKUP(C37,Items!C$6:I$598,6,0))),IF($K$14="GH₵",IF(ISNA(VLOOKUP(C37,Items!C$6:I$598,7,0)),"",(VLOOKUP(C37,Items!C$6:I$598,7,0))),"")),"")),IF('Customer Base'!I$12="DO NOT DISPLAY TAX",IF('Customer Base'!$I$17="Retail",IF($K$14="USD",IF(ISNA(VLOOKUP(C37,Items!C$6:F$598,2,0)),"",(VLOOKUP(C37,Items!C$6:F$598,2,0))),IF($K$14="GH₵",IF(ISNA(VLOOKUP(C37,Items!C$6:G$598,2,0)),"",'Customer Base'!J$5*(VLOOKUP(C37,Items!C$6:G$598,2,0))),"")),IF('Customer Base'!$I$17="Super Dealer",IF($K$14="USD",IF(ISNA(VLOOKUP(C37,Items!C$6:I$598,3,0)),"",(VLOOKUP(C37,Items!C$6:I$598,3,0))),IF($K$14="GH₵",IF(ISNA(VLOOKUP(C37,Items!C$6:I$598,3,0)),"",'Customer Base'!J$5*(VLOOKUP(C37,Items!C$6:I$598,3,0))),"")),"")),""))</f>
        <v>283.05084745757898</v>
      </c>
      <c r="K37" s="282">
        <f t="shared" si="0"/>
        <v>283.05084745757898</v>
      </c>
      <c r="L37" s="49"/>
      <c r="M37" s="48"/>
      <c r="N37" s="48"/>
      <c r="O37" s="48"/>
      <c r="P37" s="48"/>
      <c r="Q37" s="48"/>
      <c r="R37" s="48"/>
    </row>
    <row r="38" spans="1:18" ht="16" customHeight="1">
      <c r="A38" s="1"/>
      <c r="B38" s="294">
        <f t="array" ref="B38">IF('Customer Base'!$I$15="MANUAL",IFERROR(INDEX(Items!B$6:B$679,SMALL(IF(Items!B$6:B$679&lt;&gt;"",ROW(Items!B$6:B$679)-MIN(ROW(Items!B$6:B$679))+1),Items!N26)),""),IF('Customer Base'!$I$15="AUTOMATE",IFERROR(INDEX(Items!A$6:A$679,SMALL(IF(Items!A$6:A$679&lt;&gt;"",ROW(Items!A$6:A$679)-MIN(ROW(Items!A$6:A$679))+1),Items!N26)),""),""))</f>
        <v>2.5</v>
      </c>
      <c r="C38" s="279" t="str">
        <f t="array" ref="C38">IFERROR(INDEX(Items!O:O,SMALL(IF(Items!$O$6:$O$676&lt;&gt;"",ROW(Items!$O$6:$O$676)),Items!N26)),"")</f>
        <v>Mounting Structure for Metal/ Tile Roof (per set of 4 panels) - 4.64 meter</v>
      </c>
      <c r="D38" s="284"/>
      <c r="E38" s="284"/>
      <c r="F38" s="284"/>
      <c r="G38" s="284"/>
      <c r="H38" s="284"/>
      <c r="I38" s="284"/>
      <c r="J38" s="285">
        <f>IF('Customer Base'!I$12="DISPLAY TAX",IF('Customer Base'!$I$17="Retail",IF($K$14="USD",IF(ISNA(VLOOKUP(C38,Items!C$6:F$598,4,0)),"",(VLOOKUP(C38,Items!C$6:F$598,4,0))),IF($K$14="GH₵",IF(ISNA(VLOOKUP(C38,Items!C$6:G$598,5,0)),"",(VLOOKUP(C38,Items!C$6:G$598,5,0))),"")),IF('Customer Base'!$I$17="Super Dealer",IF($K$14="USD",IF(ISNA(VLOOKUP(C38,Items!C$6:I$598,6,0)),"",(VLOOKUP(C38,Items!C$6:I$598,6,0))),IF($K$14="GH₵",IF(ISNA(VLOOKUP(C38,Items!C$6:I$598,7,0)),"",(VLOOKUP(C38,Items!C$6:I$598,7,0))),"")),"")),IF('Customer Base'!I$12="DO NOT DISPLAY TAX",IF('Customer Base'!$I$17="Retail",IF($K$14="USD",IF(ISNA(VLOOKUP(C38,Items!C$6:F$598,2,0)),"",(VLOOKUP(C38,Items!C$6:F$598,2,0))),IF($K$14="GH₵",IF(ISNA(VLOOKUP(C38,Items!C$6:G$598,2,0)),"",'Customer Base'!J$5*(VLOOKUP(C38,Items!C$6:G$598,2,0))),"")),IF('Customer Base'!$I$17="Super Dealer",IF($K$14="USD",IF(ISNA(VLOOKUP(C38,Items!C$6:I$598,3,0)),"",(VLOOKUP(C38,Items!C$6:I$598,3,0))),IF($K$14="GH₵",IF(ISNA(VLOOKUP(C38,Items!C$6:I$598,3,0)),"",'Customer Base'!J$5*(VLOOKUP(C38,Items!C$6:I$598,3,0))),"")),"")),""))</f>
        <v>1436.2</v>
      </c>
      <c r="K38" s="282">
        <f t="shared" si="0"/>
        <v>3590.5</v>
      </c>
      <c r="L38" s="49"/>
      <c r="M38" s="48"/>
      <c r="N38" s="48"/>
      <c r="O38" s="48"/>
      <c r="P38" s="48"/>
      <c r="Q38" s="48"/>
      <c r="R38" s="48"/>
    </row>
    <row r="39" spans="1:18" ht="16" customHeight="1">
      <c r="A39" s="1"/>
      <c r="B39" s="294">
        <f t="array" ref="B39">IF('Customer Base'!$I$15="MANUAL",IFERROR(INDEX(Items!B$6:B$679,SMALL(IF(Items!B$6:B$679&lt;&gt;"",ROW(Items!B$6:B$679)-MIN(ROW(Items!B$6:B$679))+1),Items!N27)),""),IF('Customer Base'!$I$15="AUTOMATE",IFERROR(INDEX(Items!A$6:A$679,SMALL(IF(Items!A$6:A$679&lt;&gt;"",ROW(Items!A$6:A$679)-MIN(ROW(Items!A$6:A$679))+1),Items!N27)),""),""))</f>
        <v>1</v>
      </c>
      <c r="C39" s="279" t="str">
        <f t="array" ref="C39">IFERROR(INDEX(Items!O:O,SMALL(IF(Items!$O$6:$O$676&lt;&gt;"",ROW(Items!$O$6:$O$676)),Items!N27)),"")</f>
        <v>PVC Pipes, Trunking, Cable Lugs and Assessories</v>
      </c>
      <c r="D39" s="284"/>
      <c r="E39" s="284"/>
      <c r="F39" s="284"/>
      <c r="G39" s="284"/>
      <c r="H39" s="284"/>
      <c r="I39" s="284"/>
      <c r="J39" s="285">
        <f>IF('Customer Base'!I$12="DISPLAY TAX",IF('Customer Base'!$I$17="Retail",IF($K$14="USD",IF(ISNA(VLOOKUP(C39,Items!C$6:F$598,4,0)),"",(VLOOKUP(C39,Items!C$6:F$598,4,0))),IF($K$14="GH₵",IF(ISNA(VLOOKUP(C39,Items!C$6:G$598,5,0)),"",(VLOOKUP(C39,Items!C$6:G$598,5,0))),"")),IF('Customer Base'!$I$17="Super Dealer",IF($K$14="USD",IF(ISNA(VLOOKUP(C39,Items!C$6:I$598,6,0)),"",(VLOOKUP(C39,Items!C$6:I$598,6,0))),IF($K$14="GH₵",IF(ISNA(VLOOKUP(C39,Items!C$6:I$598,7,0)),"",(VLOOKUP(C39,Items!C$6:I$598,7,0))),"")),"")),IF('Customer Base'!I$12="DO NOT DISPLAY TAX",IF('Customer Base'!$I$17="Retail",IF($K$14="USD",IF(ISNA(VLOOKUP(C39,Items!C$6:F$598,2,0)),"",(VLOOKUP(C39,Items!C$6:F$598,2,0))),IF($K$14="GH₵",IF(ISNA(VLOOKUP(C39,Items!C$6:G$598,2,0)),"",'Customer Base'!J$5*(VLOOKUP(C39,Items!C$6:G$598,2,0))),"")),IF('Customer Base'!$I$17="Super Dealer",IF($K$14="USD",IF(ISNA(VLOOKUP(C39,Items!C$6:I$598,3,0)),"",(VLOOKUP(C39,Items!C$6:I$598,3,0))),IF($K$14="GH₵",IF(ISNA(VLOOKUP(C39,Items!C$6:I$598,3,0)),"",'Customer Base'!J$5*(VLOOKUP(C39,Items!C$6:I$598,3,0))),"")),"")),""))</f>
        <v>597.86</v>
      </c>
      <c r="K39" s="282">
        <f t="shared" si="0"/>
        <v>597.86</v>
      </c>
      <c r="L39" s="49"/>
      <c r="M39" s="48"/>
      <c r="N39" s="48"/>
      <c r="O39" s="48"/>
      <c r="P39" s="48"/>
      <c r="Q39" s="48"/>
      <c r="R39" s="48"/>
    </row>
    <row r="40" spans="1:18" ht="16" customHeight="1">
      <c r="A40" s="1"/>
      <c r="B40" s="294">
        <f t="array" ref="B40">IF('Customer Base'!$I$15="MANUAL",IFERROR(INDEX(Items!B$6:B$679,SMALL(IF(Items!B$6:B$679&lt;&gt;"",ROW(Items!B$6:B$679)-MIN(ROW(Items!B$6:B$679))+1),Items!N28)),""),IF('Customer Base'!$I$15="AUTOMATE",IFERROR(INDEX(Items!A$6:A$679,SMALL(IF(Items!A$6:A$679&lt;&gt;"",ROW(Items!A$6:A$679)-MIN(ROW(Items!A$6:A$679))+1),Items!N28)),""),""))</f>
        <v>1</v>
      </c>
      <c r="C40" s="279" t="str">
        <f t="array" ref="C40">IFERROR(INDEX(Items!O:O,SMALL(IF(Items!$O$6:$O$676&lt;&gt;"",ROW(Items!$O$6:$O$676)),Items!N28)),"")</f>
        <v>Transportation Expenses</v>
      </c>
      <c r="D40" s="284"/>
      <c r="E40" s="284"/>
      <c r="F40" s="284"/>
      <c r="G40" s="284"/>
      <c r="H40" s="284"/>
      <c r="I40" s="284"/>
      <c r="J40" s="285">
        <f>IF('Customer Base'!I$12="DISPLAY TAX",IF('Customer Base'!$I$17="Retail",IF($K$14="USD",IF(ISNA(VLOOKUP(C40,Items!C$6:F$598,4,0)),"",(VLOOKUP(C40,Items!C$6:F$598,4,0))),IF($K$14="GH₵",IF(ISNA(VLOOKUP(C40,Items!C$6:G$598,5,0)),"",(VLOOKUP(C40,Items!C$6:G$598,5,0))),"")),IF('Customer Base'!$I$17="Super Dealer",IF($K$14="USD",IF(ISNA(VLOOKUP(C40,Items!C$6:I$598,6,0)),"",(VLOOKUP(C40,Items!C$6:I$598,6,0))),IF($K$14="GH₵",IF(ISNA(VLOOKUP(C40,Items!C$6:I$598,7,0)),"",(VLOOKUP(C40,Items!C$6:I$598,7,0))),"")),"")),IF('Customer Base'!I$12="DO NOT DISPLAY TAX",IF('Customer Base'!$I$17="Retail",IF($K$14="USD",IF(ISNA(VLOOKUP(C40,Items!C$6:F$598,2,0)),"",(VLOOKUP(C40,Items!C$6:F$598,2,0))),IF($K$14="GH₵",IF(ISNA(VLOOKUP(C40,Items!C$6:G$598,2,0)),"",'Customer Base'!J$5*(VLOOKUP(C40,Items!C$6:G$598,2,0))),"")),IF('Customer Base'!$I$17="Super Dealer",IF($K$14="USD",IF(ISNA(VLOOKUP(C40,Items!C$6:I$598,3,0)),"",(VLOOKUP(C40,Items!C$6:I$598,3,0))),IF($K$14="GH₵",IF(ISNA(VLOOKUP(C40,Items!C$6:I$598,3,0)),"",'Customer Base'!J$5*(VLOOKUP(C40,Items!C$6:I$598,3,0))),"")),"")),""))</f>
        <v>1488.2405193337499</v>
      </c>
      <c r="K40" s="282">
        <f t="shared" si="0"/>
        <v>1488.2405193337499</v>
      </c>
      <c r="L40" s="49"/>
      <c r="M40" s="48"/>
      <c r="N40" s="48"/>
      <c r="O40" s="48"/>
      <c r="P40" s="48"/>
      <c r="Q40" s="48"/>
      <c r="R40" s="48"/>
    </row>
    <row r="41" spans="1:18" ht="16" customHeight="1">
      <c r="A41" s="1"/>
      <c r="B41" s="294">
        <f t="array" ref="B41">IF('Customer Base'!$I$15="MANUAL",IFERROR(INDEX(Items!B$6:B$679,SMALL(IF(Items!B$6:B$679&lt;&gt;"",ROW(Items!B$6:B$679)-MIN(ROW(Items!B$6:B$679))+1),Items!N29)),""),IF('Customer Base'!$I$15="AUTOMATE",IFERROR(INDEX(Items!A$6:A$679,SMALL(IF(Items!A$6:A$679&lt;&gt;"",ROW(Items!A$6:A$679)-MIN(ROW(Items!A$6:A$679))+1),Items!N29)),""),""))</f>
        <v>1</v>
      </c>
      <c r="C41" s="279" t="str">
        <f t="array" ref="C41">IFERROR(INDEX(Items!O:O,SMALL(IF(Items!$O$6:$O$676&lt;&gt;"",ROW(Items!$O$6:$O$676)),Items!N29)),"")</f>
        <v>Engineering and Installation Works</v>
      </c>
      <c r="D41" s="284"/>
      <c r="E41" s="284"/>
      <c r="F41" s="284"/>
      <c r="G41" s="284"/>
      <c r="H41" s="284"/>
      <c r="I41" s="284"/>
      <c r="J41" s="285">
        <f>IF('Customer Base'!I$12="DISPLAY TAX",IF('Customer Base'!$I$17="Retail",IF($K$14="USD",IF(ISNA(VLOOKUP(C41,Items!C$6:F$598,4,0)),"",(VLOOKUP(C41,Items!C$6:F$598,4,0))),IF($K$14="GH₵",IF(ISNA(VLOOKUP(C41,Items!C$6:G$598,5,0)),"",(VLOOKUP(C41,Items!C$6:G$598,5,0))),"")),IF('Customer Base'!$I$17="Super Dealer",IF($K$14="USD",IF(ISNA(VLOOKUP(C41,Items!C$6:I$598,6,0)),"",(VLOOKUP(C41,Items!C$6:I$598,6,0))),IF($K$14="GH₵",IF(ISNA(VLOOKUP(C41,Items!C$6:I$598,7,0)),"",(VLOOKUP(C41,Items!C$6:I$598,7,0))),"")),"")),IF('Customer Base'!I$12="DO NOT DISPLAY TAX",IF('Customer Base'!$I$17="Retail",IF($K$14="USD",IF(ISNA(VLOOKUP(C41,Items!C$6:F$598,2,0)),"",(VLOOKUP(C41,Items!C$6:F$598,2,0))),IF($K$14="GH₵",IF(ISNA(VLOOKUP(C41,Items!C$6:G$598,2,0)),"",'Customer Base'!J$5*(VLOOKUP(C41,Items!C$6:G$598,2,0))),"")),IF('Customer Base'!$I$17="Super Dealer",IF($K$14="USD",IF(ISNA(VLOOKUP(C41,Items!C$6:I$598,3,0)),"",(VLOOKUP(C41,Items!C$6:I$598,3,0))),IF($K$14="GH₵",IF(ISNA(VLOOKUP(C41,Items!C$6:I$598,3,0)),"",'Customer Base'!J$5*(VLOOKUP(C41,Items!C$6:I$598,3,0))),"")),"")),""))</f>
        <v>2499.9899999999998</v>
      </c>
      <c r="K41" s="282">
        <f t="shared" si="0"/>
        <v>2499.9899999999998</v>
      </c>
      <c r="L41" s="49"/>
      <c r="M41" s="48"/>
      <c r="N41" s="48"/>
      <c r="O41" s="48"/>
      <c r="P41" s="48"/>
      <c r="Q41" s="48"/>
      <c r="R41" s="48"/>
    </row>
    <row r="42" spans="1:18" ht="16" customHeight="1">
      <c r="A42" s="1"/>
      <c r="B42" s="294" t="str">
        <f t="array" ref="B42">IF('Customer Base'!$I$15="MANUAL",IFERROR(INDEX(Items!B$6:B$679,SMALL(IF(Items!B$6:B$679&lt;&gt;"",ROW(Items!B$6:B$679)-MIN(ROW(Items!B$6:B$679))+1),Items!N30)),""),IF('Customer Base'!$I$15="AUTOMATE",IFERROR(INDEX(Items!A$6:A$679,SMALL(IF(Items!A$6:A$679&lt;&gt;"",ROW(Items!A$6:A$679)-MIN(ROW(Items!A$6:A$679))+1),Items!N30)),""),""))</f>
        <v/>
      </c>
      <c r="C42" s="279" t="str">
        <f t="array" ref="C42">IFERROR(INDEX(Items!O:O,SMALL(IF(Items!$O$6:$O$676&lt;&gt;"",ROW(Items!$O$6:$O$676)),Items!N30)),"")</f>
        <v/>
      </c>
      <c r="D42" s="284"/>
      <c r="E42" s="284"/>
      <c r="F42" s="284"/>
      <c r="G42" s="284"/>
      <c r="H42" s="284"/>
      <c r="I42" s="284"/>
      <c r="J42" s="285" t="str">
        <f>IF('Customer Base'!I$12="DISPLAY TAX",IF('Customer Base'!$I$17="Retail",IF($K$14="USD",IF(ISNA(VLOOKUP(C42,Items!C$6:F$598,4,0)),"",(VLOOKUP(C42,Items!C$6:F$598,4,0))),IF($K$14="GH₵",IF(ISNA(VLOOKUP(C42,Items!C$6:G$598,5,0)),"",(VLOOKUP(C42,Items!C$6:G$598,5,0))),"")),IF('Customer Base'!$I$17="Super Dealer",IF($K$14="USD",IF(ISNA(VLOOKUP(C42,Items!C$6:I$598,6,0)),"",(VLOOKUP(C42,Items!C$6:I$598,6,0))),IF($K$14="GH₵",IF(ISNA(VLOOKUP(C42,Items!C$6:I$598,7,0)),"",(VLOOKUP(C42,Items!C$6:I$598,7,0))),"")),"")),IF('Customer Base'!I$12="DO NOT DISPLAY TAX",IF('Customer Base'!$I$17="Retail",IF($K$14="USD",IF(ISNA(VLOOKUP(C42,Items!C$6:F$598,2,0)),"",(VLOOKUP(C42,Items!C$6:F$598,2,0))),IF($K$14="GH₵",IF(ISNA(VLOOKUP(C42,Items!C$6:G$598,2,0)),"",'Customer Base'!J$5*(VLOOKUP(C42,Items!C$6:G$598,2,0))),"")),IF('Customer Base'!$I$17="Super Dealer",IF($K$14="USD",IF(ISNA(VLOOKUP(C42,Items!C$6:I$598,3,0)),"",(VLOOKUP(C42,Items!C$6:I$598,3,0))),IF($K$14="GH₵",IF(ISNA(VLOOKUP(C42,Items!C$6:I$598,3,0)),"",'Customer Base'!J$5*(VLOOKUP(C42,Items!C$6:I$598,3,0))),"")),"")),""))</f>
        <v/>
      </c>
      <c r="K42" s="282" t="str">
        <f t="shared" si="0"/>
        <v/>
      </c>
      <c r="L42" s="49"/>
      <c r="M42" s="48"/>
      <c r="N42" s="48"/>
      <c r="O42" s="48"/>
      <c r="P42" s="48"/>
      <c r="Q42" s="48"/>
      <c r="R42" s="48"/>
    </row>
    <row r="43" spans="1:18" ht="16" customHeight="1">
      <c r="A43" s="1"/>
      <c r="B43" s="294" t="str">
        <f t="array" ref="B43">IF('Customer Base'!$I$15="MANUAL",IFERROR(INDEX(Items!B$6:B$679,SMALL(IF(Items!B$6:B$679&lt;&gt;"",ROW(Items!B$6:B$679)-MIN(ROW(Items!B$6:B$679))+1),Items!N31)),""),IF('Customer Base'!$I$15="AUTOMATE",IFERROR(INDEX(Items!A$6:A$679,SMALL(IF(Items!A$6:A$679&lt;&gt;"",ROW(Items!A$6:A$679)-MIN(ROW(Items!A$6:A$679))+1),Items!N31)),""),""))</f>
        <v/>
      </c>
      <c r="C43" s="279" t="str">
        <f t="array" ref="C43">IFERROR(INDEX(Items!O:O,SMALL(IF(Items!$O$6:$O$676&lt;&gt;"",ROW(Items!$O$6:$O$676)),Items!N31)),"")</f>
        <v/>
      </c>
      <c r="D43" s="284"/>
      <c r="E43" s="284"/>
      <c r="F43" s="284"/>
      <c r="G43" s="284"/>
      <c r="H43" s="284"/>
      <c r="I43" s="284"/>
      <c r="J43" s="285" t="str">
        <f>IF('Customer Base'!I$12="DISPLAY TAX",IF('Customer Base'!$I$17="Retail",IF($K$14="USD",IF(ISNA(VLOOKUP(C43,Items!C$6:F$598,4,0)),"",(VLOOKUP(C43,Items!C$6:F$598,4,0))),IF($K$14="GH₵",IF(ISNA(VLOOKUP(C43,Items!C$6:G$598,5,0)),"",(VLOOKUP(C43,Items!C$6:G$598,5,0))),"")),IF('Customer Base'!$I$17="Super Dealer",IF($K$14="USD",IF(ISNA(VLOOKUP(C43,Items!C$6:I$598,6,0)),"",(VLOOKUP(C43,Items!C$6:I$598,6,0))),IF($K$14="GH₵",IF(ISNA(VLOOKUP(C43,Items!C$6:I$598,7,0)),"",(VLOOKUP(C43,Items!C$6:I$598,7,0))),"")),"")),IF('Customer Base'!I$12="DO NOT DISPLAY TAX",IF('Customer Base'!$I$17="Retail",IF($K$14="USD",IF(ISNA(VLOOKUP(C43,Items!C$6:F$598,2,0)),"",(VLOOKUP(C43,Items!C$6:F$598,2,0))),IF($K$14="GH₵",IF(ISNA(VLOOKUP(C43,Items!C$6:G$598,2,0)),"",'Customer Base'!J$5*(VLOOKUP(C43,Items!C$6:G$598,2,0))),"")),IF('Customer Base'!$I$17="Super Dealer",IF($K$14="USD",IF(ISNA(VLOOKUP(C43,Items!C$6:I$598,3,0)),"",(VLOOKUP(C43,Items!C$6:I$598,3,0))),IF($K$14="GH₵",IF(ISNA(VLOOKUP(C43,Items!C$6:I$598,3,0)),"",'Customer Base'!J$5*(VLOOKUP(C43,Items!C$6:I$598,3,0))),"")),"")),""))</f>
        <v/>
      </c>
      <c r="K43" s="282" t="str">
        <f t="shared" si="0"/>
        <v/>
      </c>
      <c r="L43" s="49"/>
      <c r="M43" s="48"/>
      <c r="N43" s="48"/>
      <c r="O43" s="48"/>
      <c r="P43" s="48"/>
      <c r="Q43" s="48"/>
      <c r="R43" s="48"/>
    </row>
    <row r="44" spans="1:18" ht="16" customHeight="1">
      <c r="A44" s="1"/>
      <c r="B44" s="294" t="str">
        <f t="array" ref="B44">IF('Customer Base'!$I$15="MANUAL",IFERROR(INDEX(Items!B$6:B$679,SMALL(IF(Items!B$6:B$679&lt;&gt;"",ROW(Items!B$6:B$679)-MIN(ROW(Items!B$6:B$679))+1),Items!N32)),""),IF('Customer Base'!$I$15="AUTOMATE",IFERROR(INDEX(Items!A$6:A$679,SMALL(IF(Items!A$6:A$679&lt;&gt;"",ROW(Items!A$6:A$679)-MIN(ROW(Items!A$6:A$679))+1),Items!N32)),""),""))</f>
        <v/>
      </c>
      <c r="C44" s="279" t="str">
        <f t="array" ref="C44">IFERROR(INDEX(Items!O:O,SMALL(IF(Items!$O$6:$O$676&lt;&gt;"",ROW(Items!$O$6:$O$676)),Items!N32)),"")</f>
        <v/>
      </c>
      <c r="D44" s="284"/>
      <c r="E44" s="284"/>
      <c r="F44" s="284"/>
      <c r="G44" s="284"/>
      <c r="H44" s="284"/>
      <c r="I44" s="284"/>
      <c r="J44" s="285" t="str">
        <f>IF('Customer Base'!I$12="DISPLAY TAX",IF('Customer Base'!$I$17="Retail",IF($K$14="USD",IF(ISNA(VLOOKUP(C44,Items!C$6:F$598,4,0)),"",(VLOOKUP(C44,Items!C$6:F$598,4,0))),IF($K$14="GH₵",IF(ISNA(VLOOKUP(C44,Items!C$6:G$598,5,0)),"",(VLOOKUP(C44,Items!C$6:G$598,5,0))),"")),IF('Customer Base'!$I$17="Super Dealer",IF($K$14="USD",IF(ISNA(VLOOKUP(C44,Items!C$6:I$598,6,0)),"",(VLOOKUP(C44,Items!C$6:I$598,6,0))),IF($K$14="GH₵",IF(ISNA(VLOOKUP(C44,Items!C$6:I$598,7,0)),"",(VLOOKUP(C44,Items!C$6:I$598,7,0))),"")),"")),IF('Customer Base'!I$12="DO NOT DISPLAY TAX",IF('Customer Base'!$I$17="Retail",IF($K$14="USD",IF(ISNA(VLOOKUP(C44,Items!C$6:F$598,2,0)),"",(VLOOKUP(C44,Items!C$6:F$598,2,0))),IF($K$14="GH₵",IF(ISNA(VLOOKUP(C44,Items!C$6:G$598,2,0)),"",'Customer Base'!J$5*(VLOOKUP(C44,Items!C$6:G$598,2,0))),"")),IF('Customer Base'!$I$17="Super Dealer",IF($K$14="USD",IF(ISNA(VLOOKUP(C44,Items!C$6:I$598,3,0)),"",(VLOOKUP(C44,Items!C$6:I$598,3,0))),IF($K$14="GH₵",IF(ISNA(VLOOKUP(C44,Items!C$6:I$598,3,0)),"",'Customer Base'!J$5*(VLOOKUP(C44,Items!C$6:I$598,3,0))),"")),"")),""))</f>
        <v/>
      </c>
      <c r="K44" s="282" t="str">
        <f t="shared" si="0"/>
        <v/>
      </c>
      <c r="L44" s="49"/>
      <c r="M44" s="48"/>
      <c r="N44" s="48"/>
      <c r="O44" s="48"/>
      <c r="P44" s="48"/>
      <c r="Q44" s="48"/>
      <c r="R44" s="48"/>
    </row>
    <row r="45" spans="1:18" ht="16" customHeight="1">
      <c r="A45" s="1"/>
      <c r="B45" s="294" t="str">
        <f t="array" ref="B45">IF('Customer Base'!$I$15="MANUAL",IFERROR(INDEX(Items!B$6:B$679,SMALL(IF(Items!B$6:B$679&lt;&gt;"",ROW(Items!B$6:B$679)-MIN(ROW(Items!B$6:B$679))+1),Items!N33)),""),IF('Customer Base'!$I$15="AUTOMATE",IFERROR(INDEX(Items!A$6:A$679,SMALL(IF(Items!A$6:A$679&lt;&gt;"",ROW(Items!A$6:A$679)-MIN(ROW(Items!A$6:A$679))+1),Items!N33)),""),""))</f>
        <v/>
      </c>
      <c r="C45" s="279" t="str">
        <f t="array" ref="C45">IFERROR(INDEX(Items!O:O,SMALL(IF(Items!$O$6:$O$676&lt;&gt;"",ROW(Items!$O$6:$O$676)),Items!N33)),"")</f>
        <v/>
      </c>
      <c r="D45" s="280"/>
      <c r="E45" s="280"/>
      <c r="F45" s="280"/>
      <c r="G45" s="280"/>
      <c r="H45" s="280"/>
      <c r="I45" s="280"/>
      <c r="J45" s="285" t="str">
        <f>IF('Customer Base'!I$12="DISPLAY TAX",IF('Customer Base'!$I$17="Retail",IF($K$14="USD",IF(ISNA(VLOOKUP(C45,Items!C$6:F$598,4,0)),"",(VLOOKUP(C45,Items!C$6:F$598,4,0))),IF($K$14="GH₵",IF(ISNA(VLOOKUP(C45,Items!C$6:G$598,5,0)),"",(VLOOKUP(C45,Items!C$6:G$598,5,0))),"")),IF('Customer Base'!$I$17="Super Dealer",IF($K$14="USD",IF(ISNA(VLOOKUP(C45,Items!C$6:I$598,6,0)),"",(VLOOKUP(C45,Items!C$6:I$598,6,0))),IF($K$14="GH₵",IF(ISNA(VLOOKUP(C45,Items!C$6:I$598,7,0)),"",(VLOOKUP(C45,Items!C$6:I$598,7,0))),"")),"")),IF('Customer Base'!I$12="DO NOT DISPLAY TAX",IF('Customer Base'!$I$17="Retail",IF($K$14="USD",IF(ISNA(VLOOKUP(C45,Items!C$6:F$598,2,0)),"",(VLOOKUP(C45,Items!C$6:F$598,2,0))),IF($K$14="GH₵",IF(ISNA(VLOOKUP(C45,Items!C$6:G$598,2,0)),"",'Customer Base'!J$5*(VLOOKUP(C45,Items!C$6:G$598,2,0))),"")),IF('Customer Base'!$I$17="Super Dealer",IF($K$14="USD",IF(ISNA(VLOOKUP(C45,Items!C$6:I$598,3,0)),"",(VLOOKUP(C45,Items!C$6:I$598,3,0))),IF($K$14="GH₵",IF(ISNA(VLOOKUP(C45,Items!C$6:I$598,3,0)),"",'Customer Base'!J$5*(VLOOKUP(C45,Items!C$6:I$598,3,0))),"")),"")),""))</f>
        <v/>
      </c>
      <c r="K45" s="282" t="str">
        <f t="shared" si="0"/>
        <v/>
      </c>
      <c r="L45" s="49"/>
      <c r="M45" s="48"/>
      <c r="N45" s="48"/>
      <c r="O45" s="48"/>
      <c r="P45" s="48"/>
      <c r="Q45" s="48"/>
      <c r="R45" s="48"/>
    </row>
    <row r="46" spans="1:18" ht="16" customHeight="1">
      <c r="A46" s="1"/>
      <c r="B46" s="294" t="str">
        <f t="array" ref="B46">IF('Customer Base'!$I$15="MANUAL",IFERROR(INDEX(Items!B$6:B$679,SMALL(IF(Items!B$6:B$679&lt;&gt;"",ROW(Items!B$6:B$679)-MIN(ROW(Items!B$6:B$679))+1),Items!N34)),""),IF('Customer Base'!$I$15="AUTOMATE",IFERROR(INDEX(Items!A$6:A$679,SMALL(IF(Items!A$6:A$679&lt;&gt;"",ROW(Items!A$6:A$679)-MIN(ROW(Items!A$6:A$679))+1),Items!N34)),""),""))</f>
        <v/>
      </c>
      <c r="C46" s="279" t="str">
        <f t="array" ref="C46">IFERROR(INDEX(Items!O:O,SMALL(IF(Items!$O$6:$O$676&lt;&gt;"",ROW(Items!$O$6:$O$676)),Items!N34)),"")</f>
        <v/>
      </c>
      <c r="D46" s="280"/>
      <c r="E46" s="280"/>
      <c r="F46" s="280"/>
      <c r="G46" s="280"/>
      <c r="H46" s="280"/>
      <c r="I46" s="280"/>
      <c r="J46" s="285" t="str">
        <f>IF('Customer Base'!I$12="DISPLAY TAX",IF('Customer Base'!$I$17="Retail",IF($K$14="USD",IF(ISNA(VLOOKUP(C46,Items!C$6:F$598,4,0)),"",(VLOOKUP(C46,Items!C$6:F$598,4,0))),IF($K$14="GH₵",IF(ISNA(VLOOKUP(C46,Items!C$6:G$598,5,0)),"",(VLOOKUP(C46,Items!C$6:G$598,5,0))),"")),IF('Customer Base'!$I$17="Super Dealer",IF($K$14="USD",IF(ISNA(VLOOKUP(C46,Items!C$6:I$598,6,0)),"",(VLOOKUP(C46,Items!C$6:I$598,6,0))),IF($K$14="GH₵",IF(ISNA(VLOOKUP(C46,Items!C$6:I$598,7,0)),"",(VLOOKUP(C46,Items!C$6:I$598,7,0))),"")),"")),IF('Customer Base'!I$12="DO NOT DISPLAY TAX",IF('Customer Base'!$I$17="Retail",IF($K$14="USD",IF(ISNA(VLOOKUP(C46,Items!C$6:F$598,2,0)),"",(VLOOKUP(C46,Items!C$6:F$598,2,0))),IF($K$14="GH₵",IF(ISNA(VLOOKUP(C46,Items!C$6:G$598,2,0)),"",'Customer Base'!J$5*(VLOOKUP(C46,Items!C$6:G$598,2,0))),"")),IF('Customer Base'!$I$17="Super Dealer",IF($K$14="USD",IF(ISNA(VLOOKUP(C46,Items!C$6:I$598,3,0)),"",(VLOOKUP(C46,Items!C$6:I$598,3,0))),IF($K$14="GH₵",IF(ISNA(VLOOKUP(C46,Items!C$6:I$598,3,0)),"",'Customer Base'!J$5*(VLOOKUP(C46,Items!C$6:I$598,3,0))),"")),"")),""))</f>
        <v/>
      </c>
      <c r="K46" s="282" t="str">
        <f t="shared" si="0"/>
        <v/>
      </c>
      <c r="L46" s="49"/>
      <c r="M46" s="48"/>
      <c r="N46" s="48"/>
      <c r="O46" s="48"/>
      <c r="P46" s="48"/>
      <c r="Q46" s="48"/>
      <c r="R46" s="48"/>
    </row>
    <row r="47" spans="1:18" ht="16" customHeight="1">
      <c r="A47" s="1"/>
      <c r="B47" s="294" t="str">
        <f t="array" ref="B47">IF('Customer Base'!$I$15="MANUAL",IFERROR(INDEX(Items!B$6:B$679,SMALL(IF(Items!B$6:B$679&lt;&gt;"",ROW(Items!B$6:B$679)-MIN(ROW(Items!B$6:B$679))+1),Items!N35)),""),IF('Customer Base'!$I$15="AUTOMATE",IFERROR(INDEX(Items!A$6:A$679,SMALL(IF(Items!A$6:A$679&lt;&gt;"",ROW(Items!A$6:A$679)-MIN(ROW(Items!A$6:A$679))+1),Items!N35)),""),""))</f>
        <v/>
      </c>
      <c r="C47" s="279" t="str">
        <f t="array" ref="C47">IFERROR(INDEX(Items!O:O,SMALL(IF(Items!$O$6:$O$676&lt;&gt;"",ROW(Items!$O$6:$O$676)),Items!N35)),"")</f>
        <v/>
      </c>
      <c r="D47" s="280"/>
      <c r="E47" s="280"/>
      <c r="F47" s="280"/>
      <c r="G47" s="280"/>
      <c r="H47" s="280"/>
      <c r="I47" s="280"/>
      <c r="J47" s="285" t="str">
        <f>IF('Customer Base'!I$12="DISPLAY TAX",IF('Customer Base'!$I$17="Retail",IF($K$14="USD",IF(ISNA(VLOOKUP(C47,Items!C$6:F$598,4,0)),"",(VLOOKUP(C47,Items!C$6:F$598,4,0))),IF($K$14="GH₵",IF(ISNA(VLOOKUP(C47,Items!C$6:G$598,5,0)),"",(VLOOKUP(C47,Items!C$6:G$598,5,0))),"")),IF('Customer Base'!$I$17="Super Dealer",IF($K$14="USD",IF(ISNA(VLOOKUP(C47,Items!C$6:I$598,6,0)),"",(VLOOKUP(C47,Items!C$6:I$598,6,0))),IF($K$14="GH₵",IF(ISNA(VLOOKUP(C47,Items!C$6:I$598,7,0)),"",(VLOOKUP(C47,Items!C$6:I$598,7,0))),"")),"")),IF('Customer Base'!I$12="DO NOT DISPLAY TAX",IF('Customer Base'!$I$17="Retail",IF($K$14="USD",IF(ISNA(VLOOKUP(C47,Items!C$6:F$598,2,0)),"",(VLOOKUP(C47,Items!C$6:F$598,2,0))),IF($K$14="GH₵",IF(ISNA(VLOOKUP(C47,Items!C$6:G$598,2,0)),"",'Customer Base'!J$5*(VLOOKUP(C47,Items!C$6:G$598,2,0))),"")),IF('Customer Base'!$I$17="Super Dealer",IF($K$14="USD",IF(ISNA(VLOOKUP(C47,Items!C$6:I$598,3,0)),"",(VLOOKUP(C47,Items!C$6:I$598,3,0))),IF($K$14="GH₵",IF(ISNA(VLOOKUP(C47,Items!C$6:I$598,3,0)),"",'Customer Base'!J$5*(VLOOKUP(C47,Items!C$6:I$598,3,0))),"")),"")),""))</f>
        <v/>
      </c>
      <c r="K47" s="282" t="str">
        <f t="shared" si="0"/>
        <v/>
      </c>
      <c r="L47" s="49"/>
      <c r="M47" s="48"/>
      <c r="N47" s="48"/>
      <c r="O47" s="48"/>
      <c r="P47" s="48"/>
      <c r="Q47" s="48"/>
      <c r="R47" s="48"/>
    </row>
    <row r="48" spans="1:18" ht="16" customHeight="1">
      <c r="A48" s="1"/>
      <c r="B48" s="294" t="str">
        <f t="array" ref="B48">IF('Customer Base'!$I$15="MANUAL",IFERROR(INDEX(Items!B$6:B$679,SMALL(IF(Items!B$6:B$679&lt;&gt;"",ROW(Items!B$6:B$679)-MIN(ROW(Items!B$6:B$679))+1),Items!N36)),""),IF('Customer Base'!$I$15="AUTOMATE",IFERROR(INDEX(Items!A$6:A$679,SMALL(IF(Items!A$6:A$679&lt;&gt;"",ROW(Items!A$6:A$679)-MIN(ROW(Items!A$6:A$679))+1),Items!N36)),""),""))</f>
        <v/>
      </c>
      <c r="C48" s="279" t="str">
        <f t="array" ref="C48">IFERROR(INDEX(Items!O:O,SMALL(IF(Items!$O$6:$O$676&lt;&gt;"",ROW(Items!$O$6:$O$676)),Items!N36)),"")</f>
        <v/>
      </c>
      <c r="D48" s="280"/>
      <c r="E48" s="280"/>
      <c r="F48" s="280"/>
      <c r="G48" s="280"/>
      <c r="H48" s="280"/>
      <c r="I48" s="280"/>
      <c r="J48" s="285" t="str">
        <f>IF('Customer Base'!I$12="DISPLAY TAX",IF('Customer Base'!$I$17="Retail",IF($K$14="USD",IF(ISNA(VLOOKUP(C48,Items!C$6:F$598,4,0)),"",(VLOOKUP(C48,Items!C$6:F$598,4,0))),IF($K$14="GH₵",IF(ISNA(VLOOKUP(C48,Items!C$6:G$598,5,0)),"",(VLOOKUP(C48,Items!C$6:G$598,5,0))),"")),IF('Customer Base'!$I$17="Super Dealer",IF($K$14="USD",IF(ISNA(VLOOKUP(C48,Items!C$6:I$598,6,0)),"",(VLOOKUP(C48,Items!C$6:I$598,6,0))),IF($K$14="GH₵",IF(ISNA(VLOOKUP(C48,Items!C$6:I$598,7,0)),"",(VLOOKUP(C48,Items!C$6:I$598,7,0))),"")),"")),IF('Customer Base'!I$12="DO NOT DISPLAY TAX",IF('Customer Base'!$I$17="Retail",IF($K$14="USD",IF(ISNA(VLOOKUP(C48,Items!C$6:F$598,2,0)),"",(VLOOKUP(C48,Items!C$6:F$598,2,0))),IF($K$14="GH₵",IF(ISNA(VLOOKUP(C48,Items!C$6:G$598,2,0)),"",'Customer Base'!J$5*(VLOOKUP(C48,Items!C$6:G$598,2,0))),"")),IF('Customer Base'!$I$17="Super Dealer",IF($K$14="USD",IF(ISNA(VLOOKUP(C48,Items!C$6:I$598,3,0)),"",(VLOOKUP(C48,Items!C$6:I$598,3,0))),IF($K$14="GH₵",IF(ISNA(VLOOKUP(C48,Items!C$6:I$598,3,0)),"",'Customer Base'!J$5*(VLOOKUP(C48,Items!C$6:I$598,3,0))),"")),"")),""))</f>
        <v/>
      </c>
      <c r="K48" s="282" t="str">
        <f t="shared" si="0"/>
        <v/>
      </c>
      <c r="L48" s="49"/>
      <c r="M48" s="48"/>
      <c r="N48" s="48"/>
      <c r="O48" s="48"/>
      <c r="P48" s="48"/>
      <c r="Q48" s="48"/>
      <c r="R48" s="48"/>
    </row>
    <row r="49" spans="1:118" ht="16" customHeight="1">
      <c r="A49" s="1"/>
      <c r="B49" s="294" t="str">
        <f t="array" ref="B49">IF('Customer Base'!$I$15="MANUAL",IFERROR(INDEX(Items!B$6:B$679,SMALL(IF(Items!B$6:B$679&lt;&gt;"",ROW(Items!B$6:B$679)-MIN(ROW(Items!B$6:B$679))+1),Items!N37)),""),IF('Customer Base'!$I$15="AUTOMATE",IFERROR(INDEX(Items!A$6:A$679,SMALL(IF(Items!A$6:A$679&lt;&gt;"",ROW(Items!A$6:A$679)-MIN(ROW(Items!A$6:A$679))+1),Items!N37)),""),""))</f>
        <v/>
      </c>
      <c r="C49" s="279" t="str">
        <f t="array" ref="C49">IFERROR(INDEX(Items!O:O,SMALL(IF(Items!$O$6:$O$676&lt;&gt;"",ROW(Items!$O$6:$O$676)),Items!N37)),"")</f>
        <v/>
      </c>
      <c r="D49" s="280"/>
      <c r="E49" s="280"/>
      <c r="F49" s="280"/>
      <c r="G49" s="280"/>
      <c r="H49" s="280"/>
      <c r="I49" s="280"/>
      <c r="J49" s="285" t="str">
        <f>IF('Customer Base'!I$12="DISPLAY TAX",IF('Customer Base'!$I$17="Retail",IF($K$14="USD",IF(ISNA(VLOOKUP(C49,Items!C$6:F$598,4,0)),"",(VLOOKUP(C49,Items!C$6:F$598,4,0))),IF($K$14="GH₵",IF(ISNA(VLOOKUP(C49,Items!C$6:G$598,5,0)),"",(VLOOKUP(C49,Items!C$6:G$598,5,0))),"")),IF('Customer Base'!$I$17="Super Dealer",IF($K$14="USD",IF(ISNA(VLOOKUP(C49,Items!C$6:I$598,6,0)),"",(VLOOKUP(C49,Items!C$6:I$598,6,0))),IF($K$14="GH₵",IF(ISNA(VLOOKUP(C49,Items!C$6:I$598,7,0)),"",(VLOOKUP(C49,Items!C$6:I$598,7,0))),"")),"")),IF('Customer Base'!I$12="DO NOT DISPLAY TAX",IF('Customer Base'!$I$17="Retail",IF($K$14="USD",IF(ISNA(VLOOKUP(C49,Items!C$6:F$598,2,0)),"",(VLOOKUP(C49,Items!C$6:F$598,2,0))),IF($K$14="GH₵",IF(ISNA(VLOOKUP(C49,Items!C$6:G$598,2,0)),"",'Customer Base'!J$5*(VLOOKUP(C49,Items!C$6:G$598,2,0))),"")),IF('Customer Base'!$I$17="Super Dealer",IF($K$14="USD",IF(ISNA(VLOOKUP(C49,Items!C$6:I$598,3,0)),"",(VLOOKUP(C49,Items!C$6:I$598,3,0))),IF($K$14="GH₵",IF(ISNA(VLOOKUP(C49,Items!C$6:I$598,3,0)),"",'Customer Base'!J$5*(VLOOKUP(C49,Items!C$6:I$598,3,0))),"")),"")),""))</f>
        <v/>
      </c>
      <c r="K49" s="282" t="str">
        <f t="shared" si="0"/>
        <v/>
      </c>
      <c r="L49" s="49"/>
      <c r="M49" s="48"/>
      <c r="N49" s="48"/>
      <c r="O49" s="48"/>
      <c r="P49" s="48"/>
      <c r="Q49" s="48"/>
      <c r="R49" s="48"/>
    </row>
    <row r="50" spans="1:118" ht="16" customHeight="1">
      <c r="A50" s="1"/>
      <c r="B50" s="294" t="str">
        <f t="array" ref="B50">IF('Customer Base'!$I$15="MANUAL",IFERROR(INDEX(Items!B$6:B$679,SMALL(IF(Items!B$6:B$679&lt;&gt;"",ROW(Items!B$6:B$679)-MIN(ROW(Items!B$6:B$679))+1),Items!N38)),""),IF('Customer Base'!$I$15="AUTOMATE",IFERROR(INDEX(Items!A$6:A$679,SMALL(IF(Items!A$6:A$679&lt;&gt;"",ROW(Items!A$6:A$679)-MIN(ROW(Items!A$6:A$679))+1),Items!N38)),""),""))</f>
        <v/>
      </c>
      <c r="C50" s="279" t="str">
        <f t="array" ref="C50">IFERROR(INDEX(Items!O:O,SMALL(IF(Items!$O$6:$O$676&lt;&gt;"",ROW(Items!$O$6:$O$676)),Items!N38)),"")</f>
        <v/>
      </c>
      <c r="D50" s="280"/>
      <c r="E50" s="280"/>
      <c r="F50" s="280"/>
      <c r="G50" s="280"/>
      <c r="H50" s="280"/>
      <c r="I50" s="280"/>
      <c r="J50" s="285" t="str">
        <f>IF('Customer Base'!I$12="DISPLAY TAX",IF('Customer Base'!$I$17="Retail",IF($K$14="USD",IF(ISNA(VLOOKUP(C50,Items!C$6:F$598,4,0)),"",(VLOOKUP(C50,Items!C$6:F$598,4,0))),IF($K$14="GH₵",IF(ISNA(VLOOKUP(C50,Items!C$6:G$598,5,0)),"",(VLOOKUP(C50,Items!C$6:G$598,5,0))),"")),IF('Customer Base'!$I$17="Super Dealer",IF($K$14="USD",IF(ISNA(VLOOKUP(C50,Items!C$6:I$598,6,0)),"",(VLOOKUP(C50,Items!C$6:I$598,6,0))),IF($K$14="GH₵",IF(ISNA(VLOOKUP(C50,Items!C$6:I$598,7,0)),"",(VLOOKUP(C50,Items!C$6:I$598,7,0))),"")),"")),IF('Customer Base'!I$12="DO NOT DISPLAY TAX",IF('Customer Base'!$I$17="Retail",IF($K$14="USD",IF(ISNA(VLOOKUP(C50,Items!C$6:F$598,2,0)),"",(VLOOKUP(C50,Items!C$6:F$598,2,0))),IF($K$14="GH₵",IF(ISNA(VLOOKUP(C50,Items!C$6:G$598,2,0)),"",'Customer Base'!J$5*(VLOOKUP(C50,Items!C$6:G$598,2,0))),"")),IF('Customer Base'!$I$17="Super Dealer",IF($K$14="USD",IF(ISNA(VLOOKUP(C50,Items!C$6:I$598,3,0)),"",(VLOOKUP(C50,Items!C$6:I$598,3,0))),IF($K$14="GH₵",IF(ISNA(VLOOKUP(C50,Items!C$6:I$598,3,0)),"",'Customer Base'!J$5*(VLOOKUP(C50,Items!C$6:I$598,3,0))),"")),"")),""))</f>
        <v/>
      </c>
      <c r="K50" s="282" t="str">
        <f t="shared" si="0"/>
        <v/>
      </c>
      <c r="L50" s="49"/>
      <c r="M50" s="48"/>
      <c r="N50" s="48"/>
      <c r="O50" s="48"/>
      <c r="P50" s="48"/>
      <c r="Q50" s="48"/>
      <c r="R50" s="48"/>
    </row>
    <row r="51" spans="1:118" ht="16" customHeight="1">
      <c r="A51" s="1"/>
      <c r="B51" s="294" t="str">
        <f t="array" ref="B51">IF('Customer Base'!$I$15="MANUAL",IFERROR(INDEX(Items!B$6:B$679,SMALL(IF(Items!B$6:B$679&lt;&gt;"",ROW(Items!B$6:B$679)-MIN(ROW(Items!B$6:B$679))+1),Items!N39)),""),IF('Customer Base'!$I$15="AUTOMATE",IFERROR(INDEX(Items!A$6:A$679,SMALL(IF(Items!A$6:A$679&lt;&gt;"",ROW(Items!A$6:A$679)-MIN(ROW(Items!A$6:A$679))+1),Items!N39)),""),""))</f>
        <v/>
      </c>
      <c r="C51" s="279" t="str">
        <f t="array" ref="C51">IFERROR(INDEX(Items!O:O,SMALL(IF(Items!$O$6:$O$676&lt;&gt;"",ROW(Items!$O$6:$O$676)),Items!N39)),"")</f>
        <v/>
      </c>
      <c r="D51" s="280"/>
      <c r="E51" s="280"/>
      <c r="F51" s="280"/>
      <c r="G51" s="280"/>
      <c r="H51" s="280"/>
      <c r="I51" s="280"/>
      <c r="J51" s="285" t="str">
        <f>IF('Customer Base'!I$12="DISPLAY TAX",IF('Customer Base'!$I$17="Retail",IF($K$14="USD",IF(ISNA(VLOOKUP(C51,Items!C$6:F$598,4,0)),"",(VLOOKUP(C51,Items!C$6:F$598,4,0))),IF($K$14="GH₵",IF(ISNA(VLOOKUP(C51,Items!C$6:G$598,5,0)),"",(VLOOKUP(C51,Items!C$6:G$598,5,0))),"")),IF('Customer Base'!$I$17="Super Dealer",IF($K$14="USD",IF(ISNA(VLOOKUP(C51,Items!C$6:I$598,6,0)),"",(VLOOKUP(C51,Items!C$6:I$598,6,0))),IF($K$14="GH₵",IF(ISNA(VLOOKUP(C51,Items!C$6:I$598,7,0)),"",(VLOOKUP(C51,Items!C$6:I$598,7,0))),"")),"")),IF('Customer Base'!I$12="DO NOT DISPLAY TAX",IF('Customer Base'!$I$17="Retail",IF($K$14="USD",IF(ISNA(VLOOKUP(C51,Items!C$6:F$598,2,0)),"",(VLOOKUP(C51,Items!C$6:F$598,2,0))),IF($K$14="GH₵",IF(ISNA(VLOOKUP(C51,Items!C$6:G$598,2,0)),"",'Customer Base'!J$5*(VLOOKUP(C51,Items!C$6:G$598,2,0))),"")),IF('Customer Base'!$I$17="Super Dealer",IF($K$14="USD",IF(ISNA(VLOOKUP(C51,Items!C$6:I$598,3,0)),"",(VLOOKUP(C51,Items!C$6:I$598,3,0))),IF($K$14="GH₵",IF(ISNA(VLOOKUP(C51,Items!C$6:I$598,3,0)),"",'Customer Base'!J$5*(VLOOKUP(C51,Items!C$6:I$598,3,0))),"")),"")),""))</f>
        <v/>
      </c>
      <c r="K51" s="282" t="str">
        <f t="shared" si="0"/>
        <v/>
      </c>
      <c r="L51" s="49"/>
      <c r="M51" s="48"/>
      <c r="N51" s="48"/>
      <c r="O51" s="48"/>
      <c r="P51" s="48"/>
      <c r="Q51" s="48"/>
      <c r="R51" s="48"/>
    </row>
    <row r="52" spans="1:118" ht="16" customHeight="1">
      <c r="A52" s="1"/>
      <c r="B52" s="294" t="str">
        <f t="array" ref="B52">IF('Customer Base'!$I$15="MANUAL",IFERROR(INDEX(Items!B$6:B$679,SMALL(IF(Items!B$6:B$679&lt;&gt;"",ROW(Items!B$6:B$679)-MIN(ROW(Items!B$6:B$679))+1),Items!N40)),""),IF('Customer Base'!$I$15="AUTOMATE",IFERROR(INDEX(Items!A$6:A$679,SMALL(IF(Items!A$6:A$679&lt;&gt;"",ROW(Items!A$6:A$679)-MIN(ROW(Items!A$6:A$679))+1),Items!N40)),""),""))</f>
        <v/>
      </c>
      <c r="C52" s="279" t="str">
        <f t="array" ref="C52">IFERROR(INDEX(Items!O:O,SMALL(IF(Items!$O$6:$O$676&lt;&gt;"",ROW(Items!$O$6:$O$676)),Items!N40)),"")</f>
        <v/>
      </c>
      <c r="D52" s="280"/>
      <c r="E52" s="280"/>
      <c r="F52" s="280"/>
      <c r="G52" s="280"/>
      <c r="H52" s="280"/>
      <c r="I52" s="280"/>
      <c r="J52" s="285" t="str">
        <f>IF('Customer Base'!I$12="DISPLAY TAX",IF('Customer Base'!$I$17="Retail",IF($K$14="USD",IF(ISNA(VLOOKUP(C52,Items!C$6:F$598,4,0)),"",(VLOOKUP(C52,Items!C$6:F$598,4,0))),IF($K$14="GH₵",IF(ISNA(VLOOKUP(C52,Items!C$6:G$598,5,0)),"",(VLOOKUP(C52,Items!C$6:G$598,5,0))),"")),IF('Customer Base'!$I$17="Super Dealer",IF($K$14="USD",IF(ISNA(VLOOKUP(C52,Items!C$6:I$598,6,0)),"",(VLOOKUP(C52,Items!C$6:I$598,6,0))),IF($K$14="GH₵",IF(ISNA(VLOOKUP(C52,Items!C$6:I$598,7,0)),"",(VLOOKUP(C52,Items!C$6:I$598,7,0))),"")),"")),IF('Customer Base'!I$12="DO NOT DISPLAY TAX",IF('Customer Base'!$I$17="Retail",IF($K$14="USD",IF(ISNA(VLOOKUP(C52,Items!C$6:F$598,2,0)),"",(VLOOKUP(C52,Items!C$6:F$598,2,0))),IF($K$14="GH₵",IF(ISNA(VLOOKUP(C52,Items!C$6:G$598,2,0)),"",'Customer Base'!J$5*(VLOOKUP(C52,Items!C$6:G$598,2,0))),"")),IF('Customer Base'!$I$17="Super Dealer",IF($K$14="USD",IF(ISNA(VLOOKUP(C52,Items!C$6:I$598,3,0)),"",(VLOOKUP(C52,Items!C$6:I$598,3,0))),IF($K$14="GH₵",IF(ISNA(VLOOKUP(C52,Items!C$6:I$598,3,0)),"",'Customer Base'!J$5*(VLOOKUP(C52,Items!C$6:I$598,3,0))),"")),"")),""))</f>
        <v/>
      </c>
      <c r="K52" s="282" t="str">
        <f t="shared" si="0"/>
        <v/>
      </c>
      <c r="L52" s="49"/>
      <c r="M52" s="48"/>
      <c r="N52" s="48"/>
      <c r="O52" s="48"/>
      <c r="P52" s="48"/>
      <c r="Q52" s="48"/>
      <c r="R52" s="48"/>
    </row>
    <row r="53" spans="1:118" ht="16" customHeight="1">
      <c r="A53" s="1"/>
      <c r="B53" s="294" t="str">
        <f t="array" ref="B53">IF('Customer Base'!$I$15="MANUAL",IFERROR(INDEX(Items!B$6:B$679,SMALL(IF(Items!B$6:B$679&lt;&gt;"",ROW(Items!B$6:B$679)-MIN(ROW(Items!B$6:B$679))+1),Items!N41)),""),IF('Customer Base'!$I$15="AUTOMATE",IFERROR(INDEX(Items!A$6:A$679,SMALL(IF(Items!A$6:A$679&lt;&gt;"",ROW(Items!A$6:A$679)-MIN(ROW(Items!A$6:A$679))+1),Items!N41)),""),""))</f>
        <v/>
      </c>
      <c r="C53" s="279" t="str">
        <f t="array" ref="C53">IFERROR(INDEX(Items!O:O,SMALL(IF(Items!$O$6:$O$676&lt;&gt;"",ROW(Items!$O$6:$O$676)),Items!N41)),"")</f>
        <v/>
      </c>
      <c r="D53" s="280"/>
      <c r="E53" s="280"/>
      <c r="F53" s="280"/>
      <c r="G53" s="280"/>
      <c r="H53" s="280"/>
      <c r="I53" s="280"/>
      <c r="J53" s="285" t="str">
        <f>IF('Customer Base'!I$12="DISPLAY TAX",IF('Customer Base'!$I$17="Retail",IF($K$14="USD",IF(ISNA(VLOOKUP(C53,Items!C$6:F$598,4,0)),"",(VLOOKUP(C53,Items!C$6:F$598,4,0))),IF($K$14="GH₵",IF(ISNA(VLOOKUP(C53,Items!C$6:G$598,5,0)),"",(VLOOKUP(C53,Items!C$6:G$598,5,0))),"")),IF('Customer Base'!$I$17="Super Dealer",IF($K$14="USD",IF(ISNA(VLOOKUP(C53,Items!C$6:I$598,6,0)),"",(VLOOKUP(C53,Items!C$6:I$598,6,0))),IF($K$14="GH₵",IF(ISNA(VLOOKUP(C53,Items!C$6:I$598,7,0)),"",(VLOOKUP(C53,Items!C$6:I$598,7,0))),"")),"")),IF('Customer Base'!I$12="DO NOT DISPLAY TAX",IF('Customer Base'!$I$17="Retail",IF($K$14="USD",IF(ISNA(VLOOKUP(C53,Items!C$6:F$598,2,0)),"",(VLOOKUP(C53,Items!C$6:F$598,2,0))),IF($K$14="GH₵",IF(ISNA(VLOOKUP(C53,Items!C$6:G$598,2,0)),"",'Customer Base'!J$5*(VLOOKUP(C53,Items!C$6:G$598,2,0))),"")),IF('Customer Base'!$I$17="Super Dealer",IF($K$14="USD",IF(ISNA(VLOOKUP(C53,Items!C$6:I$598,3,0)),"",(VLOOKUP(C53,Items!C$6:I$598,3,0))),IF($K$14="GH₵",IF(ISNA(VLOOKUP(C53,Items!C$6:I$598,3,0)),"",'Customer Base'!J$5*(VLOOKUP(C53,Items!C$6:I$598,3,0))),"")),"")),""))</f>
        <v/>
      </c>
      <c r="K53" s="282" t="str">
        <f t="shared" si="0"/>
        <v/>
      </c>
      <c r="L53" s="49"/>
      <c r="M53" s="48"/>
      <c r="N53" s="48"/>
      <c r="O53" s="48"/>
      <c r="P53" s="48"/>
      <c r="Q53" s="48"/>
      <c r="R53" s="48"/>
    </row>
    <row r="54" spans="1:118" ht="16" customHeight="1">
      <c r="A54" s="1"/>
      <c r="B54" s="294" t="str">
        <f t="array" ref="B54">IF('Customer Base'!$I$15="MANUAL",IFERROR(INDEX(Items!B$6:B$679,SMALL(IF(Items!B$6:B$679&lt;&gt;"",ROW(Items!B$6:B$679)-MIN(ROW(Items!B$6:B$679))+1),Items!N42)),""),IF('Customer Base'!$I$15="AUTOMATE",IFERROR(INDEX(Items!A$6:A$679,SMALL(IF(Items!A$6:A$679&lt;&gt;"",ROW(Items!A$6:A$679)-MIN(ROW(Items!A$6:A$679))+1),Items!N42)),""),""))</f>
        <v/>
      </c>
      <c r="C54" s="279" t="str">
        <f t="array" ref="C54">IFERROR(INDEX(Items!O:O,SMALL(IF(Items!$O$6:$O$676&lt;&gt;"",ROW(Items!$O$6:$O$676)),Items!N42)),"")</f>
        <v/>
      </c>
      <c r="D54" s="280"/>
      <c r="E54" s="280"/>
      <c r="F54" s="280"/>
      <c r="G54" s="280"/>
      <c r="H54" s="280"/>
      <c r="I54" s="280"/>
      <c r="J54" s="285" t="str">
        <f>IF('Customer Base'!I$12="DISPLAY TAX",IF('Customer Base'!$I$17="Retail",IF($K$14="USD",IF(ISNA(VLOOKUP(C54,Items!C$6:F$598,4,0)),"",(VLOOKUP(C54,Items!C$6:F$598,4,0))),IF($K$14="GH₵",IF(ISNA(VLOOKUP(C54,Items!C$6:G$598,5,0)),"",(VLOOKUP(C54,Items!C$6:G$598,5,0))),"")),IF('Customer Base'!$I$17="Super Dealer",IF($K$14="USD",IF(ISNA(VLOOKUP(C54,Items!C$6:I$598,6,0)),"",(VLOOKUP(C54,Items!C$6:I$598,6,0))),IF($K$14="GH₵",IF(ISNA(VLOOKUP(C54,Items!C$6:I$598,7,0)),"",(VLOOKUP(C54,Items!C$6:I$598,7,0))),"")),"")),IF('Customer Base'!I$12="DO NOT DISPLAY TAX",IF('Customer Base'!$I$17="Retail",IF($K$14="USD",IF(ISNA(VLOOKUP(C54,Items!C$6:F$598,2,0)),"",(VLOOKUP(C54,Items!C$6:F$598,2,0))),IF($K$14="GH₵",IF(ISNA(VLOOKUP(C54,Items!C$6:G$598,2,0)),"",'Customer Base'!J$5*(VLOOKUP(C54,Items!C$6:G$598,2,0))),"")),IF('Customer Base'!$I$17="Super Dealer",IF($K$14="USD",IF(ISNA(VLOOKUP(C54,Items!C$6:I$598,3,0)),"",(VLOOKUP(C54,Items!C$6:I$598,3,0))),IF($K$14="GH₵",IF(ISNA(VLOOKUP(C54,Items!C$6:I$598,3,0)),"",'Customer Base'!J$5*(VLOOKUP(C54,Items!C$6:I$598,3,0))),"")),"")),""))</f>
        <v/>
      </c>
      <c r="K54" s="282" t="str">
        <f t="shared" si="0"/>
        <v/>
      </c>
      <c r="L54" s="49"/>
      <c r="M54" s="48"/>
      <c r="N54" s="48"/>
      <c r="O54" s="48"/>
      <c r="P54" s="48"/>
      <c r="Q54" s="48"/>
      <c r="R54" s="48"/>
    </row>
    <row r="55" spans="1:118" ht="16" customHeight="1">
      <c r="A55" s="1"/>
      <c r="B55" s="294" t="str">
        <f t="array" ref="B55">IF('Customer Base'!$I$15="MANUAL",IFERROR(INDEX(Items!B$6:B$679,SMALL(IF(Items!B$6:B$679&lt;&gt;"",ROW(Items!B$6:B$679)-MIN(ROW(Items!B$6:B$679))+1),Items!N43)),""),IF('Customer Base'!$I$15="AUTOMATE",IFERROR(INDEX(Items!A$6:A$679,SMALL(IF(Items!A$6:A$679&lt;&gt;"",ROW(Items!A$6:A$679)-MIN(ROW(Items!A$6:A$679))+1),Items!N43)),""),""))</f>
        <v/>
      </c>
      <c r="C55" s="279" t="str">
        <f t="array" ref="C55">IFERROR(INDEX(Items!O:O,SMALL(IF(Items!$O$6:$O$676&lt;&gt;"",ROW(Items!$O$6:$O$676)),Items!N43)),"")</f>
        <v/>
      </c>
      <c r="D55" s="280"/>
      <c r="E55" s="280"/>
      <c r="F55" s="280"/>
      <c r="G55" s="280"/>
      <c r="H55" s="280"/>
      <c r="I55" s="280"/>
      <c r="J55" s="285" t="str">
        <f>IF('Customer Base'!I$12="DISPLAY TAX",IF('Customer Base'!$I$17="Retail",IF($K$14="USD",IF(ISNA(VLOOKUP(C55,Items!C$6:F$598,4,0)),"",(VLOOKUP(C55,Items!C$6:F$598,4,0))),IF($K$14="GH₵",IF(ISNA(VLOOKUP(C55,Items!C$6:G$598,5,0)),"",(VLOOKUP(C55,Items!C$6:G$598,5,0))),"")),IF('Customer Base'!$I$17="Super Dealer",IF($K$14="USD",IF(ISNA(VLOOKUP(C55,Items!C$6:I$598,6,0)),"",(VLOOKUP(C55,Items!C$6:I$598,6,0))),IF($K$14="GH₵",IF(ISNA(VLOOKUP(C55,Items!C$6:I$598,7,0)),"",(VLOOKUP(C55,Items!C$6:I$598,7,0))),"")),"")),IF('Customer Base'!I$12="DO NOT DISPLAY TAX",IF('Customer Base'!$I$17="Retail",IF($K$14="USD",IF(ISNA(VLOOKUP(C55,Items!C$6:F$598,2,0)),"",(VLOOKUP(C55,Items!C$6:F$598,2,0))),IF($K$14="GH₵",IF(ISNA(VLOOKUP(C55,Items!C$6:G$598,2,0)),"",'Customer Base'!J$5*(VLOOKUP(C55,Items!C$6:G$598,2,0))),"")),IF('Customer Base'!$I$17="Super Dealer",IF($K$14="USD",IF(ISNA(VLOOKUP(C55,Items!C$6:I$598,3,0)),"",(VLOOKUP(C55,Items!C$6:I$598,3,0))),IF($K$14="GH₵",IF(ISNA(VLOOKUP(C55,Items!C$6:I$598,3,0)),"",'Customer Base'!J$5*(VLOOKUP(C55,Items!C$6:I$598,3,0))),"")),"")),""))</f>
        <v/>
      </c>
      <c r="K55" s="282" t="str">
        <f t="shared" si="0"/>
        <v/>
      </c>
      <c r="L55" s="49"/>
      <c r="M55" s="48"/>
      <c r="N55" s="48"/>
      <c r="O55" s="48"/>
      <c r="P55" s="48"/>
      <c r="Q55" s="48"/>
      <c r="R55" s="48"/>
    </row>
    <row r="56" spans="1:118" ht="16" customHeight="1">
      <c r="A56" s="1"/>
      <c r="B56" s="294" t="str">
        <f t="array" ref="B56">IF('Customer Base'!$I$15="MANUAL",IFERROR(INDEX(Items!B$6:B$679,SMALL(IF(Items!B$6:B$679&lt;&gt;"",ROW(Items!B$6:B$679)-MIN(ROW(Items!B$6:B$679))+1),Items!N44)),""),IF('Customer Base'!$I$15="AUTOMATE",IFERROR(INDEX(Items!A$6:A$679,SMALL(IF(Items!A$6:A$679&lt;&gt;"",ROW(Items!A$6:A$679)-MIN(ROW(Items!A$6:A$679))+1),Items!N44)),""),""))</f>
        <v/>
      </c>
      <c r="C56" s="279" t="str">
        <f t="array" ref="C56">IFERROR(INDEX(Items!O:O,SMALL(IF(Items!$O$6:$O$676&lt;&gt;"",ROW(Items!$O$6:$O$676)),Items!N44)),"")</f>
        <v/>
      </c>
      <c r="D56" s="280"/>
      <c r="E56" s="280"/>
      <c r="F56" s="280"/>
      <c r="G56" s="280"/>
      <c r="H56" s="280"/>
      <c r="I56" s="280"/>
      <c r="J56" s="285" t="str">
        <f>IF('Customer Base'!I$12="DISPLAY TAX",IF('Customer Base'!$I$17="Retail",IF($K$14="USD",IF(ISNA(VLOOKUP(C56,Items!C$6:F$598,4,0)),"",(VLOOKUP(C56,Items!C$6:F$598,4,0))),IF($K$14="GH₵",IF(ISNA(VLOOKUP(C56,Items!C$6:G$598,5,0)),"",(VLOOKUP(C56,Items!C$6:G$598,5,0))),"")),IF('Customer Base'!$I$17="Super Dealer",IF($K$14="USD",IF(ISNA(VLOOKUP(C56,Items!C$6:I$598,6,0)),"",(VLOOKUP(C56,Items!C$6:I$598,6,0))),IF($K$14="GH₵",IF(ISNA(VLOOKUP(C56,Items!C$6:I$598,7,0)),"",(VLOOKUP(C56,Items!C$6:I$598,7,0))),"")),"")),IF('Customer Base'!I$12="DO NOT DISPLAY TAX",IF('Customer Base'!$I$17="Retail",IF($K$14="USD",IF(ISNA(VLOOKUP(C56,Items!C$6:F$598,2,0)),"",(VLOOKUP(C56,Items!C$6:F$598,2,0))),IF($K$14="GH₵",IF(ISNA(VLOOKUP(C56,Items!C$6:G$598,2,0)),"",'Customer Base'!J$5*(VLOOKUP(C56,Items!C$6:G$598,2,0))),"")),IF('Customer Base'!$I$17="Super Dealer",IF($K$14="USD",IF(ISNA(VLOOKUP(C56,Items!C$6:I$598,3,0)),"",(VLOOKUP(C56,Items!C$6:I$598,3,0))),IF($K$14="GH₵",IF(ISNA(VLOOKUP(C56,Items!C$6:I$598,3,0)),"",'Customer Base'!J$5*(VLOOKUP(C56,Items!C$6:I$598,3,0))),"")),"")),""))</f>
        <v/>
      </c>
      <c r="K56" s="282" t="str">
        <f t="shared" si="0"/>
        <v/>
      </c>
      <c r="L56" s="49"/>
      <c r="M56" s="48"/>
      <c r="N56" s="48"/>
      <c r="O56" s="48"/>
      <c r="P56" s="48"/>
      <c r="Q56" s="48"/>
      <c r="R56" s="48"/>
    </row>
    <row r="57" spans="1:118" ht="16" customHeight="1">
      <c r="A57" s="1"/>
      <c r="B57" s="295"/>
      <c r="C57" s="32" t="s">
        <v>17</v>
      </c>
      <c r="D57" s="42"/>
      <c r="E57" s="42"/>
      <c r="F57" s="42"/>
      <c r="G57" s="42"/>
      <c r="H57" s="42"/>
      <c r="I57" s="42"/>
      <c r="J57" s="285" t="str">
        <f>IF('Customer Base'!I$12="DISPLAY TAX",IF('Customer Base'!$I$17="Retail",IF($K$14="USD",IF(ISNA(VLOOKUP(C57,Items!C$6:F$598,4,0)),"",(VLOOKUP(C57,Items!C$6:F$598,4,0))),IF($K$14="GH₵",IF(ISNA(VLOOKUP(C57,Items!C$6:G$598,5,0)),"",(VLOOKUP(C57,Items!C$6:G$598,5,0))),"")),IF('Customer Base'!$I$17="Super Dealer",IF($K$14="USD",IF(ISNA(VLOOKUP(C57,Items!C$6:I$598,6,0)),"",(VLOOKUP(C57,Items!C$6:I$598,6,0))),IF($K$14="GH₵",IF(ISNA(VLOOKUP(C57,Items!C$6:I$598,7,0)),"",(VLOOKUP(C57,Items!C$6:I$598,7,0))),"")),"")),IF('Customer Base'!I$12="DO NOT DISPLAY TAX",IF('Customer Base'!$I$17="Retail",IF($K$14="USD",IF(ISNA(VLOOKUP(C57,Items!C$6:F$598,2,0)),"",(VLOOKUP(C57,Items!C$6:F$598,2,0))),IF($K$14="GH₵",IF(ISNA(VLOOKUP(C57,Items!C$6:G$598,2,0)),"",'Customer Base'!J$5*(VLOOKUP(C57,Items!C$6:G$598,2,0))),"")),IF('Customer Base'!$I$17="Super Dealer",IF($K$14="USD",IF(ISNA(VLOOKUP(C57,Items!C$6:I$598,3,0)),"",(VLOOKUP(C57,Items!C$6:I$598,3,0))),IF($K$14="GH₵",IF(ISNA(VLOOKUP(C57,Items!C$6:I$598,3,0)),"",'Customer Base'!J$5*(VLOOKUP(C57,Items!C$6:I$598,3,0))),"")),"")),""))</f>
        <v/>
      </c>
      <c r="K57" s="282" t="str">
        <f t="shared" ref="K57:K62" si="1">IFERROR(SUM(B57*J57),"")</f>
        <v/>
      </c>
      <c r="L57" s="49"/>
      <c r="M57" s="48"/>
      <c r="N57" s="48"/>
      <c r="O57" s="48"/>
      <c r="P57" s="48"/>
      <c r="Q57" s="48"/>
      <c r="R57" s="48"/>
    </row>
    <row r="58" spans="1:118">
      <c r="A58" s="1"/>
      <c r="B58" s="295"/>
      <c r="C58" s="30" t="s">
        <v>1912</v>
      </c>
      <c r="D58" s="29"/>
      <c r="E58" s="29"/>
      <c r="F58" s="29"/>
      <c r="G58" s="29"/>
      <c r="H58" s="29"/>
      <c r="I58" s="29"/>
      <c r="J58" s="285" t="str">
        <f>IF('Customer Base'!I$12="DISPLAY TAX",IF('Customer Base'!$I$17="Retail",IF($K$14="USD",IF(ISNA(VLOOKUP(C58,Items!C$6:F$598,4,0)),"",(VLOOKUP(C58,Items!C$6:F$598,4,0))),IF($K$14="GH₵",IF(ISNA(VLOOKUP(C58,Items!C$6:G$598,5,0)),"",(VLOOKUP(C58,Items!C$6:G$598,5,0))),"")),IF('Customer Base'!$I$17="Super Dealer",IF($K$14="USD",IF(ISNA(VLOOKUP(C58,Items!C$6:I$598,6,0)),"",(VLOOKUP(C58,Items!C$6:I$598,6,0))),IF($K$14="GH₵",IF(ISNA(VLOOKUP(C58,Items!C$6:I$598,7,0)),"",(VLOOKUP(C58,Items!C$6:I$598,7,0))),"")),"")),IF('Customer Base'!I$12="DO NOT DISPLAY TAX",IF('Customer Base'!$I$17="Retail",IF($K$14="USD",IF(ISNA(VLOOKUP(C58,Items!C$6:F$598,2,0)),"",(VLOOKUP(C58,Items!C$6:F$598,2,0))),IF($K$14="GH₵",IF(ISNA(VLOOKUP(C58,Items!C$6:G$598,2,0)),"",'Customer Base'!J$5*(VLOOKUP(C58,Items!C$6:G$598,2,0))),"")),IF('Customer Base'!$I$17="Super Dealer",IF($K$14="USD",IF(ISNA(VLOOKUP(C58,Items!C$6:I$598,3,0)),"",(VLOOKUP(C58,Items!C$6:I$598,3,0))),IF($K$14="GH₵",IF(ISNA(VLOOKUP(C58,Items!C$6:I$598,3,0)),"",'Customer Base'!J$5*(VLOOKUP(C58,Items!C$6:I$598,3,0))),"")),"")),""))</f>
        <v/>
      </c>
      <c r="K58" s="282" t="str">
        <f t="shared" si="1"/>
        <v/>
      </c>
      <c r="L58" s="49"/>
      <c r="M58" s="48"/>
      <c r="N58" s="48"/>
      <c r="O58" s="48"/>
      <c r="P58" s="48"/>
      <c r="Q58" s="48"/>
      <c r="R58" s="48"/>
    </row>
    <row r="59" spans="1:118" s="20" customFormat="1" ht="13">
      <c r="A59" s="4"/>
      <c r="B59" s="295"/>
      <c r="C59" s="30" t="s">
        <v>2619</v>
      </c>
      <c r="D59" s="29"/>
      <c r="E59" s="29"/>
      <c r="F59" s="29"/>
      <c r="G59" s="29"/>
      <c r="H59" s="29"/>
      <c r="I59" s="29"/>
      <c r="J59" s="285" t="str">
        <f>IF('Customer Base'!I$12="DISPLAY TAX",IF('Customer Base'!$I$17="Retail",IF($K$14="USD",IF(ISNA(VLOOKUP(C59,Items!C$6:F$598,4,0)),"",(VLOOKUP(C59,Items!C$6:F$598,4,0))),IF($K$14="GH₵",IF(ISNA(VLOOKUP(C59,Items!C$6:G$598,5,0)),"",(VLOOKUP(C59,Items!C$6:G$598,5,0))),"")),IF('Customer Base'!$I$17="Super Dealer",IF($K$14="USD",IF(ISNA(VLOOKUP(C59,Items!C$6:I$598,6,0)),"",(VLOOKUP(C59,Items!C$6:I$598,6,0))),IF($K$14="GH₵",IF(ISNA(VLOOKUP(C59,Items!C$6:I$598,7,0)),"",(VLOOKUP(C59,Items!C$6:I$598,7,0))),"")),"")),IF('Customer Base'!I$12="DO NOT DISPLAY TAX",IF('Customer Base'!$I$17="Retail",IF($K$14="USD",IF(ISNA(VLOOKUP(C59,Items!C$6:F$598,2,0)),"",(VLOOKUP(C59,Items!C$6:F$598,2,0))),IF($K$14="GH₵",IF(ISNA(VLOOKUP(C59,Items!C$6:G$598,2,0)),"",'Customer Base'!J$5*(VLOOKUP(C59,Items!C$6:G$598,2,0))),"")),IF('Customer Base'!$I$17="Super Dealer",IF($K$14="USD",IF(ISNA(VLOOKUP(C59,Items!C$6:I$598,3,0)),"",(VLOOKUP(C59,Items!C$6:I$598,3,0))),IF($K$14="GH₵",IF(ISNA(VLOOKUP(C59,Items!C$6:I$598,3,0)),"",'Customer Base'!J$5*(VLOOKUP(C59,Items!C$6:I$598,3,0))),"")),"")),""))</f>
        <v/>
      </c>
      <c r="K59" s="282" t="str">
        <f t="shared" si="1"/>
        <v/>
      </c>
      <c r="L59" s="49"/>
      <c r="M59" s="48"/>
      <c r="N59" s="48"/>
      <c r="O59" s="48"/>
      <c r="P59" s="48"/>
      <c r="Q59" s="48"/>
      <c r="R59" s="48"/>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row>
    <row r="60" spans="1:118">
      <c r="A60" s="1"/>
      <c r="B60" s="295"/>
      <c r="C60" s="30" t="s">
        <v>2776</v>
      </c>
      <c r="D60" s="29"/>
      <c r="E60" s="29"/>
      <c r="F60" s="29"/>
      <c r="G60" s="29"/>
      <c r="H60" s="29"/>
      <c r="I60" s="29"/>
      <c r="J60" s="285"/>
      <c r="K60" s="282">
        <f t="shared" si="1"/>
        <v>0</v>
      </c>
      <c r="L60" s="49"/>
      <c r="M60" s="48"/>
      <c r="N60" s="48"/>
      <c r="O60" s="48"/>
      <c r="P60" s="48"/>
      <c r="Q60" s="48"/>
      <c r="R60" s="48"/>
    </row>
    <row r="61" spans="1:118">
      <c r="A61" s="1"/>
      <c r="B61" s="295"/>
      <c r="C61" s="30" t="s">
        <v>2832</v>
      </c>
      <c r="D61" s="29"/>
      <c r="E61" s="29"/>
      <c r="F61" s="29"/>
      <c r="G61" s="29"/>
      <c r="H61" s="29"/>
      <c r="I61" s="31"/>
      <c r="J61" s="285"/>
      <c r="K61" s="282">
        <f t="shared" si="1"/>
        <v>0</v>
      </c>
      <c r="L61" s="49"/>
      <c r="M61" s="48"/>
      <c r="N61" s="48"/>
      <c r="O61" s="48"/>
      <c r="P61" s="48"/>
      <c r="Q61" s="48"/>
      <c r="R61" s="48"/>
    </row>
    <row r="62" spans="1:118" s="23" customFormat="1" ht="15" customHeight="1">
      <c r="A62" s="21"/>
      <c r="B62" s="295"/>
      <c r="C62" s="30" t="s">
        <v>1213</v>
      </c>
      <c r="D62" s="38"/>
      <c r="E62" s="38"/>
      <c r="F62" s="38"/>
      <c r="G62" s="38"/>
      <c r="H62" s="38"/>
      <c r="I62" s="39"/>
      <c r="J62" s="286"/>
      <c r="K62" s="282">
        <f t="shared" si="1"/>
        <v>0</v>
      </c>
      <c r="L62" s="49"/>
      <c r="M62" s="48"/>
      <c r="N62" s="48"/>
      <c r="O62" s="48"/>
      <c r="P62" s="48"/>
      <c r="Q62" s="48"/>
      <c r="R62" s="48"/>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7"/>
      <c r="DM62" s="77"/>
      <c r="DN62" s="77"/>
    </row>
    <row r="63" spans="1:118" s="23" customFormat="1" ht="15" customHeight="1">
      <c r="A63" s="21"/>
      <c r="B63" s="22"/>
      <c r="C63" s="293"/>
      <c r="D63" s="29"/>
      <c r="E63" s="29"/>
      <c r="F63" s="29"/>
      <c r="G63" s="29"/>
      <c r="H63" s="29"/>
      <c r="I63" s="31"/>
      <c r="J63" s="286"/>
      <c r="K63" s="282"/>
      <c r="L63" s="48"/>
      <c r="M63" s="48"/>
      <c r="N63" s="48"/>
      <c r="O63" s="48"/>
      <c r="P63" s="48"/>
      <c r="Q63" s="48"/>
      <c r="R63" s="48"/>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7"/>
      <c r="DM63" s="77"/>
      <c r="DN63" s="77"/>
    </row>
    <row r="64" spans="1:118" s="23" customFormat="1" ht="13">
      <c r="A64" s="21"/>
      <c r="B64" s="22"/>
      <c r="C64" s="293" t="s">
        <v>2833</v>
      </c>
      <c r="D64" s="29"/>
      <c r="E64" s="29"/>
      <c r="F64" s="29"/>
      <c r="G64" s="29"/>
      <c r="H64" s="29"/>
      <c r="I64" s="31"/>
      <c r="J64" s="286"/>
      <c r="K64" s="282"/>
      <c r="L64" s="48"/>
      <c r="M64" s="48"/>
      <c r="N64" s="48"/>
      <c r="O64" s="48"/>
      <c r="P64" s="48"/>
      <c r="Q64" s="48"/>
      <c r="R64" s="48"/>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7"/>
      <c r="DM64" s="77"/>
      <c r="DN64" s="77"/>
    </row>
    <row r="65" spans="1:18">
      <c r="A65" s="1"/>
      <c r="B65" s="24"/>
      <c r="C65" s="47"/>
      <c r="D65" s="43"/>
      <c r="E65" s="43"/>
      <c r="F65" s="43"/>
      <c r="G65" s="43"/>
      <c r="H65" s="43"/>
      <c r="I65" s="44"/>
      <c r="J65" s="287"/>
      <c r="K65" s="282" t="str">
        <f>IF(C65="","",B65*J65)</f>
        <v/>
      </c>
      <c r="M65" s="48"/>
      <c r="N65" s="48"/>
      <c r="O65" s="48"/>
      <c r="P65" s="48"/>
      <c r="Q65" s="48"/>
      <c r="R65" s="48"/>
    </row>
    <row r="66" spans="1:18">
      <c r="A66" s="1"/>
      <c r="B66" s="13"/>
      <c r="C66" s="33" t="s">
        <v>1452</v>
      </c>
      <c r="D66" s="13"/>
      <c r="E66" s="13"/>
      <c r="F66" s="13"/>
      <c r="G66" s="13"/>
      <c r="H66" s="13"/>
      <c r="I66" s="13"/>
      <c r="J66" s="25" t="s">
        <v>15</v>
      </c>
      <c r="K66" s="288">
        <f ca="1">IF(NOW()&gt;Q13,"",IF(SUM(K17:K65)&gt;0,ROUND(SUM(K17:K65),2),""))</f>
        <v>113039.88</v>
      </c>
      <c r="M66" s="48"/>
      <c r="N66" s="48"/>
      <c r="O66" s="48"/>
      <c r="P66" s="48"/>
      <c r="Q66" s="48"/>
      <c r="R66" s="48"/>
    </row>
    <row r="67" spans="1:18">
      <c r="A67" s="1"/>
      <c r="B67" s="13"/>
      <c r="C67" s="17" t="str">
        <f>IFERROR(VLOOKUP(C$66,Items!AD:AJ,2,0),"")</f>
        <v>Account No: 1441002237313 (GHS)</v>
      </c>
      <c r="D67" s="13"/>
      <c r="E67" s="13"/>
      <c r="F67" s="13"/>
      <c r="G67" s="13"/>
      <c r="H67" s="13"/>
      <c r="I67" s="13"/>
      <c r="J67" s="41" t="str">
        <f>IF('Customer Base'!I12="DISPLAY TAX","6% NHIL/GETFUND/COVID19 Levy",IF('Customer Base'!I12="DO NOT DISPLAY TAX",""))</f>
        <v/>
      </c>
      <c r="K67" s="288" t="str">
        <f>IF(J67="","",IFERROR(6%*K66,0))</f>
        <v/>
      </c>
      <c r="M67" s="48"/>
      <c r="N67" s="48"/>
      <c r="O67" s="48"/>
      <c r="P67" s="48"/>
      <c r="Q67" s="48"/>
      <c r="R67" s="48"/>
    </row>
    <row r="68" spans="1:18">
      <c r="A68" s="1"/>
      <c r="B68" s="13"/>
      <c r="C68" s="17" t="str">
        <f>IFERROR(VLOOKUP(C$66,Items!AD:AJ,3,0),"")</f>
        <v>Account No: 3441002198840 (USD)</v>
      </c>
      <c r="D68" s="13"/>
      <c r="E68" s="13"/>
      <c r="F68" s="13"/>
      <c r="G68" s="13"/>
      <c r="H68" s="13"/>
      <c r="I68" s="13"/>
      <c r="J68" s="25" t="str">
        <f>IF(J67="","","SubTotal  ")</f>
        <v/>
      </c>
      <c r="K68" s="288" t="str">
        <f>IF(K67="","",ROUND(SUM(K66:K67),2))</f>
        <v/>
      </c>
      <c r="M68" s="48"/>
      <c r="N68" s="48"/>
      <c r="O68" s="48"/>
      <c r="P68" s="48"/>
      <c r="Q68" s="48"/>
      <c r="R68" s="48"/>
    </row>
    <row r="69" spans="1:18">
      <c r="A69" s="1"/>
      <c r="B69" s="13"/>
      <c r="C69" s="17" t="str">
        <f>IFERROR(VLOOKUP(C$66,Items!AD:AJ,4,0),"")</f>
        <v>Account Name: Tino Solutions Limited</v>
      </c>
      <c r="D69" s="17"/>
      <c r="E69" s="17"/>
      <c r="F69" s="13"/>
      <c r="G69" s="13"/>
      <c r="H69" s="13"/>
      <c r="I69" s="13"/>
      <c r="J69" s="25" t="str">
        <f>IF('Customer Base'!I12="DISPLAY TAX","15% VAT",IF('Customer Base'!I12="DO NOT DISPLAY TAX",""))</f>
        <v/>
      </c>
      <c r="K69" s="288" t="str">
        <f>IF(J69="","",IFERROR(15%*K68,0))</f>
        <v/>
      </c>
      <c r="M69" s="48"/>
      <c r="N69" s="48"/>
      <c r="O69" s="48"/>
      <c r="P69" s="48"/>
      <c r="Q69" s="48"/>
      <c r="R69" s="48"/>
    </row>
    <row r="70" spans="1:18" ht="16">
      <c r="A70" s="1"/>
      <c r="B70" s="13"/>
      <c r="C70" s="17" t="str">
        <f>IFERROR(VLOOKUP(C$66,Items!AD:AJ,5,0),"")</f>
        <v>Swift Code: ECOCGHACXXX</v>
      </c>
      <c r="D70" s="17"/>
      <c r="E70" s="17"/>
      <c r="F70" s="13"/>
      <c r="G70" s="13"/>
      <c r="H70" s="13"/>
      <c r="I70" s="13"/>
      <c r="J70" s="26" t="s">
        <v>16</v>
      </c>
      <c r="K70" s="289" t="str">
        <f ca="1">IF(K69="",K14&amp;" "&amp;TEXT(K66,"#,##0.00"),K14&amp;" "&amp;TEXT(ROUND(SUM(K68:K69),2),"#,##0.00"))</f>
        <v>GH₵ 113,039.88</v>
      </c>
      <c r="M70" s="48"/>
      <c r="N70" s="48"/>
      <c r="O70" s="48"/>
      <c r="P70" s="48"/>
      <c r="Q70" s="48"/>
      <c r="R70" s="48"/>
    </row>
    <row r="71" spans="1:18">
      <c r="A71" s="1"/>
      <c r="B71" s="25"/>
      <c r="C71" s="17" t="str">
        <f>IFERROR(VLOOKUP(C$66,Items!AD:AJ,6,0),"")</f>
        <v>Sort Code: 130111</v>
      </c>
      <c r="D71" s="33"/>
      <c r="E71" s="33"/>
      <c r="F71" s="13"/>
      <c r="G71" s="27"/>
      <c r="H71" s="27"/>
      <c r="I71" s="13"/>
      <c r="J71" s="13"/>
      <c r="K71" s="13"/>
      <c r="M71" s="48"/>
      <c r="N71" s="48"/>
      <c r="O71" s="48"/>
      <c r="P71" s="48"/>
      <c r="Q71" s="48"/>
      <c r="R71" s="48"/>
    </row>
    <row r="72" spans="1:18" ht="15" customHeight="1">
      <c r="A72" s="1"/>
      <c r="B72" s="25"/>
      <c r="C72" s="17" t="str">
        <f>IFERROR(VLOOKUP(C$66,Items!AD:AJ,7,0),"")</f>
        <v>Bank Branch: Abeka Lapaz</v>
      </c>
      <c r="D72" s="34"/>
      <c r="E72" s="34"/>
      <c r="F72" s="13"/>
      <c r="G72" s="13"/>
      <c r="H72" s="13"/>
      <c r="I72" s="363"/>
      <c r="J72" s="363"/>
      <c r="K72" s="364"/>
      <c r="M72" s="48"/>
      <c r="N72" s="48"/>
      <c r="O72" s="48"/>
      <c r="P72" s="48"/>
      <c r="Q72" s="48"/>
      <c r="R72" s="48"/>
    </row>
    <row r="73" spans="1:18">
      <c r="A73" s="1"/>
      <c r="B73" s="25"/>
      <c r="C73" s="36"/>
      <c r="D73" s="35"/>
      <c r="E73" s="35"/>
      <c r="F73" s="13"/>
      <c r="G73" s="13"/>
      <c r="H73" s="13"/>
      <c r="I73" s="365"/>
      <c r="J73" s="365"/>
      <c r="K73" s="366"/>
      <c r="M73" s="48"/>
      <c r="N73" s="48"/>
      <c r="O73" s="48"/>
      <c r="P73" s="48"/>
      <c r="Q73" s="48"/>
      <c r="R73" s="48"/>
    </row>
    <row r="74" spans="1:18">
      <c r="A74" s="1"/>
      <c r="B74" s="13"/>
      <c r="C74" s="37" t="s">
        <v>968</v>
      </c>
      <c r="D74" s="13"/>
      <c r="E74" s="13"/>
      <c r="F74" s="13"/>
      <c r="G74" s="13"/>
      <c r="H74" s="13"/>
      <c r="I74" s="367"/>
      <c r="J74" s="367"/>
      <c r="K74" s="368"/>
      <c r="M74" s="48"/>
      <c r="N74" s="48"/>
      <c r="O74" s="48"/>
      <c r="P74" s="48"/>
      <c r="Q74" s="48"/>
      <c r="R74" s="48"/>
    </row>
    <row r="75" spans="1:18" ht="12.75" customHeight="1">
      <c r="A75" s="1"/>
      <c r="B75" s="36"/>
      <c r="C75" s="36"/>
      <c r="D75" s="36"/>
      <c r="E75" s="36"/>
      <c r="F75" s="36"/>
      <c r="G75" s="36"/>
      <c r="H75" s="36"/>
      <c r="I75" s="36"/>
      <c r="J75" s="36"/>
      <c r="K75" s="36"/>
      <c r="M75" s="48"/>
      <c r="N75" s="48"/>
      <c r="O75" s="48"/>
      <c r="P75" s="48"/>
      <c r="Q75" s="48"/>
      <c r="R75" s="48"/>
    </row>
    <row r="76" spans="1:18" ht="12.75" customHeight="1">
      <c r="A76" s="1"/>
      <c r="B76" s="36"/>
      <c r="C76" s="37"/>
      <c r="D76" s="36"/>
      <c r="E76" s="36"/>
      <c r="F76" s="36"/>
      <c r="G76" s="36"/>
      <c r="H76" s="36"/>
      <c r="I76" s="36"/>
      <c r="J76" s="36"/>
      <c r="K76" s="36"/>
      <c r="M76" s="48"/>
      <c r="N76" s="48"/>
      <c r="O76" s="48"/>
      <c r="P76" s="48"/>
      <c r="Q76" s="48"/>
      <c r="R76" s="48"/>
    </row>
    <row r="77" spans="1:18" ht="16" thickBot="1">
      <c r="A77" s="1"/>
      <c r="B77" s="354" t="s">
        <v>2799</v>
      </c>
      <c r="C77" s="13"/>
      <c r="D77" s="13"/>
      <c r="E77" s="13"/>
      <c r="F77" s="13"/>
      <c r="G77" s="13"/>
      <c r="H77" s="13"/>
      <c r="I77" s="13"/>
      <c r="J77" s="13"/>
      <c r="K77" s="13"/>
      <c r="M77" s="48"/>
      <c r="N77" s="48"/>
      <c r="O77" s="48"/>
      <c r="P77" s="48"/>
      <c r="Q77" s="48"/>
      <c r="R77" s="48"/>
    </row>
    <row r="78" spans="1:18" ht="16" thickTop="1">
      <c r="A78" s="1"/>
      <c r="B78" s="355" t="s">
        <v>2798</v>
      </c>
      <c r="C78" s="28"/>
      <c r="D78" s="28"/>
      <c r="E78" s="28"/>
      <c r="F78" s="28"/>
      <c r="G78" s="28"/>
      <c r="H78" s="28"/>
      <c r="I78" s="28"/>
      <c r="J78" s="28"/>
      <c r="K78" s="28"/>
      <c r="M78" s="48"/>
      <c r="N78" s="48"/>
      <c r="O78" s="48"/>
      <c r="P78" s="48"/>
      <c r="Q78" s="48"/>
      <c r="R78" s="48"/>
    </row>
    <row r="79" spans="1:18">
      <c r="A79" s="1"/>
      <c r="B79" s="13"/>
      <c r="C79" s="361"/>
      <c r="D79" s="361"/>
      <c r="E79" s="361"/>
      <c r="F79" s="361"/>
      <c r="G79" s="361"/>
      <c r="H79" s="361"/>
      <c r="I79" s="361"/>
      <c r="J79" s="361"/>
      <c r="K79" s="13"/>
      <c r="M79" s="48"/>
      <c r="N79" s="48"/>
      <c r="O79" s="48"/>
      <c r="P79" s="48"/>
      <c r="Q79" s="48"/>
      <c r="R79" s="48"/>
    </row>
    <row r="80" spans="1:18">
      <c r="A80" s="1"/>
      <c r="B80" s="13"/>
      <c r="C80" s="362"/>
      <c r="D80" s="362"/>
      <c r="E80" s="362"/>
      <c r="F80" s="362"/>
      <c r="G80" s="362"/>
      <c r="H80" s="362"/>
      <c r="I80" s="362"/>
      <c r="J80" s="362"/>
      <c r="K80" s="13"/>
      <c r="M80" s="48"/>
      <c r="N80" s="48"/>
      <c r="O80" s="48"/>
      <c r="P80" s="48"/>
      <c r="Q80" s="48"/>
      <c r="R80" s="48"/>
    </row>
    <row r="81" spans="1:16136">
      <c r="A81" s="1"/>
      <c r="B81" s="13"/>
      <c r="C81" s="362"/>
      <c r="D81" s="362"/>
      <c r="E81" s="362"/>
      <c r="F81" s="362"/>
      <c r="G81" s="362"/>
      <c r="H81" s="362"/>
      <c r="I81" s="362"/>
      <c r="J81" s="362"/>
      <c r="K81" s="13"/>
      <c r="M81" s="48"/>
      <c r="N81" s="48"/>
      <c r="O81" s="48"/>
      <c r="P81" s="48"/>
      <c r="Q81" s="48"/>
      <c r="R81" s="48"/>
    </row>
    <row r="82" spans="1:16136" s="7" customFormat="1">
      <c r="L82" s="48"/>
      <c r="M82" s="48"/>
      <c r="N82" s="48"/>
      <c r="O82" s="48"/>
      <c r="P82" s="48"/>
      <c r="Q82" s="48"/>
      <c r="R82" s="48"/>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6"/>
      <c r="DM82" s="76"/>
      <c r="DN82" s="76"/>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c r="AMK82"/>
      <c r="AML82"/>
      <c r="AMM82"/>
      <c r="AMN82"/>
      <c r="AMO82"/>
      <c r="AMP82"/>
      <c r="AMQ82"/>
      <c r="AMR82"/>
      <c r="AMS82"/>
      <c r="AMT82"/>
      <c r="AMU82"/>
      <c r="AMV82"/>
      <c r="AMW82"/>
      <c r="AMX82"/>
      <c r="AMY82"/>
      <c r="AMZ82"/>
      <c r="ANA82"/>
      <c r="ANB82"/>
      <c r="ANC82"/>
      <c r="AND82"/>
      <c r="ANE82"/>
      <c r="ANF82"/>
      <c r="ANG82"/>
      <c r="ANH82"/>
      <c r="ANI82"/>
      <c r="ANJ82"/>
      <c r="ANK82"/>
      <c r="ANL82"/>
      <c r="ANM82"/>
      <c r="ANN82"/>
      <c r="ANO82"/>
      <c r="ANP82"/>
      <c r="ANQ82"/>
      <c r="ANR82"/>
      <c r="ANS82"/>
      <c r="ANT82"/>
      <c r="ANU82"/>
      <c r="ANV82"/>
      <c r="ANW82"/>
      <c r="ANX82"/>
      <c r="ANY82"/>
      <c r="ANZ82"/>
      <c r="AOA82"/>
      <c r="AOB82"/>
      <c r="AOC82"/>
      <c r="AOD82"/>
      <c r="AOE82"/>
      <c r="AOF82"/>
      <c r="AOG82"/>
      <c r="AOH82"/>
      <c r="AOI82"/>
      <c r="AOJ82"/>
      <c r="AOK82"/>
      <c r="AOL82"/>
      <c r="AOM82"/>
      <c r="AON82"/>
      <c r="AOO82"/>
      <c r="AOP82"/>
      <c r="AOQ82"/>
      <c r="AOR82"/>
      <c r="AOS82"/>
      <c r="AOT82"/>
      <c r="AOU82"/>
      <c r="AOV82"/>
      <c r="AOW82"/>
      <c r="AOX82"/>
      <c r="AOY82"/>
      <c r="AOZ82"/>
      <c r="APA82"/>
      <c r="APB82"/>
      <c r="APC82"/>
      <c r="APD82"/>
      <c r="APE82"/>
      <c r="APF82"/>
      <c r="APG82"/>
      <c r="APH82"/>
      <c r="API82"/>
      <c r="APJ82"/>
      <c r="APK82"/>
      <c r="APL82"/>
      <c r="APM82"/>
      <c r="APN82"/>
      <c r="APO82"/>
      <c r="APP82"/>
      <c r="APQ82"/>
      <c r="APR82"/>
      <c r="APS82"/>
      <c r="APT82"/>
      <c r="APU82"/>
      <c r="APV82"/>
      <c r="APW82"/>
      <c r="APX82"/>
      <c r="APY82"/>
      <c r="APZ82"/>
      <c r="AQA82"/>
      <c r="AQB82"/>
      <c r="AQC82"/>
      <c r="AQD82"/>
      <c r="AQE82"/>
      <c r="AQF82"/>
      <c r="AQG82"/>
      <c r="AQH82"/>
      <c r="AQI82"/>
      <c r="AQJ82"/>
      <c r="AQK82"/>
      <c r="AQL82"/>
      <c r="AQM82"/>
      <c r="AQN82"/>
      <c r="AQO82"/>
      <c r="AQP82"/>
      <c r="AQQ82"/>
      <c r="AQR82"/>
      <c r="AQS82"/>
      <c r="AQT82"/>
      <c r="AQU82"/>
      <c r="AQV82"/>
      <c r="AQW82"/>
      <c r="AQX82"/>
      <c r="AQY82"/>
      <c r="AQZ82"/>
      <c r="ARA82"/>
      <c r="ARB82"/>
      <c r="ARC82"/>
      <c r="ARD82"/>
      <c r="ARE82"/>
      <c r="ARF82"/>
      <c r="ARG82"/>
      <c r="ARH82"/>
      <c r="ARI82"/>
      <c r="ARJ82"/>
      <c r="ARK82"/>
      <c r="ARL82"/>
      <c r="ARM82"/>
      <c r="ARN82"/>
      <c r="ARO82"/>
      <c r="ARP82"/>
      <c r="ARQ82"/>
      <c r="ARR82"/>
      <c r="ARS82"/>
      <c r="ART82"/>
      <c r="ARU82"/>
      <c r="ARV82"/>
      <c r="ARW82"/>
      <c r="ARX82"/>
      <c r="ARY82"/>
      <c r="ARZ82"/>
      <c r="ASA82"/>
      <c r="ASB82"/>
      <c r="ASC82"/>
      <c r="ASD82"/>
      <c r="ASE82"/>
      <c r="ASF82"/>
      <c r="ASG82"/>
      <c r="ASH82"/>
      <c r="ASI82"/>
      <c r="ASJ82"/>
      <c r="ASK82"/>
      <c r="ASL82"/>
      <c r="ASM82"/>
      <c r="ASN82"/>
      <c r="ASO82"/>
      <c r="ASP82"/>
      <c r="ASQ82"/>
      <c r="ASR82"/>
      <c r="ASS82"/>
      <c r="AST82"/>
      <c r="ASU82"/>
      <c r="ASV82"/>
      <c r="ASW82"/>
      <c r="ASX82"/>
      <c r="ASY82"/>
      <c r="ASZ82"/>
      <c r="ATA82"/>
      <c r="ATB82"/>
      <c r="ATC82"/>
      <c r="ATD82"/>
      <c r="ATE82"/>
      <c r="ATF82"/>
      <c r="ATG82"/>
      <c r="ATH82"/>
      <c r="ATI82"/>
      <c r="ATJ82"/>
      <c r="ATK82"/>
      <c r="ATL82"/>
      <c r="ATM82"/>
      <c r="ATN82"/>
      <c r="ATO82"/>
      <c r="ATP82"/>
      <c r="ATQ82"/>
      <c r="ATR82"/>
      <c r="ATS82"/>
      <c r="ATT82"/>
      <c r="ATU82"/>
      <c r="ATV82"/>
      <c r="ATW82"/>
      <c r="ATX82"/>
      <c r="ATY82"/>
      <c r="ATZ82"/>
      <c r="AUA82"/>
      <c r="AUB82"/>
      <c r="AUC82"/>
      <c r="AUD82"/>
      <c r="AUE82"/>
      <c r="AUF82"/>
      <c r="AUG82"/>
      <c r="AUH82"/>
      <c r="AUI82"/>
      <c r="AUJ82"/>
      <c r="AUK82"/>
      <c r="AUL82"/>
      <c r="AUM82"/>
      <c r="AUN82"/>
      <c r="AUO82"/>
      <c r="AUP82"/>
      <c r="AUQ82"/>
      <c r="AUR82"/>
      <c r="AUS82"/>
      <c r="AUT82"/>
      <c r="AUU82"/>
      <c r="AUV82"/>
      <c r="AUW82"/>
      <c r="AUX82"/>
      <c r="AUY82"/>
      <c r="AUZ82"/>
      <c r="AVA82"/>
      <c r="AVB82"/>
      <c r="AVC82"/>
      <c r="AVD82"/>
      <c r="AVE82"/>
      <c r="AVF82"/>
      <c r="AVG82"/>
      <c r="AVH82"/>
      <c r="AVI82"/>
      <c r="AVJ82"/>
      <c r="AVK82"/>
      <c r="AVL82"/>
      <c r="AVM82"/>
      <c r="AVN82"/>
      <c r="AVO82"/>
      <c r="AVP82"/>
      <c r="AVQ82"/>
      <c r="AVR82"/>
      <c r="AVS82"/>
      <c r="AVT82"/>
      <c r="AVU82"/>
      <c r="AVV82"/>
      <c r="AVW82"/>
      <c r="AVX82"/>
      <c r="AVY82"/>
      <c r="AVZ82"/>
      <c r="AWA82"/>
      <c r="AWB82"/>
      <c r="AWC82"/>
      <c r="AWD82"/>
      <c r="AWE82"/>
      <c r="AWF82"/>
      <c r="AWG82"/>
      <c r="AWH82"/>
      <c r="AWI82"/>
      <c r="AWJ82"/>
      <c r="AWK82"/>
      <c r="AWL82"/>
      <c r="AWM82"/>
      <c r="AWN82"/>
      <c r="AWO82"/>
      <c r="AWP82"/>
      <c r="AWQ82"/>
      <c r="AWR82"/>
      <c r="AWS82"/>
      <c r="AWT82"/>
      <c r="AWU82"/>
      <c r="AWV82"/>
      <c r="AWW82"/>
      <c r="AWX82"/>
      <c r="AWY82"/>
      <c r="AWZ82"/>
      <c r="AXA82"/>
      <c r="AXB82"/>
      <c r="AXC82"/>
      <c r="AXD82"/>
      <c r="AXE82"/>
      <c r="AXF82"/>
      <c r="AXG82"/>
      <c r="AXH82"/>
      <c r="AXI82"/>
      <c r="AXJ82"/>
      <c r="AXK82"/>
      <c r="AXL82"/>
      <c r="AXM82"/>
      <c r="AXN82"/>
      <c r="AXO82"/>
      <c r="AXP82"/>
      <c r="AXQ82"/>
      <c r="AXR82"/>
      <c r="AXS82"/>
      <c r="AXT82"/>
      <c r="AXU82"/>
      <c r="AXV82"/>
      <c r="AXW82"/>
      <c r="AXX82"/>
      <c r="AXY82"/>
      <c r="AXZ82"/>
      <c r="AYA82"/>
      <c r="AYB82"/>
      <c r="AYC82"/>
      <c r="AYD82"/>
      <c r="AYE82"/>
      <c r="AYF82"/>
      <c r="AYG82"/>
      <c r="AYH82"/>
      <c r="AYI82"/>
      <c r="AYJ82"/>
      <c r="AYK82"/>
      <c r="AYL82"/>
      <c r="AYM82"/>
      <c r="AYN82"/>
      <c r="AYO82"/>
      <c r="AYP82"/>
      <c r="AYQ82"/>
      <c r="AYR82"/>
      <c r="AYS82"/>
      <c r="AYT82"/>
      <c r="AYU82"/>
      <c r="AYV82"/>
      <c r="AYW82"/>
      <c r="AYX82"/>
      <c r="AYY82"/>
      <c r="AYZ82"/>
      <c r="AZA82"/>
      <c r="AZB82"/>
      <c r="AZC82"/>
      <c r="AZD82"/>
      <c r="AZE82"/>
      <c r="AZF82"/>
      <c r="AZG82"/>
      <c r="AZH82"/>
      <c r="AZI82"/>
      <c r="AZJ82"/>
      <c r="AZK82"/>
      <c r="AZL82"/>
      <c r="AZM82"/>
      <c r="AZN82"/>
      <c r="AZO82"/>
      <c r="AZP82"/>
      <c r="AZQ82"/>
      <c r="AZR82"/>
      <c r="AZS82"/>
      <c r="AZT82"/>
      <c r="AZU82"/>
      <c r="AZV82"/>
      <c r="AZW82"/>
      <c r="AZX82"/>
      <c r="AZY82"/>
      <c r="AZZ82"/>
      <c r="BAA82"/>
      <c r="BAB82"/>
      <c r="BAC82"/>
      <c r="BAD82"/>
      <c r="BAE82"/>
      <c r="BAF82"/>
      <c r="BAG82"/>
      <c r="BAH82"/>
      <c r="BAI82"/>
      <c r="BAJ82"/>
      <c r="BAK82"/>
      <c r="BAL82"/>
      <c r="BAM82"/>
      <c r="BAN82"/>
      <c r="BAO82"/>
      <c r="BAP82"/>
      <c r="BAQ82"/>
      <c r="BAR82"/>
      <c r="BAS82"/>
      <c r="BAT82"/>
      <c r="BAU82"/>
      <c r="BAV82"/>
      <c r="BAW82"/>
      <c r="BAX82"/>
      <c r="BAY82"/>
      <c r="BAZ82"/>
      <c r="BBA82"/>
      <c r="BBB82"/>
      <c r="BBC82"/>
      <c r="BBD82"/>
      <c r="BBE82"/>
      <c r="BBF82"/>
      <c r="BBG82"/>
      <c r="BBH82"/>
      <c r="BBI82"/>
      <c r="BBJ82"/>
      <c r="BBK82"/>
      <c r="BBL82"/>
      <c r="BBM82"/>
      <c r="BBN82"/>
      <c r="BBO82"/>
      <c r="BBP82"/>
      <c r="BBQ82"/>
      <c r="BBR82"/>
      <c r="BBS82"/>
      <c r="BBT82"/>
      <c r="BBU82"/>
      <c r="BBV82"/>
      <c r="BBW82"/>
      <c r="BBX82"/>
      <c r="BBY82"/>
      <c r="BBZ82"/>
      <c r="BCA82"/>
      <c r="BCB82"/>
      <c r="BCC82"/>
      <c r="BCD82"/>
      <c r="BCE82"/>
      <c r="BCF82"/>
      <c r="BCG82"/>
      <c r="BCH82"/>
      <c r="BCI82"/>
      <c r="BCJ82"/>
      <c r="BCK82"/>
      <c r="BCL82"/>
      <c r="BCM82"/>
      <c r="BCN82"/>
      <c r="BCO82"/>
      <c r="BCP82"/>
      <c r="BCQ82"/>
      <c r="BCR82"/>
      <c r="BCS82"/>
      <c r="BCT82"/>
      <c r="BCU82"/>
      <c r="BCV82"/>
      <c r="BCW82"/>
      <c r="BCX82"/>
      <c r="BCY82"/>
      <c r="BCZ82"/>
      <c r="BDA82"/>
      <c r="BDB82"/>
      <c r="BDC82"/>
      <c r="BDD82"/>
      <c r="BDE82"/>
      <c r="BDF82"/>
      <c r="BDG82"/>
      <c r="BDH82"/>
      <c r="BDI82"/>
      <c r="BDJ82"/>
      <c r="BDK82"/>
      <c r="BDL82"/>
      <c r="BDM82"/>
      <c r="BDN82"/>
      <c r="BDO82"/>
      <c r="BDP82"/>
      <c r="BDQ82"/>
      <c r="BDR82"/>
      <c r="BDS82"/>
      <c r="BDT82"/>
      <c r="BDU82"/>
      <c r="BDV82"/>
      <c r="BDW82"/>
      <c r="BDX82"/>
      <c r="BDY82"/>
      <c r="BDZ82"/>
      <c r="BEA82"/>
      <c r="BEB82"/>
      <c r="BEC82"/>
      <c r="BED82"/>
      <c r="BEE82"/>
      <c r="BEF82"/>
      <c r="BEG82"/>
      <c r="BEH82"/>
      <c r="BEI82"/>
      <c r="BEJ82"/>
      <c r="BEK82"/>
      <c r="BEL82"/>
      <c r="BEM82"/>
      <c r="BEN82"/>
      <c r="BEO82"/>
      <c r="BEP82"/>
      <c r="BEQ82"/>
      <c r="BER82"/>
      <c r="BES82"/>
      <c r="BET82"/>
      <c r="BEU82"/>
      <c r="BEV82"/>
      <c r="BEW82"/>
      <c r="BEX82"/>
      <c r="BEY82"/>
      <c r="BEZ82"/>
      <c r="BFA82"/>
      <c r="BFB82"/>
      <c r="BFC82"/>
      <c r="BFD82"/>
      <c r="BFE82"/>
      <c r="BFF82"/>
      <c r="BFG82"/>
      <c r="BFH82"/>
      <c r="BFI82"/>
      <c r="BFJ82"/>
      <c r="BFK82"/>
      <c r="BFL82"/>
      <c r="BFM82"/>
      <c r="BFN82"/>
      <c r="BFO82"/>
      <c r="BFP82"/>
      <c r="BFQ82"/>
      <c r="BFR82"/>
      <c r="BFS82"/>
      <c r="BFT82"/>
      <c r="BFU82"/>
      <c r="BFV82"/>
      <c r="BFW82"/>
      <c r="BFX82"/>
      <c r="BFY82"/>
      <c r="BFZ82"/>
      <c r="BGA82"/>
      <c r="BGB82"/>
      <c r="BGC82"/>
      <c r="BGD82"/>
      <c r="BGE82"/>
      <c r="BGF82"/>
      <c r="BGG82"/>
      <c r="BGH82"/>
      <c r="BGI82"/>
      <c r="BGJ82"/>
      <c r="BGK82"/>
      <c r="BGL82"/>
      <c r="BGM82"/>
      <c r="BGN82"/>
      <c r="BGO82"/>
      <c r="BGP82"/>
      <c r="BGQ82"/>
      <c r="BGR82"/>
      <c r="BGS82"/>
      <c r="BGT82"/>
      <c r="BGU82"/>
      <c r="BGV82"/>
      <c r="BGW82"/>
      <c r="BGX82"/>
      <c r="BGY82"/>
      <c r="BGZ82"/>
      <c r="BHA82"/>
      <c r="BHB82"/>
      <c r="BHC82"/>
      <c r="BHD82"/>
      <c r="BHE82"/>
      <c r="BHF82"/>
      <c r="BHG82"/>
      <c r="BHH82"/>
      <c r="BHI82"/>
      <c r="BHJ82"/>
      <c r="BHK82"/>
      <c r="BHL82"/>
      <c r="BHM82"/>
      <c r="BHN82"/>
      <c r="BHO82"/>
      <c r="BHP82"/>
      <c r="BHQ82"/>
      <c r="BHR82"/>
      <c r="BHS82"/>
      <c r="BHT82"/>
      <c r="BHU82"/>
      <c r="BHV82"/>
      <c r="BHW82"/>
      <c r="BHX82"/>
      <c r="BHY82"/>
      <c r="BHZ82"/>
      <c r="BIA82"/>
      <c r="BIB82"/>
      <c r="BIC82"/>
      <c r="BID82"/>
      <c r="BIE82"/>
      <c r="BIF82"/>
      <c r="BIG82"/>
      <c r="BIH82"/>
      <c r="BII82"/>
      <c r="BIJ82"/>
      <c r="BIK82"/>
      <c r="BIL82"/>
      <c r="BIM82"/>
      <c r="BIN82"/>
      <c r="BIO82"/>
      <c r="BIP82"/>
      <c r="BIQ82"/>
      <c r="BIR82"/>
      <c r="BIS82"/>
      <c r="BIT82"/>
      <c r="BIU82"/>
      <c r="BIV82"/>
      <c r="BIW82"/>
      <c r="BIX82"/>
      <c r="BIY82"/>
      <c r="BIZ82"/>
      <c r="BJA82"/>
      <c r="BJB82"/>
      <c r="BJC82"/>
      <c r="BJD82"/>
      <c r="BJE82"/>
      <c r="BJF82"/>
      <c r="BJG82"/>
      <c r="BJH82"/>
      <c r="BJI82"/>
      <c r="BJJ82"/>
      <c r="BJK82"/>
      <c r="BJL82"/>
      <c r="BJM82"/>
      <c r="BJN82"/>
      <c r="BJO82"/>
      <c r="BJP82"/>
      <c r="BJQ82"/>
      <c r="BJR82"/>
      <c r="BJS82"/>
      <c r="BJT82"/>
      <c r="BJU82"/>
      <c r="BJV82"/>
      <c r="BJW82"/>
      <c r="BJX82"/>
      <c r="BJY82"/>
      <c r="BJZ82"/>
      <c r="BKA82"/>
      <c r="BKB82"/>
      <c r="BKC82"/>
      <c r="BKD82"/>
      <c r="BKE82"/>
      <c r="BKF82"/>
      <c r="BKG82"/>
      <c r="BKH82"/>
      <c r="BKI82"/>
      <c r="BKJ82"/>
      <c r="BKK82"/>
      <c r="BKL82"/>
      <c r="BKM82"/>
      <c r="BKN82"/>
      <c r="BKO82"/>
      <c r="BKP82"/>
      <c r="BKQ82"/>
      <c r="BKR82"/>
      <c r="BKS82"/>
      <c r="BKT82"/>
      <c r="BKU82"/>
      <c r="BKV82"/>
      <c r="BKW82"/>
      <c r="BKX82"/>
      <c r="BKY82"/>
      <c r="BKZ82"/>
      <c r="BLA82"/>
      <c r="BLB82"/>
      <c r="BLC82"/>
      <c r="BLD82"/>
      <c r="BLE82"/>
      <c r="BLF82"/>
      <c r="BLG82"/>
      <c r="BLH82"/>
      <c r="BLI82"/>
      <c r="BLJ82"/>
      <c r="BLK82"/>
      <c r="BLL82"/>
      <c r="BLM82"/>
      <c r="BLN82"/>
      <c r="BLO82"/>
      <c r="BLP82"/>
      <c r="BLQ82"/>
      <c r="BLR82"/>
      <c r="BLS82"/>
      <c r="BLT82"/>
      <c r="BLU82"/>
      <c r="BLV82"/>
      <c r="BLW82"/>
      <c r="BLX82"/>
      <c r="BLY82"/>
      <c r="BLZ82"/>
      <c r="BMA82"/>
      <c r="BMB82"/>
      <c r="BMC82"/>
      <c r="BMD82"/>
      <c r="BME82"/>
      <c r="BMF82"/>
      <c r="BMG82"/>
      <c r="BMH82"/>
      <c r="BMI82"/>
      <c r="BMJ82"/>
      <c r="BMK82"/>
      <c r="BML82"/>
      <c r="BMM82"/>
      <c r="BMN82"/>
      <c r="BMO82"/>
      <c r="BMP82"/>
      <c r="BMQ82"/>
      <c r="BMR82"/>
      <c r="BMS82"/>
      <c r="BMT82"/>
      <c r="BMU82"/>
      <c r="BMV82"/>
      <c r="BMW82"/>
      <c r="BMX82"/>
      <c r="BMY82"/>
      <c r="BMZ82"/>
      <c r="BNA82"/>
      <c r="BNB82"/>
      <c r="BNC82"/>
      <c r="BND82"/>
      <c r="BNE82"/>
      <c r="BNF82"/>
      <c r="BNG82"/>
      <c r="BNH82"/>
      <c r="BNI82"/>
      <c r="BNJ82"/>
      <c r="BNK82"/>
      <c r="BNL82"/>
      <c r="BNM82"/>
      <c r="BNN82"/>
      <c r="BNO82"/>
      <c r="BNP82"/>
      <c r="BNQ82"/>
      <c r="BNR82"/>
      <c r="BNS82"/>
      <c r="BNT82"/>
      <c r="BNU82"/>
      <c r="BNV82"/>
      <c r="BNW82"/>
      <c r="BNX82"/>
      <c r="BNY82"/>
      <c r="BNZ82"/>
      <c r="BOA82"/>
      <c r="BOB82"/>
      <c r="BOC82"/>
      <c r="BOD82"/>
      <c r="BOE82"/>
      <c r="BOF82"/>
      <c r="BOG82"/>
      <c r="BOH82"/>
      <c r="BOI82"/>
      <c r="BOJ82"/>
      <c r="BOK82"/>
      <c r="BOL82"/>
      <c r="BOM82"/>
      <c r="BON82"/>
      <c r="BOO82"/>
      <c r="BOP82"/>
      <c r="BOQ82"/>
      <c r="BOR82"/>
      <c r="BOS82"/>
      <c r="BOT82"/>
      <c r="BOU82"/>
      <c r="BOV82"/>
      <c r="BOW82"/>
      <c r="BOX82"/>
      <c r="BOY82"/>
      <c r="BOZ82"/>
      <c r="BPA82"/>
      <c r="BPB82"/>
      <c r="BPC82"/>
      <c r="BPD82"/>
      <c r="BPE82"/>
      <c r="BPF82"/>
      <c r="BPG82"/>
      <c r="BPH82"/>
      <c r="BPI82"/>
      <c r="BPJ82"/>
      <c r="BPK82"/>
      <c r="BPL82"/>
      <c r="BPM82"/>
      <c r="BPN82"/>
      <c r="BPO82"/>
      <c r="BPP82"/>
      <c r="BPQ82"/>
      <c r="BPR82"/>
      <c r="BPS82"/>
      <c r="BPT82"/>
      <c r="BPU82"/>
      <c r="BPV82"/>
      <c r="BPW82"/>
      <c r="BPX82"/>
      <c r="BPY82"/>
      <c r="BPZ82"/>
      <c r="BQA82"/>
      <c r="BQB82"/>
      <c r="BQC82"/>
      <c r="BQD82"/>
      <c r="BQE82"/>
      <c r="BQF82"/>
      <c r="BQG82"/>
      <c r="BQH82"/>
      <c r="BQI82"/>
      <c r="BQJ82"/>
      <c r="BQK82"/>
      <c r="BQL82"/>
      <c r="BQM82"/>
      <c r="BQN82"/>
      <c r="BQO82"/>
      <c r="BQP82"/>
      <c r="BQQ82"/>
      <c r="BQR82"/>
      <c r="BQS82"/>
      <c r="BQT82"/>
      <c r="BQU82"/>
      <c r="BQV82"/>
      <c r="BQW82"/>
      <c r="BQX82"/>
      <c r="BQY82"/>
      <c r="BQZ82"/>
      <c r="BRA82"/>
      <c r="BRB82"/>
      <c r="BRC82"/>
      <c r="BRD82"/>
      <c r="BRE82"/>
      <c r="BRF82"/>
      <c r="BRG82"/>
      <c r="BRH82"/>
      <c r="BRI82"/>
      <c r="BRJ82"/>
      <c r="BRK82"/>
      <c r="BRL82"/>
      <c r="BRM82"/>
      <c r="BRN82"/>
      <c r="BRO82"/>
      <c r="BRP82"/>
      <c r="BRQ82"/>
      <c r="BRR82"/>
      <c r="BRS82"/>
      <c r="BRT82"/>
      <c r="BRU82"/>
      <c r="BRV82"/>
      <c r="BRW82"/>
      <c r="BRX82"/>
      <c r="BRY82"/>
      <c r="BRZ82"/>
      <c r="BSA82"/>
      <c r="BSB82"/>
      <c r="BSC82"/>
      <c r="BSD82"/>
      <c r="BSE82"/>
      <c r="BSF82"/>
      <c r="BSG82"/>
      <c r="BSH82"/>
      <c r="BSI82"/>
      <c r="BSJ82"/>
      <c r="BSK82"/>
      <c r="BSL82"/>
      <c r="BSM82"/>
      <c r="BSN82"/>
      <c r="BSO82"/>
      <c r="BSP82"/>
      <c r="BSQ82"/>
      <c r="BSR82"/>
      <c r="BSS82"/>
      <c r="BST82"/>
      <c r="BSU82"/>
      <c r="BSV82"/>
      <c r="BSW82"/>
      <c r="BSX82"/>
      <c r="BSY82"/>
      <c r="BSZ82"/>
      <c r="BTA82"/>
      <c r="BTB82"/>
      <c r="BTC82"/>
      <c r="BTD82"/>
      <c r="BTE82"/>
      <c r="BTF82"/>
      <c r="BTG82"/>
      <c r="BTH82"/>
      <c r="BTI82"/>
      <c r="BTJ82"/>
      <c r="BTK82"/>
      <c r="BTL82"/>
      <c r="BTM82"/>
      <c r="BTN82"/>
      <c r="BTO82"/>
      <c r="BTP82"/>
      <c r="BTQ82"/>
      <c r="BTR82"/>
      <c r="BTS82"/>
      <c r="BTT82"/>
      <c r="BTU82"/>
      <c r="BTV82"/>
      <c r="BTW82"/>
      <c r="BTX82"/>
      <c r="BTY82"/>
      <c r="BTZ82"/>
      <c r="BUA82"/>
      <c r="BUB82"/>
      <c r="BUC82"/>
      <c r="BUD82"/>
      <c r="BUE82"/>
      <c r="BUF82"/>
      <c r="BUG82"/>
      <c r="BUH82"/>
      <c r="BUI82"/>
      <c r="BUJ82"/>
      <c r="BUK82"/>
      <c r="BUL82"/>
      <c r="BUM82"/>
      <c r="BUN82"/>
      <c r="BUO82"/>
      <c r="BUP82"/>
      <c r="BUQ82"/>
      <c r="BUR82"/>
      <c r="BUS82"/>
      <c r="BUT82"/>
      <c r="BUU82"/>
      <c r="BUV82"/>
      <c r="BUW82"/>
      <c r="BUX82"/>
      <c r="BUY82"/>
      <c r="BUZ82"/>
      <c r="BVA82"/>
      <c r="BVB82"/>
      <c r="BVC82"/>
      <c r="BVD82"/>
      <c r="BVE82"/>
      <c r="BVF82"/>
      <c r="BVG82"/>
      <c r="BVH82"/>
      <c r="BVI82"/>
      <c r="BVJ82"/>
      <c r="BVK82"/>
      <c r="BVL82"/>
      <c r="BVM82"/>
      <c r="BVN82"/>
      <c r="BVO82"/>
      <c r="BVP82"/>
      <c r="BVQ82"/>
      <c r="BVR82"/>
      <c r="BVS82"/>
      <c r="BVT82"/>
      <c r="BVU82"/>
      <c r="BVV82"/>
      <c r="BVW82"/>
      <c r="BVX82"/>
      <c r="BVY82"/>
      <c r="BVZ82"/>
      <c r="BWA82"/>
      <c r="BWB82"/>
      <c r="BWC82"/>
      <c r="BWD82"/>
      <c r="BWE82"/>
      <c r="BWF82"/>
      <c r="BWG82"/>
      <c r="BWH82"/>
      <c r="BWI82"/>
      <c r="BWJ82"/>
      <c r="BWK82"/>
      <c r="BWL82"/>
      <c r="BWM82"/>
      <c r="BWN82"/>
      <c r="BWO82"/>
      <c r="BWP82"/>
      <c r="BWQ82"/>
      <c r="BWR82"/>
      <c r="BWS82"/>
      <c r="BWT82"/>
      <c r="BWU82"/>
      <c r="BWV82"/>
      <c r="BWW82"/>
      <c r="BWX82"/>
      <c r="BWY82"/>
      <c r="BWZ82"/>
      <c r="BXA82"/>
      <c r="BXB82"/>
      <c r="BXC82"/>
      <c r="BXD82"/>
      <c r="BXE82"/>
      <c r="BXF82"/>
      <c r="BXG82"/>
      <c r="BXH82"/>
      <c r="BXI82"/>
      <c r="BXJ82"/>
      <c r="BXK82"/>
      <c r="BXL82"/>
      <c r="BXM82"/>
      <c r="BXN82"/>
      <c r="BXO82"/>
      <c r="BXP82"/>
      <c r="BXQ82"/>
      <c r="BXR82"/>
      <c r="BXS82"/>
      <c r="BXT82"/>
      <c r="BXU82"/>
      <c r="BXV82"/>
      <c r="BXW82"/>
      <c r="BXX82"/>
      <c r="BXY82"/>
      <c r="BXZ82"/>
      <c r="BYA82"/>
      <c r="BYB82"/>
      <c r="BYC82"/>
      <c r="BYD82"/>
      <c r="BYE82"/>
      <c r="BYF82"/>
      <c r="BYG82"/>
      <c r="BYH82"/>
      <c r="BYI82"/>
      <c r="BYJ82"/>
      <c r="BYK82"/>
      <c r="BYL82"/>
      <c r="BYM82"/>
      <c r="BYN82"/>
      <c r="BYO82"/>
      <c r="BYP82"/>
      <c r="BYQ82"/>
      <c r="BYR82"/>
      <c r="BYS82"/>
      <c r="BYT82"/>
      <c r="BYU82"/>
      <c r="BYV82"/>
      <c r="BYW82"/>
      <c r="BYX82"/>
      <c r="BYY82"/>
      <c r="BYZ82"/>
      <c r="BZA82"/>
      <c r="BZB82"/>
      <c r="BZC82"/>
      <c r="BZD82"/>
      <c r="BZE82"/>
      <c r="BZF82"/>
      <c r="BZG82"/>
      <c r="BZH82"/>
      <c r="BZI82"/>
      <c r="BZJ82"/>
      <c r="BZK82"/>
      <c r="BZL82"/>
      <c r="BZM82"/>
      <c r="BZN82"/>
      <c r="BZO82"/>
      <c r="BZP82"/>
      <c r="BZQ82"/>
      <c r="BZR82"/>
      <c r="BZS82"/>
      <c r="BZT82"/>
      <c r="BZU82"/>
      <c r="BZV82"/>
      <c r="BZW82"/>
      <c r="BZX82"/>
      <c r="BZY82"/>
      <c r="BZZ82"/>
      <c r="CAA82"/>
      <c r="CAB82"/>
      <c r="CAC82"/>
      <c r="CAD82"/>
      <c r="CAE82"/>
      <c r="CAF82"/>
      <c r="CAG82"/>
      <c r="CAH82"/>
      <c r="CAI82"/>
      <c r="CAJ82"/>
      <c r="CAK82"/>
      <c r="CAL82"/>
      <c r="CAM82"/>
      <c r="CAN82"/>
      <c r="CAO82"/>
      <c r="CAP82"/>
      <c r="CAQ82"/>
      <c r="CAR82"/>
      <c r="CAS82"/>
      <c r="CAT82"/>
      <c r="CAU82"/>
      <c r="CAV82"/>
      <c r="CAW82"/>
      <c r="CAX82"/>
      <c r="CAY82"/>
      <c r="CAZ82"/>
      <c r="CBA82"/>
      <c r="CBB82"/>
      <c r="CBC82"/>
      <c r="CBD82"/>
      <c r="CBE82"/>
      <c r="CBF82"/>
      <c r="CBG82"/>
      <c r="CBH82"/>
      <c r="CBI82"/>
      <c r="CBJ82"/>
      <c r="CBK82"/>
      <c r="CBL82"/>
      <c r="CBM82"/>
      <c r="CBN82"/>
      <c r="CBO82"/>
      <c r="CBP82"/>
      <c r="CBQ82"/>
      <c r="CBR82"/>
      <c r="CBS82"/>
      <c r="CBT82"/>
      <c r="CBU82"/>
      <c r="CBV82"/>
      <c r="CBW82"/>
      <c r="CBX82"/>
      <c r="CBY82"/>
      <c r="CBZ82"/>
      <c r="CCA82"/>
      <c r="CCB82"/>
      <c r="CCC82"/>
      <c r="CCD82"/>
      <c r="CCE82"/>
      <c r="CCF82"/>
      <c r="CCG82"/>
      <c r="CCH82"/>
      <c r="CCI82"/>
      <c r="CCJ82"/>
      <c r="CCK82"/>
      <c r="CCL82"/>
      <c r="CCM82"/>
      <c r="CCN82"/>
      <c r="CCO82"/>
      <c r="CCP82"/>
      <c r="CCQ82"/>
      <c r="CCR82"/>
      <c r="CCS82"/>
      <c r="CCT82"/>
      <c r="CCU82"/>
      <c r="CCV82"/>
      <c r="CCW82"/>
      <c r="CCX82"/>
      <c r="CCY82"/>
      <c r="CCZ82"/>
      <c r="CDA82"/>
      <c r="CDB82"/>
      <c r="CDC82"/>
      <c r="CDD82"/>
      <c r="CDE82"/>
      <c r="CDF82"/>
      <c r="CDG82"/>
      <c r="CDH82"/>
      <c r="CDI82"/>
      <c r="CDJ82"/>
      <c r="CDK82"/>
      <c r="CDL82"/>
      <c r="CDM82"/>
      <c r="CDN82"/>
      <c r="CDO82"/>
      <c r="CDP82"/>
      <c r="CDQ82"/>
      <c r="CDR82"/>
      <c r="CDS82"/>
      <c r="CDT82"/>
      <c r="CDU82"/>
      <c r="CDV82"/>
      <c r="CDW82"/>
      <c r="CDX82"/>
      <c r="CDY82"/>
      <c r="CDZ82"/>
      <c r="CEA82"/>
      <c r="CEB82"/>
      <c r="CEC82"/>
      <c r="CED82"/>
      <c r="CEE82"/>
      <c r="CEF82"/>
      <c r="CEG82"/>
      <c r="CEH82"/>
      <c r="CEI82"/>
      <c r="CEJ82"/>
      <c r="CEK82"/>
      <c r="CEL82"/>
      <c r="CEM82"/>
      <c r="CEN82"/>
      <c r="CEO82"/>
      <c r="CEP82"/>
      <c r="CEQ82"/>
      <c r="CER82"/>
      <c r="CES82"/>
      <c r="CET82"/>
      <c r="CEU82"/>
      <c r="CEV82"/>
      <c r="CEW82"/>
      <c r="CEX82"/>
      <c r="CEY82"/>
      <c r="CEZ82"/>
      <c r="CFA82"/>
      <c r="CFB82"/>
      <c r="CFC82"/>
      <c r="CFD82"/>
      <c r="CFE82"/>
      <c r="CFF82"/>
      <c r="CFG82"/>
      <c r="CFH82"/>
      <c r="CFI82"/>
      <c r="CFJ82"/>
      <c r="CFK82"/>
      <c r="CFL82"/>
      <c r="CFM82"/>
      <c r="CFN82"/>
      <c r="CFO82"/>
      <c r="CFP82"/>
      <c r="CFQ82"/>
      <c r="CFR82"/>
      <c r="CFS82"/>
      <c r="CFT82"/>
      <c r="CFU82"/>
      <c r="CFV82"/>
      <c r="CFW82"/>
      <c r="CFX82"/>
      <c r="CFY82"/>
      <c r="CFZ82"/>
      <c r="CGA82"/>
      <c r="CGB82"/>
      <c r="CGC82"/>
      <c r="CGD82"/>
      <c r="CGE82"/>
      <c r="CGF82"/>
      <c r="CGG82"/>
      <c r="CGH82"/>
      <c r="CGI82"/>
      <c r="CGJ82"/>
      <c r="CGK82"/>
      <c r="CGL82"/>
      <c r="CGM82"/>
      <c r="CGN82"/>
      <c r="CGO82"/>
      <c r="CGP82"/>
      <c r="CGQ82"/>
      <c r="CGR82"/>
      <c r="CGS82"/>
      <c r="CGT82"/>
      <c r="CGU82"/>
      <c r="CGV82"/>
      <c r="CGW82"/>
      <c r="CGX82"/>
      <c r="CGY82"/>
      <c r="CGZ82"/>
      <c r="CHA82"/>
      <c r="CHB82"/>
      <c r="CHC82"/>
      <c r="CHD82"/>
      <c r="CHE82"/>
      <c r="CHF82"/>
      <c r="CHG82"/>
      <c r="CHH82"/>
      <c r="CHI82"/>
      <c r="CHJ82"/>
      <c r="CHK82"/>
      <c r="CHL82"/>
      <c r="CHM82"/>
      <c r="CHN82"/>
      <c r="CHO82"/>
      <c r="CHP82"/>
      <c r="CHQ82"/>
      <c r="CHR82"/>
      <c r="CHS82"/>
      <c r="CHT82"/>
      <c r="CHU82"/>
      <c r="CHV82"/>
      <c r="CHW82"/>
      <c r="CHX82"/>
      <c r="CHY82"/>
      <c r="CHZ82"/>
      <c r="CIA82"/>
      <c r="CIB82"/>
      <c r="CIC82"/>
      <c r="CID82"/>
      <c r="CIE82"/>
      <c r="CIF82"/>
      <c r="CIG82"/>
      <c r="CIH82"/>
      <c r="CII82"/>
      <c r="CIJ82"/>
      <c r="CIK82"/>
      <c r="CIL82"/>
      <c r="CIM82"/>
      <c r="CIN82"/>
      <c r="CIO82"/>
      <c r="CIP82"/>
      <c r="CIQ82"/>
      <c r="CIR82"/>
      <c r="CIS82"/>
      <c r="CIT82"/>
      <c r="CIU82"/>
      <c r="CIV82"/>
      <c r="CIW82"/>
      <c r="CIX82"/>
      <c r="CIY82"/>
      <c r="CIZ82"/>
      <c r="CJA82"/>
      <c r="CJB82"/>
      <c r="CJC82"/>
      <c r="CJD82"/>
      <c r="CJE82"/>
      <c r="CJF82"/>
      <c r="CJG82"/>
      <c r="CJH82"/>
      <c r="CJI82"/>
      <c r="CJJ82"/>
      <c r="CJK82"/>
      <c r="CJL82"/>
      <c r="CJM82"/>
      <c r="CJN82"/>
      <c r="CJO82"/>
      <c r="CJP82"/>
      <c r="CJQ82"/>
      <c r="CJR82"/>
      <c r="CJS82"/>
      <c r="CJT82"/>
      <c r="CJU82"/>
      <c r="CJV82"/>
      <c r="CJW82"/>
      <c r="CJX82"/>
      <c r="CJY82"/>
      <c r="CJZ82"/>
      <c r="CKA82"/>
      <c r="CKB82"/>
      <c r="CKC82"/>
      <c r="CKD82"/>
      <c r="CKE82"/>
      <c r="CKF82"/>
      <c r="CKG82"/>
      <c r="CKH82"/>
      <c r="CKI82"/>
      <c r="CKJ82"/>
      <c r="CKK82"/>
      <c r="CKL82"/>
      <c r="CKM82"/>
      <c r="CKN82"/>
      <c r="CKO82"/>
      <c r="CKP82"/>
      <c r="CKQ82"/>
      <c r="CKR82"/>
      <c r="CKS82"/>
      <c r="CKT82"/>
      <c r="CKU82"/>
      <c r="CKV82"/>
      <c r="CKW82"/>
      <c r="CKX82"/>
      <c r="CKY82"/>
      <c r="CKZ82"/>
      <c r="CLA82"/>
      <c r="CLB82"/>
      <c r="CLC82"/>
      <c r="CLD82"/>
      <c r="CLE82"/>
      <c r="CLF82"/>
      <c r="CLG82"/>
      <c r="CLH82"/>
      <c r="CLI82"/>
      <c r="CLJ82"/>
      <c r="CLK82"/>
      <c r="CLL82"/>
      <c r="CLM82"/>
      <c r="CLN82"/>
      <c r="CLO82"/>
      <c r="CLP82"/>
      <c r="CLQ82"/>
      <c r="CLR82"/>
      <c r="CLS82"/>
      <c r="CLT82"/>
      <c r="CLU82"/>
      <c r="CLV82"/>
      <c r="CLW82"/>
      <c r="CLX82"/>
      <c r="CLY82"/>
      <c r="CLZ82"/>
      <c r="CMA82"/>
      <c r="CMB82"/>
      <c r="CMC82"/>
      <c r="CMD82"/>
      <c r="CME82"/>
      <c r="CMF82"/>
      <c r="CMG82"/>
      <c r="CMH82"/>
      <c r="CMI82"/>
      <c r="CMJ82"/>
      <c r="CMK82"/>
      <c r="CML82"/>
      <c r="CMM82"/>
      <c r="CMN82"/>
      <c r="CMO82"/>
      <c r="CMP82"/>
      <c r="CMQ82"/>
      <c r="CMR82"/>
      <c r="CMS82"/>
      <c r="CMT82"/>
      <c r="CMU82"/>
      <c r="CMV82"/>
      <c r="CMW82"/>
      <c r="CMX82"/>
      <c r="CMY82"/>
      <c r="CMZ82"/>
      <c r="CNA82"/>
      <c r="CNB82"/>
      <c r="CNC82"/>
      <c r="CND82"/>
      <c r="CNE82"/>
      <c r="CNF82"/>
      <c r="CNG82"/>
      <c r="CNH82"/>
      <c r="CNI82"/>
      <c r="CNJ82"/>
      <c r="CNK82"/>
      <c r="CNL82"/>
      <c r="CNM82"/>
      <c r="CNN82"/>
      <c r="CNO82"/>
      <c r="CNP82"/>
      <c r="CNQ82"/>
      <c r="CNR82"/>
      <c r="CNS82"/>
      <c r="CNT82"/>
      <c r="CNU82"/>
      <c r="CNV82"/>
      <c r="CNW82"/>
      <c r="CNX82"/>
      <c r="CNY82"/>
      <c r="CNZ82"/>
      <c r="COA82"/>
      <c r="COB82"/>
      <c r="COC82"/>
      <c r="COD82"/>
      <c r="COE82"/>
      <c r="COF82"/>
      <c r="COG82"/>
      <c r="COH82"/>
      <c r="COI82"/>
      <c r="COJ82"/>
      <c r="COK82"/>
      <c r="COL82"/>
      <c r="COM82"/>
      <c r="CON82"/>
      <c r="COO82"/>
      <c r="COP82"/>
      <c r="COQ82"/>
      <c r="COR82"/>
      <c r="COS82"/>
      <c r="COT82"/>
      <c r="COU82"/>
      <c r="COV82"/>
      <c r="COW82"/>
      <c r="COX82"/>
      <c r="COY82"/>
      <c r="COZ82"/>
      <c r="CPA82"/>
      <c r="CPB82"/>
      <c r="CPC82"/>
      <c r="CPD82"/>
      <c r="CPE82"/>
      <c r="CPF82"/>
      <c r="CPG82"/>
      <c r="CPH82"/>
      <c r="CPI82"/>
      <c r="CPJ82"/>
      <c r="CPK82"/>
      <c r="CPL82"/>
      <c r="CPM82"/>
      <c r="CPN82"/>
      <c r="CPO82"/>
      <c r="CPP82"/>
      <c r="CPQ82"/>
      <c r="CPR82"/>
      <c r="CPS82"/>
      <c r="CPT82"/>
      <c r="CPU82"/>
      <c r="CPV82"/>
      <c r="CPW82"/>
      <c r="CPX82"/>
      <c r="CPY82"/>
      <c r="CPZ82"/>
      <c r="CQA82"/>
      <c r="CQB82"/>
      <c r="CQC82"/>
      <c r="CQD82"/>
      <c r="CQE82"/>
      <c r="CQF82"/>
      <c r="CQG82"/>
      <c r="CQH82"/>
      <c r="CQI82"/>
      <c r="CQJ82"/>
      <c r="CQK82"/>
      <c r="CQL82"/>
      <c r="CQM82"/>
      <c r="CQN82"/>
      <c r="CQO82"/>
      <c r="CQP82"/>
      <c r="CQQ82"/>
      <c r="CQR82"/>
      <c r="CQS82"/>
      <c r="CQT82"/>
      <c r="CQU82"/>
      <c r="CQV82"/>
      <c r="CQW82"/>
      <c r="CQX82"/>
      <c r="CQY82"/>
      <c r="CQZ82"/>
      <c r="CRA82"/>
      <c r="CRB82"/>
      <c r="CRC82"/>
      <c r="CRD82"/>
      <c r="CRE82"/>
      <c r="CRF82"/>
      <c r="CRG82"/>
      <c r="CRH82"/>
      <c r="CRI82"/>
      <c r="CRJ82"/>
      <c r="CRK82"/>
      <c r="CRL82"/>
      <c r="CRM82"/>
      <c r="CRN82"/>
      <c r="CRO82"/>
      <c r="CRP82"/>
      <c r="CRQ82"/>
      <c r="CRR82"/>
      <c r="CRS82"/>
      <c r="CRT82"/>
      <c r="CRU82"/>
      <c r="CRV82"/>
      <c r="CRW82"/>
      <c r="CRX82"/>
      <c r="CRY82"/>
      <c r="CRZ82"/>
      <c r="CSA82"/>
      <c r="CSB82"/>
      <c r="CSC82"/>
      <c r="CSD82"/>
      <c r="CSE82"/>
      <c r="CSF82"/>
      <c r="CSG82"/>
      <c r="CSH82"/>
      <c r="CSI82"/>
      <c r="CSJ82"/>
      <c r="CSK82"/>
      <c r="CSL82"/>
      <c r="CSM82"/>
      <c r="CSN82"/>
      <c r="CSO82"/>
      <c r="CSP82"/>
      <c r="CSQ82"/>
      <c r="CSR82"/>
      <c r="CSS82"/>
      <c r="CST82"/>
      <c r="CSU82"/>
      <c r="CSV82"/>
      <c r="CSW82"/>
      <c r="CSX82"/>
      <c r="CSY82"/>
      <c r="CSZ82"/>
      <c r="CTA82"/>
      <c r="CTB82"/>
      <c r="CTC82"/>
      <c r="CTD82"/>
      <c r="CTE82"/>
      <c r="CTF82"/>
      <c r="CTG82"/>
      <c r="CTH82"/>
      <c r="CTI82"/>
      <c r="CTJ82"/>
      <c r="CTK82"/>
      <c r="CTL82"/>
      <c r="CTM82"/>
      <c r="CTN82"/>
      <c r="CTO82"/>
      <c r="CTP82"/>
      <c r="CTQ82"/>
      <c r="CTR82"/>
      <c r="CTS82"/>
      <c r="CTT82"/>
      <c r="CTU82"/>
      <c r="CTV82"/>
      <c r="CTW82"/>
      <c r="CTX82"/>
      <c r="CTY82"/>
      <c r="CTZ82"/>
      <c r="CUA82"/>
      <c r="CUB82"/>
      <c r="CUC82"/>
      <c r="CUD82"/>
      <c r="CUE82"/>
      <c r="CUF82"/>
      <c r="CUG82"/>
      <c r="CUH82"/>
      <c r="CUI82"/>
      <c r="CUJ82"/>
      <c r="CUK82"/>
      <c r="CUL82"/>
      <c r="CUM82"/>
      <c r="CUN82"/>
      <c r="CUO82"/>
      <c r="CUP82"/>
      <c r="CUQ82"/>
      <c r="CUR82"/>
      <c r="CUS82"/>
      <c r="CUT82"/>
      <c r="CUU82"/>
      <c r="CUV82"/>
      <c r="CUW82"/>
      <c r="CUX82"/>
      <c r="CUY82"/>
      <c r="CUZ82"/>
      <c r="CVA82"/>
      <c r="CVB82"/>
      <c r="CVC82"/>
      <c r="CVD82"/>
      <c r="CVE82"/>
      <c r="CVF82"/>
      <c r="CVG82"/>
      <c r="CVH82"/>
      <c r="CVI82"/>
      <c r="CVJ82"/>
      <c r="CVK82"/>
      <c r="CVL82"/>
      <c r="CVM82"/>
      <c r="CVN82"/>
      <c r="CVO82"/>
      <c r="CVP82"/>
      <c r="CVQ82"/>
      <c r="CVR82"/>
      <c r="CVS82"/>
      <c r="CVT82"/>
      <c r="CVU82"/>
      <c r="CVV82"/>
      <c r="CVW82"/>
      <c r="CVX82"/>
      <c r="CVY82"/>
      <c r="CVZ82"/>
      <c r="CWA82"/>
      <c r="CWB82"/>
      <c r="CWC82"/>
      <c r="CWD82"/>
      <c r="CWE82"/>
      <c r="CWF82"/>
      <c r="CWG82"/>
      <c r="CWH82"/>
      <c r="CWI82"/>
      <c r="CWJ82"/>
      <c r="CWK82"/>
      <c r="CWL82"/>
      <c r="CWM82"/>
      <c r="CWN82"/>
      <c r="CWO82"/>
      <c r="CWP82"/>
      <c r="CWQ82"/>
      <c r="CWR82"/>
      <c r="CWS82"/>
      <c r="CWT82"/>
      <c r="CWU82"/>
      <c r="CWV82"/>
      <c r="CWW82"/>
      <c r="CWX82"/>
      <c r="CWY82"/>
      <c r="CWZ82"/>
      <c r="CXA82"/>
      <c r="CXB82"/>
      <c r="CXC82"/>
      <c r="CXD82"/>
      <c r="CXE82"/>
      <c r="CXF82"/>
      <c r="CXG82"/>
      <c r="CXH82"/>
      <c r="CXI82"/>
      <c r="CXJ82"/>
      <c r="CXK82"/>
      <c r="CXL82"/>
      <c r="CXM82"/>
      <c r="CXN82"/>
      <c r="CXO82"/>
      <c r="CXP82"/>
      <c r="CXQ82"/>
      <c r="CXR82"/>
      <c r="CXS82"/>
      <c r="CXT82"/>
      <c r="CXU82"/>
      <c r="CXV82"/>
      <c r="CXW82"/>
      <c r="CXX82"/>
      <c r="CXY82"/>
      <c r="CXZ82"/>
      <c r="CYA82"/>
      <c r="CYB82"/>
      <c r="CYC82"/>
      <c r="CYD82"/>
      <c r="CYE82"/>
      <c r="CYF82"/>
      <c r="CYG82"/>
      <c r="CYH82"/>
      <c r="CYI82"/>
      <c r="CYJ82"/>
      <c r="CYK82"/>
      <c r="CYL82"/>
      <c r="CYM82"/>
      <c r="CYN82"/>
      <c r="CYO82"/>
      <c r="CYP82"/>
      <c r="CYQ82"/>
      <c r="CYR82"/>
      <c r="CYS82"/>
      <c r="CYT82"/>
      <c r="CYU82"/>
      <c r="CYV82"/>
      <c r="CYW82"/>
      <c r="CYX82"/>
      <c r="CYY82"/>
      <c r="CYZ82"/>
      <c r="CZA82"/>
      <c r="CZB82"/>
      <c r="CZC82"/>
      <c r="CZD82"/>
      <c r="CZE82"/>
      <c r="CZF82"/>
      <c r="CZG82"/>
      <c r="CZH82"/>
      <c r="CZI82"/>
      <c r="CZJ82"/>
      <c r="CZK82"/>
      <c r="CZL82"/>
      <c r="CZM82"/>
      <c r="CZN82"/>
      <c r="CZO82"/>
      <c r="CZP82"/>
      <c r="CZQ82"/>
      <c r="CZR82"/>
      <c r="CZS82"/>
      <c r="CZT82"/>
      <c r="CZU82"/>
      <c r="CZV82"/>
      <c r="CZW82"/>
      <c r="CZX82"/>
      <c r="CZY82"/>
      <c r="CZZ82"/>
      <c r="DAA82"/>
      <c r="DAB82"/>
      <c r="DAC82"/>
      <c r="DAD82"/>
      <c r="DAE82"/>
      <c r="DAF82"/>
      <c r="DAG82"/>
      <c r="DAH82"/>
      <c r="DAI82"/>
      <c r="DAJ82"/>
      <c r="DAK82"/>
      <c r="DAL82"/>
      <c r="DAM82"/>
      <c r="DAN82"/>
      <c r="DAO82"/>
      <c r="DAP82"/>
      <c r="DAQ82"/>
      <c r="DAR82"/>
      <c r="DAS82"/>
      <c r="DAT82"/>
      <c r="DAU82"/>
      <c r="DAV82"/>
      <c r="DAW82"/>
      <c r="DAX82"/>
      <c r="DAY82"/>
      <c r="DAZ82"/>
      <c r="DBA82"/>
      <c r="DBB82"/>
      <c r="DBC82"/>
      <c r="DBD82"/>
      <c r="DBE82"/>
      <c r="DBF82"/>
      <c r="DBG82"/>
      <c r="DBH82"/>
      <c r="DBI82"/>
      <c r="DBJ82"/>
      <c r="DBK82"/>
      <c r="DBL82"/>
      <c r="DBM82"/>
      <c r="DBN82"/>
      <c r="DBO82"/>
      <c r="DBP82"/>
      <c r="DBQ82"/>
      <c r="DBR82"/>
      <c r="DBS82"/>
      <c r="DBT82"/>
      <c r="DBU82"/>
      <c r="DBV82"/>
      <c r="DBW82"/>
      <c r="DBX82"/>
      <c r="DBY82"/>
      <c r="DBZ82"/>
      <c r="DCA82"/>
      <c r="DCB82"/>
      <c r="DCC82"/>
      <c r="DCD82"/>
      <c r="DCE82"/>
      <c r="DCF82"/>
      <c r="DCG82"/>
      <c r="DCH82"/>
      <c r="DCI82"/>
      <c r="DCJ82"/>
      <c r="DCK82"/>
      <c r="DCL82"/>
      <c r="DCM82"/>
      <c r="DCN82"/>
      <c r="DCO82"/>
      <c r="DCP82"/>
      <c r="DCQ82"/>
      <c r="DCR82"/>
      <c r="DCS82"/>
      <c r="DCT82"/>
      <c r="DCU82"/>
      <c r="DCV82"/>
      <c r="DCW82"/>
      <c r="DCX82"/>
      <c r="DCY82"/>
      <c r="DCZ82"/>
      <c r="DDA82"/>
      <c r="DDB82"/>
      <c r="DDC82"/>
      <c r="DDD82"/>
      <c r="DDE82"/>
      <c r="DDF82"/>
      <c r="DDG82"/>
      <c r="DDH82"/>
      <c r="DDI82"/>
      <c r="DDJ82"/>
      <c r="DDK82"/>
      <c r="DDL82"/>
      <c r="DDM82"/>
      <c r="DDN82"/>
      <c r="DDO82"/>
      <c r="DDP82"/>
      <c r="DDQ82"/>
      <c r="DDR82"/>
      <c r="DDS82"/>
      <c r="DDT82"/>
      <c r="DDU82"/>
      <c r="DDV82"/>
      <c r="DDW82"/>
      <c r="DDX82"/>
      <c r="DDY82"/>
      <c r="DDZ82"/>
      <c r="DEA82"/>
      <c r="DEB82"/>
      <c r="DEC82"/>
      <c r="DED82"/>
      <c r="DEE82"/>
      <c r="DEF82"/>
      <c r="DEG82"/>
      <c r="DEH82"/>
      <c r="DEI82"/>
      <c r="DEJ82"/>
      <c r="DEK82"/>
      <c r="DEL82"/>
      <c r="DEM82"/>
      <c r="DEN82"/>
      <c r="DEO82"/>
      <c r="DEP82"/>
      <c r="DEQ82"/>
      <c r="DER82"/>
      <c r="DES82"/>
      <c r="DET82"/>
      <c r="DEU82"/>
      <c r="DEV82"/>
      <c r="DEW82"/>
      <c r="DEX82"/>
      <c r="DEY82"/>
      <c r="DEZ82"/>
      <c r="DFA82"/>
      <c r="DFB82"/>
      <c r="DFC82"/>
      <c r="DFD82"/>
      <c r="DFE82"/>
      <c r="DFF82"/>
      <c r="DFG82"/>
      <c r="DFH82"/>
      <c r="DFI82"/>
      <c r="DFJ82"/>
      <c r="DFK82"/>
      <c r="DFL82"/>
      <c r="DFM82"/>
      <c r="DFN82"/>
      <c r="DFO82"/>
      <c r="DFP82"/>
      <c r="DFQ82"/>
      <c r="DFR82"/>
      <c r="DFS82"/>
      <c r="DFT82"/>
      <c r="DFU82"/>
      <c r="DFV82"/>
      <c r="DFW82"/>
      <c r="DFX82"/>
      <c r="DFY82"/>
      <c r="DFZ82"/>
      <c r="DGA82"/>
      <c r="DGB82"/>
      <c r="DGC82"/>
      <c r="DGD82"/>
      <c r="DGE82"/>
      <c r="DGF82"/>
      <c r="DGG82"/>
      <c r="DGH82"/>
      <c r="DGI82"/>
      <c r="DGJ82"/>
      <c r="DGK82"/>
      <c r="DGL82"/>
      <c r="DGM82"/>
      <c r="DGN82"/>
      <c r="DGO82"/>
      <c r="DGP82"/>
      <c r="DGQ82"/>
      <c r="DGR82"/>
      <c r="DGS82"/>
      <c r="DGT82"/>
      <c r="DGU82"/>
      <c r="DGV82"/>
      <c r="DGW82"/>
      <c r="DGX82"/>
      <c r="DGY82"/>
      <c r="DGZ82"/>
      <c r="DHA82"/>
      <c r="DHB82"/>
      <c r="DHC82"/>
      <c r="DHD82"/>
      <c r="DHE82"/>
      <c r="DHF82"/>
      <c r="DHG82"/>
      <c r="DHH82"/>
      <c r="DHI82"/>
      <c r="DHJ82"/>
      <c r="DHK82"/>
      <c r="DHL82"/>
      <c r="DHM82"/>
      <c r="DHN82"/>
      <c r="DHO82"/>
      <c r="DHP82"/>
      <c r="DHQ82"/>
      <c r="DHR82"/>
      <c r="DHS82"/>
      <c r="DHT82"/>
      <c r="DHU82"/>
      <c r="DHV82"/>
      <c r="DHW82"/>
      <c r="DHX82"/>
      <c r="DHY82"/>
      <c r="DHZ82"/>
      <c r="DIA82"/>
      <c r="DIB82"/>
      <c r="DIC82"/>
      <c r="DID82"/>
      <c r="DIE82"/>
      <c r="DIF82"/>
      <c r="DIG82"/>
      <c r="DIH82"/>
      <c r="DII82"/>
      <c r="DIJ82"/>
      <c r="DIK82"/>
      <c r="DIL82"/>
      <c r="DIM82"/>
      <c r="DIN82"/>
      <c r="DIO82"/>
      <c r="DIP82"/>
      <c r="DIQ82"/>
      <c r="DIR82"/>
      <c r="DIS82"/>
      <c r="DIT82"/>
      <c r="DIU82"/>
      <c r="DIV82"/>
      <c r="DIW82"/>
      <c r="DIX82"/>
      <c r="DIY82"/>
      <c r="DIZ82"/>
      <c r="DJA82"/>
      <c r="DJB82"/>
      <c r="DJC82"/>
      <c r="DJD82"/>
      <c r="DJE82"/>
      <c r="DJF82"/>
      <c r="DJG82"/>
      <c r="DJH82"/>
      <c r="DJI82"/>
      <c r="DJJ82"/>
      <c r="DJK82"/>
      <c r="DJL82"/>
      <c r="DJM82"/>
      <c r="DJN82"/>
      <c r="DJO82"/>
      <c r="DJP82"/>
      <c r="DJQ82"/>
      <c r="DJR82"/>
      <c r="DJS82"/>
      <c r="DJT82"/>
      <c r="DJU82"/>
      <c r="DJV82"/>
      <c r="DJW82"/>
      <c r="DJX82"/>
      <c r="DJY82"/>
      <c r="DJZ82"/>
      <c r="DKA82"/>
      <c r="DKB82"/>
      <c r="DKC82"/>
      <c r="DKD82"/>
      <c r="DKE82"/>
      <c r="DKF82"/>
      <c r="DKG82"/>
      <c r="DKH82"/>
      <c r="DKI82"/>
      <c r="DKJ82"/>
      <c r="DKK82"/>
      <c r="DKL82"/>
      <c r="DKM82"/>
      <c r="DKN82"/>
      <c r="DKO82"/>
      <c r="DKP82"/>
      <c r="DKQ82"/>
      <c r="DKR82"/>
      <c r="DKS82"/>
      <c r="DKT82"/>
      <c r="DKU82"/>
      <c r="DKV82"/>
      <c r="DKW82"/>
      <c r="DKX82"/>
      <c r="DKY82"/>
      <c r="DKZ82"/>
      <c r="DLA82"/>
      <c r="DLB82"/>
      <c r="DLC82"/>
      <c r="DLD82"/>
      <c r="DLE82"/>
      <c r="DLF82"/>
      <c r="DLG82"/>
      <c r="DLH82"/>
      <c r="DLI82"/>
      <c r="DLJ82"/>
      <c r="DLK82"/>
      <c r="DLL82"/>
      <c r="DLM82"/>
      <c r="DLN82"/>
      <c r="DLO82"/>
      <c r="DLP82"/>
      <c r="DLQ82"/>
      <c r="DLR82"/>
      <c r="DLS82"/>
      <c r="DLT82"/>
      <c r="DLU82"/>
      <c r="DLV82"/>
      <c r="DLW82"/>
      <c r="DLX82"/>
      <c r="DLY82"/>
      <c r="DLZ82"/>
      <c r="DMA82"/>
      <c r="DMB82"/>
      <c r="DMC82"/>
      <c r="DMD82"/>
      <c r="DME82"/>
      <c r="DMF82"/>
      <c r="DMG82"/>
      <c r="DMH82"/>
      <c r="DMI82"/>
      <c r="DMJ82"/>
      <c r="DMK82"/>
      <c r="DML82"/>
      <c r="DMM82"/>
      <c r="DMN82"/>
      <c r="DMO82"/>
      <c r="DMP82"/>
      <c r="DMQ82"/>
      <c r="DMR82"/>
      <c r="DMS82"/>
      <c r="DMT82"/>
      <c r="DMU82"/>
      <c r="DMV82"/>
      <c r="DMW82"/>
      <c r="DMX82"/>
      <c r="DMY82"/>
      <c r="DMZ82"/>
      <c r="DNA82"/>
      <c r="DNB82"/>
      <c r="DNC82"/>
      <c r="DND82"/>
      <c r="DNE82"/>
      <c r="DNF82"/>
      <c r="DNG82"/>
      <c r="DNH82"/>
      <c r="DNI82"/>
      <c r="DNJ82"/>
      <c r="DNK82"/>
      <c r="DNL82"/>
      <c r="DNM82"/>
      <c r="DNN82"/>
      <c r="DNO82"/>
      <c r="DNP82"/>
      <c r="DNQ82"/>
      <c r="DNR82"/>
      <c r="DNS82"/>
      <c r="DNT82"/>
      <c r="DNU82"/>
      <c r="DNV82"/>
      <c r="DNW82"/>
      <c r="DNX82"/>
      <c r="DNY82"/>
      <c r="DNZ82"/>
      <c r="DOA82"/>
      <c r="DOB82"/>
      <c r="DOC82"/>
      <c r="DOD82"/>
      <c r="DOE82"/>
      <c r="DOF82"/>
      <c r="DOG82"/>
      <c r="DOH82"/>
      <c r="DOI82"/>
      <c r="DOJ82"/>
      <c r="DOK82"/>
      <c r="DOL82"/>
      <c r="DOM82"/>
      <c r="DON82"/>
      <c r="DOO82"/>
      <c r="DOP82"/>
      <c r="DOQ82"/>
      <c r="DOR82"/>
      <c r="DOS82"/>
      <c r="DOT82"/>
      <c r="DOU82"/>
      <c r="DOV82"/>
      <c r="DOW82"/>
      <c r="DOX82"/>
      <c r="DOY82"/>
      <c r="DOZ82"/>
      <c r="DPA82"/>
      <c r="DPB82"/>
      <c r="DPC82"/>
      <c r="DPD82"/>
      <c r="DPE82"/>
      <c r="DPF82"/>
      <c r="DPG82"/>
      <c r="DPH82"/>
      <c r="DPI82"/>
      <c r="DPJ82"/>
      <c r="DPK82"/>
      <c r="DPL82"/>
      <c r="DPM82"/>
      <c r="DPN82"/>
      <c r="DPO82"/>
      <c r="DPP82"/>
      <c r="DPQ82"/>
      <c r="DPR82"/>
      <c r="DPS82"/>
      <c r="DPT82"/>
      <c r="DPU82"/>
      <c r="DPV82"/>
      <c r="DPW82"/>
      <c r="DPX82"/>
      <c r="DPY82"/>
      <c r="DPZ82"/>
      <c r="DQA82"/>
      <c r="DQB82"/>
      <c r="DQC82"/>
      <c r="DQD82"/>
      <c r="DQE82"/>
      <c r="DQF82"/>
      <c r="DQG82"/>
      <c r="DQH82"/>
      <c r="DQI82"/>
      <c r="DQJ82"/>
      <c r="DQK82"/>
      <c r="DQL82"/>
      <c r="DQM82"/>
      <c r="DQN82"/>
      <c r="DQO82"/>
      <c r="DQP82"/>
      <c r="DQQ82"/>
      <c r="DQR82"/>
      <c r="DQS82"/>
      <c r="DQT82"/>
      <c r="DQU82"/>
      <c r="DQV82"/>
      <c r="DQW82"/>
      <c r="DQX82"/>
      <c r="DQY82"/>
      <c r="DQZ82"/>
      <c r="DRA82"/>
      <c r="DRB82"/>
      <c r="DRC82"/>
      <c r="DRD82"/>
      <c r="DRE82"/>
      <c r="DRF82"/>
      <c r="DRG82"/>
      <c r="DRH82"/>
      <c r="DRI82"/>
      <c r="DRJ82"/>
      <c r="DRK82"/>
      <c r="DRL82"/>
      <c r="DRM82"/>
      <c r="DRN82"/>
      <c r="DRO82"/>
      <c r="DRP82"/>
      <c r="DRQ82"/>
      <c r="DRR82"/>
      <c r="DRS82"/>
      <c r="DRT82"/>
      <c r="DRU82"/>
      <c r="DRV82"/>
      <c r="DRW82"/>
      <c r="DRX82"/>
      <c r="DRY82"/>
      <c r="DRZ82"/>
      <c r="DSA82"/>
      <c r="DSB82"/>
      <c r="DSC82"/>
      <c r="DSD82"/>
      <c r="DSE82"/>
      <c r="DSF82"/>
      <c r="DSG82"/>
      <c r="DSH82"/>
      <c r="DSI82"/>
      <c r="DSJ82"/>
      <c r="DSK82"/>
      <c r="DSL82"/>
      <c r="DSM82"/>
      <c r="DSN82"/>
      <c r="DSO82"/>
      <c r="DSP82"/>
      <c r="DSQ82"/>
      <c r="DSR82"/>
      <c r="DSS82"/>
      <c r="DST82"/>
      <c r="DSU82"/>
      <c r="DSV82"/>
      <c r="DSW82"/>
      <c r="DSX82"/>
      <c r="DSY82"/>
      <c r="DSZ82"/>
      <c r="DTA82"/>
      <c r="DTB82"/>
      <c r="DTC82"/>
      <c r="DTD82"/>
      <c r="DTE82"/>
      <c r="DTF82"/>
      <c r="DTG82"/>
      <c r="DTH82"/>
      <c r="DTI82"/>
      <c r="DTJ82"/>
      <c r="DTK82"/>
      <c r="DTL82"/>
      <c r="DTM82"/>
      <c r="DTN82"/>
      <c r="DTO82"/>
      <c r="DTP82"/>
      <c r="DTQ82"/>
      <c r="DTR82"/>
      <c r="DTS82"/>
      <c r="DTT82"/>
      <c r="DTU82"/>
      <c r="DTV82"/>
      <c r="DTW82"/>
      <c r="DTX82"/>
      <c r="DTY82"/>
      <c r="DTZ82"/>
      <c r="DUA82"/>
      <c r="DUB82"/>
      <c r="DUC82"/>
      <c r="DUD82"/>
      <c r="DUE82"/>
      <c r="DUF82"/>
      <c r="DUG82"/>
      <c r="DUH82"/>
      <c r="DUI82"/>
      <c r="DUJ82"/>
      <c r="DUK82"/>
      <c r="DUL82"/>
      <c r="DUM82"/>
      <c r="DUN82"/>
      <c r="DUO82"/>
      <c r="DUP82"/>
      <c r="DUQ82"/>
      <c r="DUR82"/>
      <c r="DUS82"/>
      <c r="DUT82"/>
      <c r="DUU82"/>
      <c r="DUV82"/>
      <c r="DUW82"/>
      <c r="DUX82"/>
      <c r="DUY82"/>
      <c r="DUZ82"/>
      <c r="DVA82"/>
      <c r="DVB82"/>
      <c r="DVC82"/>
      <c r="DVD82"/>
      <c r="DVE82"/>
      <c r="DVF82"/>
      <c r="DVG82"/>
      <c r="DVH82"/>
      <c r="DVI82"/>
      <c r="DVJ82"/>
      <c r="DVK82"/>
      <c r="DVL82"/>
      <c r="DVM82"/>
      <c r="DVN82"/>
      <c r="DVO82"/>
      <c r="DVP82"/>
      <c r="DVQ82"/>
      <c r="DVR82"/>
      <c r="DVS82"/>
      <c r="DVT82"/>
      <c r="DVU82"/>
      <c r="DVV82"/>
      <c r="DVW82"/>
      <c r="DVX82"/>
      <c r="DVY82"/>
      <c r="DVZ82"/>
      <c r="DWA82"/>
      <c r="DWB82"/>
      <c r="DWC82"/>
      <c r="DWD82"/>
      <c r="DWE82"/>
      <c r="DWF82"/>
      <c r="DWG82"/>
      <c r="DWH82"/>
      <c r="DWI82"/>
      <c r="DWJ82"/>
      <c r="DWK82"/>
      <c r="DWL82"/>
      <c r="DWM82"/>
      <c r="DWN82"/>
      <c r="DWO82"/>
      <c r="DWP82"/>
      <c r="DWQ82"/>
      <c r="DWR82"/>
      <c r="DWS82"/>
      <c r="DWT82"/>
      <c r="DWU82"/>
      <c r="DWV82"/>
      <c r="DWW82"/>
      <c r="DWX82"/>
      <c r="DWY82"/>
      <c r="DWZ82"/>
      <c r="DXA82"/>
      <c r="DXB82"/>
      <c r="DXC82"/>
      <c r="DXD82"/>
      <c r="DXE82"/>
      <c r="DXF82"/>
      <c r="DXG82"/>
      <c r="DXH82"/>
      <c r="DXI82"/>
      <c r="DXJ82"/>
      <c r="DXK82"/>
      <c r="DXL82"/>
      <c r="DXM82"/>
      <c r="DXN82"/>
      <c r="DXO82"/>
      <c r="DXP82"/>
      <c r="DXQ82"/>
      <c r="DXR82"/>
      <c r="DXS82"/>
      <c r="DXT82"/>
      <c r="DXU82"/>
      <c r="DXV82"/>
      <c r="DXW82"/>
      <c r="DXX82"/>
      <c r="DXY82"/>
      <c r="DXZ82"/>
      <c r="DYA82"/>
      <c r="DYB82"/>
      <c r="DYC82"/>
      <c r="DYD82"/>
      <c r="DYE82"/>
      <c r="DYF82"/>
      <c r="DYG82"/>
      <c r="DYH82"/>
      <c r="DYI82"/>
      <c r="DYJ82"/>
      <c r="DYK82"/>
      <c r="DYL82"/>
      <c r="DYM82"/>
      <c r="DYN82"/>
      <c r="DYO82"/>
      <c r="DYP82"/>
      <c r="DYQ82"/>
      <c r="DYR82"/>
      <c r="DYS82"/>
      <c r="DYT82"/>
      <c r="DYU82"/>
      <c r="DYV82"/>
      <c r="DYW82"/>
      <c r="DYX82"/>
      <c r="DYY82"/>
      <c r="DYZ82"/>
      <c r="DZA82"/>
      <c r="DZB82"/>
      <c r="DZC82"/>
      <c r="DZD82"/>
      <c r="DZE82"/>
      <c r="DZF82"/>
      <c r="DZG82"/>
      <c r="DZH82"/>
      <c r="DZI82"/>
      <c r="DZJ82"/>
      <c r="DZK82"/>
      <c r="DZL82"/>
      <c r="DZM82"/>
      <c r="DZN82"/>
      <c r="DZO82"/>
      <c r="DZP82"/>
      <c r="DZQ82"/>
      <c r="DZR82"/>
      <c r="DZS82"/>
      <c r="DZT82"/>
      <c r="DZU82"/>
      <c r="DZV82"/>
      <c r="DZW82"/>
      <c r="DZX82"/>
      <c r="DZY82"/>
      <c r="DZZ82"/>
      <c r="EAA82"/>
      <c r="EAB82"/>
      <c r="EAC82"/>
      <c r="EAD82"/>
      <c r="EAE82"/>
      <c r="EAF82"/>
      <c r="EAG82"/>
      <c r="EAH82"/>
      <c r="EAI82"/>
      <c r="EAJ82"/>
      <c r="EAK82"/>
      <c r="EAL82"/>
      <c r="EAM82"/>
      <c r="EAN82"/>
      <c r="EAO82"/>
      <c r="EAP82"/>
      <c r="EAQ82"/>
      <c r="EAR82"/>
      <c r="EAS82"/>
      <c r="EAT82"/>
      <c r="EAU82"/>
      <c r="EAV82"/>
      <c r="EAW82"/>
      <c r="EAX82"/>
      <c r="EAY82"/>
      <c r="EAZ82"/>
      <c r="EBA82"/>
      <c r="EBB82"/>
      <c r="EBC82"/>
      <c r="EBD82"/>
      <c r="EBE82"/>
      <c r="EBF82"/>
      <c r="EBG82"/>
      <c r="EBH82"/>
      <c r="EBI82"/>
      <c r="EBJ82"/>
      <c r="EBK82"/>
      <c r="EBL82"/>
      <c r="EBM82"/>
      <c r="EBN82"/>
      <c r="EBO82"/>
      <c r="EBP82"/>
      <c r="EBQ82"/>
      <c r="EBR82"/>
      <c r="EBS82"/>
      <c r="EBT82"/>
      <c r="EBU82"/>
      <c r="EBV82"/>
      <c r="EBW82"/>
      <c r="EBX82"/>
      <c r="EBY82"/>
      <c r="EBZ82"/>
      <c r="ECA82"/>
      <c r="ECB82"/>
      <c r="ECC82"/>
      <c r="ECD82"/>
      <c r="ECE82"/>
      <c r="ECF82"/>
      <c r="ECG82"/>
      <c r="ECH82"/>
      <c r="ECI82"/>
      <c r="ECJ82"/>
      <c r="ECK82"/>
      <c r="ECL82"/>
      <c r="ECM82"/>
      <c r="ECN82"/>
      <c r="ECO82"/>
      <c r="ECP82"/>
      <c r="ECQ82"/>
      <c r="ECR82"/>
      <c r="ECS82"/>
      <c r="ECT82"/>
      <c r="ECU82"/>
      <c r="ECV82"/>
      <c r="ECW82"/>
      <c r="ECX82"/>
      <c r="ECY82"/>
      <c r="ECZ82"/>
      <c r="EDA82"/>
      <c r="EDB82"/>
      <c r="EDC82"/>
      <c r="EDD82"/>
      <c r="EDE82"/>
      <c r="EDF82"/>
      <c r="EDG82"/>
      <c r="EDH82"/>
      <c r="EDI82"/>
      <c r="EDJ82"/>
      <c r="EDK82"/>
      <c r="EDL82"/>
      <c r="EDM82"/>
      <c r="EDN82"/>
      <c r="EDO82"/>
      <c r="EDP82"/>
      <c r="EDQ82"/>
      <c r="EDR82"/>
      <c r="EDS82"/>
      <c r="EDT82"/>
      <c r="EDU82"/>
      <c r="EDV82"/>
      <c r="EDW82"/>
      <c r="EDX82"/>
      <c r="EDY82"/>
      <c r="EDZ82"/>
      <c r="EEA82"/>
      <c r="EEB82"/>
      <c r="EEC82"/>
      <c r="EED82"/>
      <c r="EEE82"/>
      <c r="EEF82"/>
      <c r="EEG82"/>
      <c r="EEH82"/>
      <c r="EEI82"/>
      <c r="EEJ82"/>
      <c r="EEK82"/>
      <c r="EEL82"/>
      <c r="EEM82"/>
      <c r="EEN82"/>
      <c r="EEO82"/>
      <c r="EEP82"/>
      <c r="EEQ82"/>
      <c r="EER82"/>
      <c r="EES82"/>
      <c r="EET82"/>
      <c r="EEU82"/>
      <c r="EEV82"/>
      <c r="EEW82"/>
      <c r="EEX82"/>
      <c r="EEY82"/>
      <c r="EEZ82"/>
      <c r="EFA82"/>
      <c r="EFB82"/>
      <c r="EFC82"/>
      <c r="EFD82"/>
      <c r="EFE82"/>
      <c r="EFF82"/>
      <c r="EFG82"/>
      <c r="EFH82"/>
      <c r="EFI82"/>
      <c r="EFJ82"/>
      <c r="EFK82"/>
      <c r="EFL82"/>
      <c r="EFM82"/>
      <c r="EFN82"/>
      <c r="EFO82"/>
      <c r="EFP82"/>
      <c r="EFQ82"/>
      <c r="EFR82"/>
      <c r="EFS82"/>
      <c r="EFT82"/>
      <c r="EFU82"/>
      <c r="EFV82"/>
      <c r="EFW82"/>
      <c r="EFX82"/>
      <c r="EFY82"/>
      <c r="EFZ82"/>
      <c r="EGA82"/>
      <c r="EGB82"/>
      <c r="EGC82"/>
      <c r="EGD82"/>
      <c r="EGE82"/>
      <c r="EGF82"/>
      <c r="EGG82"/>
      <c r="EGH82"/>
      <c r="EGI82"/>
      <c r="EGJ82"/>
      <c r="EGK82"/>
      <c r="EGL82"/>
      <c r="EGM82"/>
      <c r="EGN82"/>
      <c r="EGO82"/>
      <c r="EGP82"/>
      <c r="EGQ82"/>
      <c r="EGR82"/>
      <c r="EGS82"/>
      <c r="EGT82"/>
      <c r="EGU82"/>
      <c r="EGV82"/>
      <c r="EGW82"/>
      <c r="EGX82"/>
      <c r="EGY82"/>
      <c r="EGZ82"/>
      <c r="EHA82"/>
      <c r="EHB82"/>
      <c r="EHC82"/>
      <c r="EHD82"/>
      <c r="EHE82"/>
      <c r="EHF82"/>
      <c r="EHG82"/>
      <c r="EHH82"/>
      <c r="EHI82"/>
      <c r="EHJ82"/>
      <c r="EHK82"/>
      <c r="EHL82"/>
      <c r="EHM82"/>
      <c r="EHN82"/>
      <c r="EHO82"/>
      <c r="EHP82"/>
      <c r="EHQ82"/>
      <c r="EHR82"/>
      <c r="EHS82"/>
      <c r="EHT82"/>
      <c r="EHU82"/>
      <c r="EHV82"/>
      <c r="EHW82"/>
      <c r="EHX82"/>
      <c r="EHY82"/>
      <c r="EHZ82"/>
      <c r="EIA82"/>
      <c r="EIB82"/>
      <c r="EIC82"/>
      <c r="EID82"/>
      <c r="EIE82"/>
      <c r="EIF82"/>
      <c r="EIG82"/>
      <c r="EIH82"/>
      <c r="EII82"/>
      <c r="EIJ82"/>
      <c r="EIK82"/>
      <c r="EIL82"/>
      <c r="EIM82"/>
      <c r="EIN82"/>
      <c r="EIO82"/>
      <c r="EIP82"/>
      <c r="EIQ82"/>
      <c r="EIR82"/>
      <c r="EIS82"/>
      <c r="EIT82"/>
      <c r="EIU82"/>
      <c r="EIV82"/>
      <c r="EIW82"/>
      <c r="EIX82"/>
      <c r="EIY82"/>
      <c r="EIZ82"/>
      <c r="EJA82"/>
      <c r="EJB82"/>
      <c r="EJC82"/>
      <c r="EJD82"/>
      <c r="EJE82"/>
      <c r="EJF82"/>
      <c r="EJG82"/>
      <c r="EJH82"/>
      <c r="EJI82"/>
      <c r="EJJ82"/>
      <c r="EJK82"/>
      <c r="EJL82"/>
      <c r="EJM82"/>
      <c r="EJN82"/>
      <c r="EJO82"/>
      <c r="EJP82"/>
      <c r="EJQ82"/>
      <c r="EJR82"/>
      <c r="EJS82"/>
      <c r="EJT82"/>
      <c r="EJU82"/>
      <c r="EJV82"/>
      <c r="EJW82"/>
      <c r="EJX82"/>
      <c r="EJY82"/>
      <c r="EJZ82"/>
      <c r="EKA82"/>
      <c r="EKB82"/>
      <c r="EKC82"/>
      <c r="EKD82"/>
      <c r="EKE82"/>
      <c r="EKF82"/>
      <c r="EKG82"/>
      <c r="EKH82"/>
      <c r="EKI82"/>
      <c r="EKJ82"/>
      <c r="EKK82"/>
      <c r="EKL82"/>
      <c r="EKM82"/>
      <c r="EKN82"/>
      <c r="EKO82"/>
      <c r="EKP82"/>
      <c r="EKQ82"/>
      <c r="EKR82"/>
      <c r="EKS82"/>
      <c r="EKT82"/>
      <c r="EKU82"/>
      <c r="EKV82"/>
      <c r="EKW82"/>
      <c r="EKX82"/>
      <c r="EKY82"/>
      <c r="EKZ82"/>
      <c r="ELA82"/>
      <c r="ELB82"/>
      <c r="ELC82"/>
      <c r="ELD82"/>
      <c r="ELE82"/>
      <c r="ELF82"/>
      <c r="ELG82"/>
      <c r="ELH82"/>
      <c r="ELI82"/>
      <c r="ELJ82"/>
      <c r="ELK82"/>
      <c r="ELL82"/>
      <c r="ELM82"/>
      <c r="ELN82"/>
      <c r="ELO82"/>
      <c r="ELP82"/>
      <c r="ELQ82"/>
      <c r="ELR82"/>
      <c r="ELS82"/>
      <c r="ELT82"/>
      <c r="ELU82"/>
      <c r="ELV82"/>
      <c r="ELW82"/>
      <c r="ELX82"/>
      <c r="ELY82"/>
      <c r="ELZ82"/>
      <c r="EMA82"/>
      <c r="EMB82"/>
      <c r="EMC82"/>
      <c r="EMD82"/>
      <c r="EME82"/>
      <c r="EMF82"/>
      <c r="EMG82"/>
      <c r="EMH82"/>
      <c r="EMI82"/>
      <c r="EMJ82"/>
      <c r="EMK82"/>
      <c r="EML82"/>
      <c r="EMM82"/>
      <c r="EMN82"/>
      <c r="EMO82"/>
      <c r="EMP82"/>
      <c r="EMQ82"/>
      <c r="EMR82"/>
      <c r="EMS82"/>
      <c r="EMT82"/>
      <c r="EMU82"/>
      <c r="EMV82"/>
      <c r="EMW82"/>
      <c r="EMX82"/>
      <c r="EMY82"/>
      <c r="EMZ82"/>
      <c r="ENA82"/>
      <c r="ENB82"/>
      <c r="ENC82"/>
      <c r="END82"/>
      <c r="ENE82"/>
      <c r="ENF82"/>
      <c r="ENG82"/>
      <c r="ENH82"/>
      <c r="ENI82"/>
      <c r="ENJ82"/>
      <c r="ENK82"/>
      <c r="ENL82"/>
      <c r="ENM82"/>
      <c r="ENN82"/>
      <c r="ENO82"/>
      <c r="ENP82"/>
      <c r="ENQ82"/>
      <c r="ENR82"/>
      <c r="ENS82"/>
      <c r="ENT82"/>
      <c r="ENU82"/>
      <c r="ENV82"/>
      <c r="ENW82"/>
      <c r="ENX82"/>
      <c r="ENY82"/>
      <c r="ENZ82"/>
      <c r="EOA82"/>
      <c r="EOB82"/>
      <c r="EOC82"/>
      <c r="EOD82"/>
      <c r="EOE82"/>
      <c r="EOF82"/>
      <c r="EOG82"/>
      <c r="EOH82"/>
      <c r="EOI82"/>
      <c r="EOJ82"/>
      <c r="EOK82"/>
      <c r="EOL82"/>
      <c r="EOM82"/>
      <c r="EON82"/>
      <c r="EOO82"/>
      <c r="EOP82"/>
      <c r="EOQ82"/>
      <c r="EOR82"/>
      <c r="EOS82"/>
      <c r="EOT82"/>
      <c r="EOU82"/>
      <c r="EOV82"/>
      <c r="EOW82"/>
      <c r="EOX82"/>
      <c r="EOY82"/>
      <c r="EOZ82"/>
      <c r="EPA82"/>
      <c r="EPB82"/>
      <c r="EPC82"/>
      <c r="EPD82"/>
      <c r="EPE82"/>
      <c r="EPF82"/>
      <c r="EPG82"/>
      <c r="EPH82"/>
      <c r="EPI82"/>
      <c r="EPJ82"/>
      <c r="EPK82"/>
      <c r="EPL82"/>
      <c r="EPM82"/>
      <c r="EPN82"/>
      <c r="EPO82"/>
      <c r="EPP82"/>
      <c r="EPQ82"/>
      <c r="EPR82"/>
      <c r="EPS82"/>
      <c r="EPT82"/>
      <c r="EPU82"/>
      <c r="EPV82"/>
      <c r="EPW82"/>
      <c r="EPX82"/>
      <c r="EPY82"/>
      <c r="EPZ82"/>
      <c r="EQA82"/>
      <c r="EQB82"/>
      <c r="EQC82"/>
      <c r="EQD82"/>
      <c r="EQE82"/>
      <c r="EQF82"/>
      <c r="EQG82"/>
      <c r="EQH82"/>
      <c r="EQI82"/>
      <c r="EQJ82"/>
      <c r="EQK82"/>
      <c r="EQL82"/>
      <c r="EQM82"/>
      <c r="EQN82"/>
      <c r="EQO82"/>
      <c r="EQP82"/>
      <c r="EQQ82"/>
      <c r="EQR82"/>
      <c r="EQS82"/>
      <c r="EQT82"/>
      <c r="EQU82"/>
      <c r="EQV82"/>
      <c r="EQW82"/>
      <c r="EQX82"/>
      <c r="EQY82"/>
      <c r="EQZ82"/>
      <c r="ERA82"/>
      <c r="ERB82"/>
      <c r="ERC82"/>
      <c r="ERD82"/>
      <c r="ERE82"/>
      <c r="ERF82"/>
      <c r="ERG82"/>
      <c r="ERH82"/>
      <c r="ERI82"/>
      <c r="ERJ82"/>
      <c r="ERK82"/>
      <c r="ERL82"/>
      <c r="ERM82"/>
      <c r="ERN82"/>
      <c r="ERO82"/>
      <c r="ERP82"/>
      <c r="ERQ82"/>
      <c r="ERR82"/>
      <c r="ERS82"/>
      <c r="ERT82"/>
      <c r="ERU82"/>
      <c r="ERV82"/>
      <c r="ERW82"/>
      <c r="ERX82"/>
      <c r="ERY82"/>
      <c r="ERZ82"/>
      <c r="ESA82"/>
      <c r="ESB82"/>
      <c r="ESC82"/>
      <c r="ESD82"/>
      <c r="ESE82"/>
      <c r="ESF82"/>
      <c r="ESG82"/>
      <c r="ESH82"/>
      <c r="ESI82"/>
      <c r="ESJ82"/>
      <c r="ESK82"/>
      <c r="ESL82"/>
      <c r="ESM82"/>
      <c r="ESN82"/>
      <c r="ESO82"/>
      <c r="ESP82"/>
      <c r="ESQ82"/>
      <c r="ESR82"/>
      <c r="ESS82"/>
      <c r="EST82"/>
      <c r="ESU82"/>
      <c r="ESV82"/>
      <c r="ESW82"/>
      <c r="ESX82"/>
      <c r="ESY82"/>
      <c r="ESZ82"/>
      <c r="ETA82"/>
      <c r="ETB82"/>
      <c r="ETC82"/>
      <c r="ETD82"/>
      <c r="ETE82"/>
      <c r="ETF82"/>
      <c r="ETG82"/>
      <c r="ETH82"/>
      <c r="ETI82"/>
      <c r="ETJ82"/>
      <c r="ETK82"/>
      <c r="ETL82"/>
      <c r="ETM82"/>
      <c r="ETN82"/>
      <c r="ETO82"/>
      <c r="ETP82"/>
      <c r="ETQ82"/>
      <c r="ETR82"/>
      <c r="ETS82"/>
      <c r="ETT82"/>
      <c r="ETU82"/>
      <c r="ETV82"/>
      <c r="ETW82"/>
      <c r="ETX82"/>
      <c r="ETY82"/>
      <c r="ETZ82"/>
      <c r="EUA82"/>
      <c r="EUB82"/>
      <c r="EUC82"/>
      <c r="EUD82"/>
      <c r="EUE82"/>
      <c r="EUF82"/>
      <c r="EUG82"/>
      <c r="EUH82"/>
      <c r="EUI82"/>
      <c r="EUJ82"/>
      <c r="EUK82"/>
      <c r="EUL82"/>
      <c r="EUM82"/>
      <c r="EUN82"/>
      <c r="EUO82"/>
      <c r="EUP82"/>
      <c r="EUQ82"/>
      <c r="EUR82"/>
      <c r="EUS82"/>
      <c r="EUT82"/>
      <c r="EUU82"/>
      <c r="EUV82"/>
      <c r="EUW82"/>
      <c r="EUX82"/>
      <c r="EUY82"/>
      <c r="EUZ82"/>
      <c r="EVA82"/>
      <c r="EVB82"/>
      <c r="EVC82"/>
      <c r="EVD82"/>
      <c r="EVE82"/>
      <c r="EVF82"/>
      <c r="EVG82"/>
      <c r="EVH82"/>
      <c r="EVI82"/>
      <c r="EVJ82"/>
      <c r="EVK82"/>
      <c r="EVL82"/>
      <c r="EVM82"/>
      <c r="EVN82"/>
      <c r="EVO82"/>
      <c r="EVP82"/>
      <c r="EVQ82"/>
      <c r="EVR82"/>
      <c r="EVS82"/>
      <c r="EVT82"/>
      <c r="EVU82"/>
      <c r="EVV82"/>
      <c r="EVW82"/>
      <c r="EVX82"/>
      <c r="EVY82"/>
      <c r="EVZ82"/>
      <c r="EWA82"/>
      <c r="EWB82"/>
      <c r="EWC82"/>
      <c r="EWD82"/>
      <c r="EWE82"/>
      <c r="EWF82"/>
      <c r="EWG82"/>
      <c r="EWH82"/>
      <c r="EWI82"/>
      <c r="EWJ82"/>
      <c r="EWK82"/>
      <c r="EWL82"/>
      <c r="EWM82"/>
      <c r="EWN82"/>
      <c r="EWO82"/>
      <c r="EWP82"/>
      <c r="EWQ82"/>
      <c r="EWR82"/>
      <c r="EWS82"/>
      <c r="EWT82"/>
      <c r="EWU82"/>
      <c r="EWV82"/>
      <c r="EWW82"/>
      <c r="EWX82"/>
      <c r="EWY82"/>
      <c r="EWZ82"/>
      <c r="EXA82"/>
      <c r="EXB82"/>
      <c r="EXC82"/>
      <c r="EXD82"/>
      <c r="EXE82"/>
      <c r="EXF82"/>
      <c r="EXG82"/>
      <c r="EXH82"/>
      <c r="EXI82"/>
      <c r="EXJ82"/>
      <c r="EXK82"/>
      <c r="EXL82"/>
      <c r="EXM82"/>
      <c r="EXN82"/>
      <c r="EXO82"/>
      <c r="EXP82"/>
      <c r="EXQ82"/>
      <c r="EXR82"/>
      <c r="EXS82"/>
      <c r="EXT82"/>
      <c r="EXU82"/>
      <c r="EXV82"/>
      <c r="EXW82"/>
      <c r="EXX82"/>
      <c r="EXY82"/>
      <c r="EXZ82"/>
      <c r="EYA82"/>
      <c r="EYB82"/>
      <c r="EYC82"/>
      <c r="EYD82"/>
      <c r="EYE82"/>
      <c r="EYF82"/>
      <c r="EYG82"/>
      <c r="EYH82"/>
      <c r="EYI82"/>
      <c r="EYJ82"/>
      <c r="EYK82"/>
      <c r="EYL82"/>
      <c r="EYM82"/>
      <c r="EYN82"/>
      <c r="EYO82"/>
      <c r="EYP82"/>
      <c r="EYQ82"/>
      <c r="EYR82"/>
      <c r="EYS82"/>
      <c r="EYT82"/>
      <c r="EYU82"/>
      <c r="EYV82"/>
      <c r="EYW82"/>
      <c r="EYX82"/>
      <c r="EYY82"/>
      <c r="EYZ82"/>
      <c r="EZA82"/>
      <c r="EZB82"/>
      <c r="EZC82"/>
      <c r="EZD82"/>
      <c r="EZE82"/>
      <c r="EZF82"/>
      <c r="EZG82"/>
      <c r="EZH82"/>
      <c r="EZI82"/>
      <c r="EZJ82"/>
      <c r="EZK82"/>
      <c r="EZL82"/>
      <c r="EZM82"/>
      <c r="EZN82"/>
      <c r="EZO82"/>
      <c r="EZP82"/>
      <c r="EZQ82"/>
      <c r="EZR82"/>
      <c r="EZS82"/>
      <c r="EZT82"/>
      <c r="EZU82"/>
      <c r="EZV82"/>
      <c r="EZW82"/>
      <c r="EZX82"/>
      <c r="EZY82"/>
      <c r="EZZ82"/>
      <c r="FAA82"/>
      <c r="FAB82"/>
      <c r="FAC82"/>
      <c r="FAD82"/>
      <c r="FAE82"/>
      <c r="FAF82"/>
      <c r="FAG82"/>
      <c r="FAH82"/>
      <c r="FAI82"/>
      <c r="FAJ82"/>
      <c r="FAK82"/>
      <c r="FAL82"/>
      <c r="FAM82"/>
      <c r="FAN82"/>
      <c r="FAO82"/>
      <c r="FAP82"/>
      <c r="FAQ82"/>
      <c r="FAR82"/>
      <c r="FAS82"/>
      <c r="FAT82"/>
      <c r="FAU82"/>
      <c r="FAV82"/>
      <c r="FAW82"/>
      <c r="FAX82"/>
      <c r="FAY82"/>
      <c r="FAZ82"/>
      <c r="FBA82"/>
      <c r="FBB82"/>
      <c r="FBC82"/>
      <c r="FBD82"/>
      <c r="FBE82"/>
      <c r="FBF82"/>
      <c r="FBG82"/>
      <c r="FBH82"/>
      <c r="FBI82"/>
      <c r="FBJ82"/>
      <c r="FBK82"/>
      <c r="FBL82"/>
      <c r="FBM82"/>
      <c r="FBN82"/>
      <c r="FBO82"/>
      <c r="FBP82"/>
      <c r="FBQ82"/>
      <c r="FBR82"/>
      <c r="FBS82"/>
      <c r="FBT82"/>
      <c r="FBU82"/>
      <c r="FBV82"/>
      <c r="FBW82"/>
      <c r="FBX82"/>
      <c r="FBY82"/>
      <c r="FBZ82"/>
      <c r="FCA82"/>
      <c r="FCB82"/>
      <c r="FCC82"/>
      <c r="FCD82"/>
      <c r="FCE82"/>
      <c r="FCF82"/>
      <c r="FCG82"/>
      <c r="FCH82"/>
      <c r="FCI82"/>
      <c r="FCJ82"/>
      <c r="FCK82"/>
      <c r="FCL82"/>
      <c r="FCM82"/>
      <c r="FCN82"/>
      <c r="FCO82"/>
      <c r="FCP82"/>
      <c r="FCQ82"/>
      <c r="FCR82"/>
      <c r="FCS82"/>
      <c r="FCT82"/>
      <c r="FCU82"/>
      <c r="FCV82"/>
      <c r="FCW82"/>
      <c r="FCX82"/>
      <c r="FCY82"/>
      <c r="FCZ82"/>
      <c r="FDA82"/>
      <c r="FDB82"/>
      <c r="FDC82"/>
      <c r="FDD82"/>
      <c r="FDE82"/>
      <c r="FDF82"/>
      <c r="FDG82"/>
      <c r="FDH82"/>
      <c r="FDI82"/>
      <c r="FDJ82"/>
      <c r="FDK82"/>
      <c r="FDL82"/>
      <c r="FDM82"/>
      <c r="FDN82"/>
      <c r="FDO82"/>
      <c r="FDP82"/>
      <c r="FDQ82"/>
      <c r="FDR82"/>
      <c r="FDS82"/>
      <c r="FDT82"/>
      <c r="FDU82"/>
      <c r="FDV82"/>
      <c r="FDW82"/>
      <c r="FDX82"/>
      <c r="FDY82"/>
      <c r="FDZ82"/>
      <c r="FEA82"/>
      <c r="FEB82"/>
      <c r="FEC82"/>
      <c r="FED82"/>
      <c r="FEE82"/>
      <c r="FEF82"/>
      <c r="FEG82"/>
      <c r="FEH82"/>
      <c r="FEI82"/>
      <c r="FEJ82"/>
      <c r="FEK82"/>
      <c r="FEL82"/>
      <c r="FEM82"/>
      <c r="FEN82"/>
      <c r="FEO82"/>
      <c r="FEP82"/>
      <c r="FEQ82"/>
      <c r="FER82"/>
      <c r="FES82"/>
      <c r="FET82"/>
      <c r="FEU82"/>
      <c r="FEV82"/>
      <c r="FEW82"/>
      <c r="FEX82"/>
      <c r="FEY82"/>
      <c r="FEZ82"/>
      <c r="FFA82"/>
      <c r="FFB82"/>
      <c r="FFC82"/>
      <c r="FFD82"/>
      <c r="FFE82"/>
      <c r="FFF82"/>
      <c r="FFG82"/>
      <c r="FFH82"/>
      <c r="FFI82"/>
      <c r="FFJ82"/>
      <c r="FFK82"/>
      <c r="FFL82"/>
      <c r="FFM82"/>
      <c r="FFN82"/>
      <c r="FFO82"/>
      <c r="FFP82"/>
      <c r="FFQ82"/>
      <c r="FFR82"/>
      <c r="FFS82"/>
      <c r="FFT82"/>
      <c r="FFU82"/>
      <c r="FFV82"/>
      <c r="FFW82"/>
      <c r="FFX82"/>
      <c r="FFY82"/>
      <c r="FFZ82"/>
      <c r="FGA82"/>
      <c r="FGB82"/>
      <c r="FGC82"/>
      <c r="FGD82"/>
      <c r="FGE82"/>
      <c r="FGF82"/>
      <c r="FGG82"/>
      <c r="FGH82"/>
      <c r="FGI82"/>
      <c r="FGJ82"/>
      <c r="FGK82"/>
      <c r="FGL82"/>
      <c r="FGM82"/>
      <c r="FGN82"/>
      <c r="FGO82"/>
      <c r="FGP82"/>
      <c r="FGQ82"/>
      <c r="FGR82"/>
      <c r="FGS82"/>
      <c r="FGT82"/>
      <c r="FGU82"/>
      <c r="FGV82"/>
      <c r="FGW82"/>
      <c r="FGX82"/>
      <c r="FGY82"/>
      <c r="FGZ82"/>
      <c r="FHA82"/>
      <c r="FHB82"/>
      <c r="FHC82"/>
      <c r="FHD82"/>
      <c r="FHE82"/>
      <c r="FHF82"/>
      <c r="FHG82"/>
      <c r="FHH82"/>
      <c r="FHI82"/>
      <c r="FHJ82"/>
      <c r="FHK82"/>
      <c r="FHL82"/>
      <c r="FHM82"/>
      <c r="FHN82"/>
      <c r="FHO82"/>
      <c r="FHP82"/>
      <c r="FHQ82"/>
      <c r="FHR82"/>
      <c r="FHS82"/>
      <c r="FHT82"/>
      <c r="FHU82"/>
      <c r="FHV82"/>
      <c r="FHW82"/>
      <c r="FHX82"/>
      <c r="FHY82"/>
      <c r="FHZ82"/>
      <c r="FIA82"/>
      <c r="FIB82"/>
      <c r="FIC82"/>
      <c r="FID82"/>
      <c r="FIE82"/>
      <c r="FIF82"/>
      <c r="FIG82"/>
      <c r="FIH82"/>
      <c r="FII82"/>
      <c r="FIJ82"/>
      <c r="FIK82"/>
      <c r="FIL82"/>
      <c r="FIM82"/>
      <c r="FIN82"/>
      <c r="FIO82"/>
      <c r="FIP82"/>
      <c r="FIQ82"/>
      <c r="FIR82"/>
      <c r="FIS82"/>
      <c r="FIT82"/>
      <c r="FIU82"/>
      <c r="FIV82"/>
      <c r="FIW82"/>
      <c r="FIX82"/>
      <c r="FIY82"/>
      <c r="FIZ82"/>
      <c r="FJA82"/>
      <c r="FJB82"/>
      <c r="FJC82"/>
      <c r="FJD82"/>
      <c r="FJE82"/>
      <c r="FJF82"/>
      <c r="FJG82"/>
      <c r="FJH82"/>
      <c r="FJI82"/>
      <c r="FJJ82"/>
      <c r="FJK82"/>
      <c r="FJL82"/>
      <c r="FJM82"/>
      <c r="FJN82"/>
      <c r="FJO82"/>
      <c r="FJP82"/>
      <c r="FJQ82"/>
      <c r="FJR82"/>
      <c r="FJS82"/>
      <c r="FJT82"/>
      <c r="FJU82"/>
      <c r="FJV82"/>
      <c r="FJW82"/>
      <c r="FJX82"/>
      <c r="FJY82"/>
      <c r="FJZ82"/>
      <c r="FKA82"/>
      <c r="FKB82"/>
      <c r="FKC82"/>
      <c r="FKD82"/>
      <c r="FKE82"/>
      <c r="FKF82"/>
      <c r="FKG82"/>
      <c r="FKH82"/>
      <c r="FKI82"/>
      <c r="FKJ82"/>
      <c r="FKK82"/>
      <c r="FKL82"/>
      <c r="FKM82"/>
      <c r="FKN82"/>
      <c r="FKO82"/>
      <c r="FKP82"/>
      <c r="FKQ82"/>
      <c r="FKR82"/>
      <c r="FKS82"/>
      <c r="FKT82"/>
      <c r="FKU82"/>
      <c r="FKV82"/>
      <c r="FKW82"/>
      <c r="FKX82"/>
      <c r="FKY82"/>
      <c r="FKZ82"/>
      <c r="FLA82"/>
      <c r="FLB82"/>
      <c r="FLC82"/>
      <c r="FLD82"/>
      <c r="FLE82"/>
      <c r="FLF82"/>
      <c r="FLG82"/>
      <c r="FLH82"/>
      <c r="FLI82"/>
      <c r="FLJ82"/>
      <c r="FLK82"/>
      <c r="FLL82"/>
      <c r="FLM82"/>
      <c r="FLN82"/>
      <c r="FLO82"/>
      <c r="FLP82"/>
      <c r="FLQ82"/>
      <c r="FLR82"/>
      <c r="FLS82"/>
      <c r="FLT82"/>
      <c r="FLU82"/>
      <c r="FLV82"/>
      <c r="FLW82"/>
      <c r="FLX82"/>
      <c r="FLY82"/>
      <c r="FLZ82"/>
      <c r="FMA82"/>
      <c r="FMB82"/>
      <c r="FMC82"/>
      <c r="FMD82"/>
      <c r="FME82"/>
      <c r="FMF82"/>
      <c r="FMG82"/>
      <c r="FMH82"/>
      <c r="FMI82"/>
      <c r="FMJ82"/>
      <c r="FMK82"/>
      <c r="FML82"/>
      <c r="FMM82"/>
      <c r="FMN82"/>
      <c r="FMO82"/>
      <c r="FMP82"/>
      <c r="FMQ82"/>
      <c r="FMR82"/>
      <c r="FMS82"/>
      <c r="FMT82"/>
      <c r="FMU82"/>
      <c r="FMV82"/>
      <c r="FMW82"/>
      <c r="FMX82"/>
      <c r="FMY82"/>
      <c r="FMZ82"/>
      <c r="FNA82"/>
      <c r="FNB82"/>
      <c r="FNC82"/>
      <c r="FND82"/>
      <c r="FNE82"/>
      <c r="FNF82"/>
      <c r="FNG82"/>
      <c r="FNH82"/>
      <c r="FNI82"/>
      <c r="FNJ82"/>
      <c r="FNK82"/>
      <c r="FNL82"/>
      <c r="FNM82"/>
      <c r="FNN82"/>
      <c r="FNO82"/>
      <c r="FNP82"/>
      <c r="FNQ82"/>
      <c r="FNR82"/>
      <c r="FNS82"/>
      <c r="FNT82"/>
      <c r="FNU82"/>
      <c r="FNV82"/>
      <c r="FNW82"/>
      <c r="FNX82"/>
      <c r="FNY82"/>
      <c r="FNZ82"/>
      <c r="FOA82"/>
      <c r="FOB82"/>
      <c r="FOC82"/>
      <c r="FOD82"/>
      <c r="FOE82"/>
      <c r="FOF82"/>
      <c r="FOG82"/>
      <c r="FOH82"/>
      <c r="FOI82"/>
      <c r="FOJ82"/>
      <c r="FOK82"/>
      <c r="FOL82"/>
      <c r="FOM82"/>
      <c r="FON82"/>
      <c r="FOO82"/>
      <c r="FOP82"/>
      <c r="FOQ82"/>
      <c r="FOR82"/>
      <c r="FOS82"/>
      <c r="FOT82"/>
      <c r="FOU82"/>
      <c r="FOV82"/>
      <c r="FOW82"/>
      <c r="FOX82"/>
      <c r="FOY82"/>
      <c r="FOZ82"/>
      <c r="FPA82"/>
      <c r="FPB82"/>
      <c r="FPC82"/>
      <c r="FPD82"/>
      <c r="FPE82"/>
      <c r="FPF82"/>
      <c r="FPG82"/>
      <c r="FPH82"/>
      <c r="FPI82"/>
      <c r="FPJ82"/>
      <c r="FPK82"/>
      <c r="FPL82"/>
      <c r="FPM82"/>
      <c r="FPN82"/>
      <c r="FPO82"/>
      <c r="FPP82"/>
      <c r="FPQ82"/>
      <c r="FPR82"/>
      <c r="FPS82"/>
      <c r="FPT82"/>
      <c r="FPU82"/>
      <c r="FPV82"/>
      <c r="FPW82"/>
      <c r="FPX82"/>
      <c r="FPY82"/>
      <c r="FPZ82"/>
      <c r="FQA82"/>
      <c r="FQB82"/>
      <c r="FQC82"/>
      <c r="FQD82"/>
      <c r="FQE82"/>
      <c r="FQF82"/>
      <c r="FQG82"/>
      <c r="FQH82"/>
      <c r="FQI82"/>
      <c r="FQJ82"/>
      <c r="FQK82"/>
      <c r="FQL82"/>
      <c r="FQM82"/>
      <c r="FQN82"/>
      <c r="FQO82"/>
      <c r="FQP82"/>
      <c r="FQQ82"/>
      <c r="FQR82"/>
      <c r="FQS82"/>
      <c r="FQT82"/>
      <c r="FQU82"/>
      <c r="FQV82"/>
      <c r="FQW82"/>
      <c r="FQX82"/>
      <c r="FQY82"/>
      <c r="FQZ82"/>
      <c r="FRA82"/>
      <c r="FRB82"/>
      <c r="FRC82"/>
      <c r="FRD82"/>
      <c r="FRE82"/>
      <c r="FRF82"/>
      <c r="FRG82"/>
      <c r="FRH82"/>
      <c r="FRI82"/>
      <c r="FRJ82"/>
      <c r="FRK82"/>
      <c r="FRL82"/>
      <c r="FRM82"/>
      <c r="FRN82"/>
      <c r="FRO82"/>
      <c r="FRP82"/>
      <c r="FRQ82"/>
      <c r="FRR82"/>
      <c r="FRS82"/>
      <c r="FRT82"/>
      <c r="FRU82"/>
      <c r="FRV82"/>
      <c r="FRW82"/>
      <c r="FRX82"/>
      <c r="FRY82"/>
      <c r="FRZ82"/>
      <c r="FSA82"/>
      <c r="FSB82"/>
      <c r="FSC82"/>
      <c r="FSD82"/>
      <c r="FSE82"/>
      <c r="FSF82"/>
      <c r="FSG82"/>
      <c r="FSH82"/>
      <c r="FSI82"/>
      <c r="FSJ82"/>
      <c r="FSK82"/>
      <c r="FSL82"/>
      <c r="FSM82"/>
      <c r="FSN82"/>
      <c r="FSO82"/>
      <c r="FSP82"/>
      <c r="FSQ82"/>
      <c r="FSR82"/>
      <c r="FSS82"/>
      <c r="FST82"/>
      <c r="FSU82"/>
      <c r="FSV82"/>
      <c r="FSW82"/>
      <c r="FSX82"/>
      <c r="FSY82"/>
      <c r="FSZ82"/>
      <c r="FTA82"/>
      <c r="FTB82"/>
      <c r="FTC82"/>
      <c r="FTD82"/>
      <c r="FTE82"/>
      <c r="FTF82"/>
      <c r="FTG82"/>
      <c r="FTH82"/>
      <c r="FTI82"/>
      <c r="FTJ82"/>
      <c r="FTK82"/>
      <c r="FTL82"/>
      <c r="FTM82"/>
      <c r="FTN82"/>
      <c r="FTO82"/>
      <c r="FTP82"/>
      <c r="FTQ82"/>
      <c r="FTR82"/>
      <c r="FTS82"/>
      <c r="FTT82"/>
      <c r="FTU82"/>
      <c r="FTV82"/>
      <c r="FTW82"/>
      <c r="FTX82"/>
      <c r="FTY82"/>
      <c r="FTZ82"/>
      <c r="FUA82"/>
      <c r="FUB82"/>
      <c r="FUC82"/>
      <c r="FUD82"/>
      <c r="FUE82"/>
      <c r="FUF82"/>
      <c r="FUG82"/>
      <c r="FUH82"/>
      <c r="FUI82"/>
      <c r="FUJ82"/>
      <c r="FUK82"/>
      <c r="FUL82"/>
      <c r="FUM82"/>
      <c r="FUN82"/>
      <c r="FUO82"/>
      <c r="FUP82"/>
      <c r="FUQ82"/>
      <c r="FUR82"/>
      <c r="FUS82"/>
      <c r="FUT82"/>
      <c r="FUU82"/>
      <c r="FUV82"/>
      <c r="FUW82"/>
      <c r="FUX82"/>
      <c r="FUY82"/>
      <c r="FUZ82"/>
      <c r="FVA82"/>
      <c r="FVB82"/>
      <c r="FVC82"/>
      <c r="FVD82"/>
      <c r="FVE82"/>
      <c r="FVF82"/>
      <c r="FVG82"/>
      <c r="FVH82"/>
      <c r="FVI82"/>
      <c r="FVJ82"/>
      <c r="FVK82"/>
      <c r="FVL82"/>
      <c r="FVM82"/>
      <c r="FVN82"/>
      <c r="FVO82"/>
      <c r="FVP82"/>
      <c r="FVQ82"/>
      <c r="FVR82"/>
      <c r="FVS82"/>
      <c r="FVT82"/>
      <c r="FVU82"/>
      <c r="FVV82"/>
      <c r="FVW82"/>
      <c r="FVX82"/>
      <c r="FVY82"/>
      <c r="FVZ82"/>
      <c r="FWA82"/>
      <c r="FWB82"/>
      <c r="FWC82"/>
      <c r="FWD82"/>
      <c r="FWE82"/>
      <c r="FWF82"/>
      <c r="FWG82"/>
      <c r="FWH82"/>
      <c r="FWI82"/>
      <c r="FWJ82"/>
      <c r="FWK82"/>
      <c r="FWL82"/>
      <c r="FWM82"/>
      <c r="FWN82"/>
      <c r="FWO82"/>
      <c r="FWP82"/>
      <c r="FWQ82"/>
      <c r="FWR82"/>
      <c r="FWS82"/>
      <c r="FWT82"/>
      <c r="FWU82"/>
      <c r="FWV82"/>
      <c r="FWW82"/>
      <c r="FWX82"/>
      <c r="FWY82"/>
      <c r="FWZ82"/>
      <c r="FXA82"/>
      <c r="FXB82"/>
      <c r="FXC82"/>
      <c r="FXD82"/>
      <c r="FXE82"/>
      <c r="FXF82"/>
      <c r="FXG82"/>
      <c r="FXH82"/>
      <c r="FXI82"/>
      <c r="FXJ82"/>
      <c r="FXK82"/>
      <c r="FXL82"/>
      <c r="FXM82"/>
      <c r="FXN82"/>
      <c r="FXO82"/>
      <c r="FXP82"/>
      <c r="FXQ82"/>
      <c r="FXR82"/>
      <c r="FXS82"/>
      <c r="FXT82"/>
      <c r="FXU82"/>
      <c r="FXV82"/>
      <c r="FXW82"/>
      <c r="FXX82"/>
      <c r="FXY82"/>
      <c r="FXZ82"/>
      <c r="FYA82"/>
      <c r="FYB82"/>
      <c r="FYC82"/>
      <c r="FYD82"/>
      <c r="FYE82"/>
      <c r="FYF82"/>
      <c r="FYG82"/>
      <c r="FYH82"/>
      <c r="FYI82"/>
      <c r="FYJ82"/>
      <c r="FYK82"/>
      <c r="FYL82"/>
      <c r="FYM82"/>
      <c r="FYN82"/>
      <c r="FYO82"/>
      <c r="FYP82"/>
      <c r="FYQ82"/>
      <c r="FYR82"/>
      <c r="FYS82"/>
      <c r="FYT82"/>
      <c r="FYU82"/>
      <c r="FYV82"/>
      <c r="FYW82"/>
      <c r="FYX82"/>
      <c r="FYY82"/>
      <c r="FYZ82"/>
      <c r="FZA82"/>
      <c r="FZB82"/>
      <c r="FZC82"/>
      <c r="FZD82"/>
      <c r="FZE82"/>
      <c r="FZF82"/>
      <c r="FZG82"/>
      <c r="FZH82"/>
      <c r="FZI82"/>
      <c r="FZJ82"/>
      <c r="FZK82"/>
      <c r="FZL82"/>
      <c r="FZM82"/>
      <c r="FZN82"/>
      <c r="FZO82"/>
      <c r="FZP82"/>
      <c r="FZQ82"/>
      <c r="FZR82"/>
      <c r="FZS82"/>
      <c r="FZT82"/>
      <c r="FZU82"/>
      <c r="FZV82"/>
      <c r="FZW82"/>
      <c r="FZX82"/>
      <c r="FZY82"/>
      <c r="FZZ82"/>
      <c r="GAA82"/>
      <c r="GAB82"/>
      <c r="GAC82"/>
      <c r="GAD82"/>
      <c r="GAE82"/>
      <c r="GAF82"/>
      <c r="GAG82"/>
      <c r="GAH82"/>
      <c r="GAI82"/>
      <c r="GAJ82"/>
      <c r="GAK82"/>
      <c r="GAL82"/>
      <c r="GAM82"/>
      <c r="GAN82"/>
      <c r="GAO82"/>
      <c r="GAP82"/>
      <c r="GAQ82"/>
      <c r="GAR82"/>
      <c r="GAS82"/>
      <c r="GAT82"/>
      <c r="GAU82"/>
      <c r="GAV82"/>
      <c r="GAW82"/>
      <c r="GAX82"/>
      <c r="GAY82"/>
      <c r="GAZ82"/>
      <c r="GBA82"/>
      <c r="GBB82"/>
      <c r="GBC82"/>
      <c r="GBD82"/>
      <c r="GBE82"/>
      <c r="GBF82"/>
      <c r="GBG82"/>
      <c r="GBH82"/>
      <c r="GBI82"/>
      <c r="GBJ82"/>
      <c r="GBK82"/>
      <c r="GBL82"/>
      <c r="GBM82"/>
      <c r="GBN82"/>
      <c r="GBO82"/>
      <c r="GBP82"/>
      <c r="GBQ82"/>
      <c r="GBR82"/>
      <c r="GBS82"/>
      <c r="GBT82"/>
      <c r="GBU82"/>
      <c r="GBV82"/>
      <c r="GBW82"/>
      <c r="GBX82"/>
      <c r="GBY82"/>
      <c r="GBZ82"/>
      <c r="GCA82"/>
      <c r="GCB82"/>
      <c r="GCC82"/>
      <c r="GCD82"/>
      <c r="GCE82"/>
      <c r="GCF82"/>
      <c r="GCG82"/>
      <c r="GCH82"/>
      <c r="GCI82"/>
      <c r="GCJ82"/>
      <c r="GCK82"/>
      <c r="GCL82"/>
      <c r="GCM82"/>
      <c r="GCN82"/>
      <c r="GCO82"/>
      <c r="GCP82"/>
      <c r="GCQ82"/>
      <c r="GCR82"/>
      <c r="GCS82"/>
      <c r="GCT82"/>
      <c r="GCU82"/>
      <c r="GCV82"/>
      <c r="GCW82"/>
      <c r="GCX82"/>
      <c r="GCY82"/>
      <c r="GCZ82"/>
      <c r="GDA82"/>
      <c r="GDB82"/>
      <c r="GDC82"/>
      <c r="GDD82"/>
      <c r="GDE82"/>
      <c r="GDF82"/>
      <c r="GDG82"/>
      <c r="GDH82"/>
      <c r="GDI82"/>
      <c r="GDJ82"/>
      <c r="GDK82"/>
      <c r="GDL82"/>
      <c r="GDM82"/>
      <c r="GDN82"/>
      <c r="GDO82"/>
      <c r="GDP82"/>
      <c r="GDQ82"/>
      <c r="GDR82"/>
      <c r="GDS82"/>
      <c r="GDT82"/>
      <c r="GDU82"/>
      <c r="GDV82"/>
      <c r="GDW82"/>
      <c r="GDX82"/>
      <c r="GDY82"/>
      <c r="GDZ82"/>
      <c r="GEA82"/>
      <c r="GEB82"/>
      <c r="GEC82"/>
      <c r="GED82"/>
      <c r="GEE82"/>
      <c r="GEF82"/>
      <c r="GEG82"/>
      <c r="GEH82"/>
      <c r="GEI82"/>
      <c r="GEJ82"/>
      <c r="GEK82"/>
      <c r="GEL82"/>
      <c r="GEM82"/>
      <c r="GEN82"/>
      <c r="GEO82"/>
      <c r="GEP82"/>
      <c r="GEQ82"/>
      <c r="GER82"/>
      <c r="GES82"/>
      <c r="GET82"/>
      <c r="GEU82"/>
      <c r="GEV82"/>
      <c r="GEW82"/>
      <c r="GEX82"/>
      <c r="GEY82"/>
      <c r="GEZ82"/>
      <c r="GFA82"/>
      <c r="GFB82"/>
      <c r="GFC82"/>
      <c r="GFD82"/>
      <c r="GFE82"/>
      <c r="GFF82"/>
      <c r="GFG82"/>
      <c r="GFH82"/>
      <c r="GFI82"/>
      <c r="GFJ82"/>
      <c r="GFK82"/>
      <c r="GFL82"/>
      <c r="GFM82"/>
      <c r="GFN82"/>
      <c r="GFO82"/>
      <c r="GFP82"/>
      <c r="GFQ82"/>
      <c r="GFR82"/>
      <c r="GFS82"/>
      <c r="GFT82"/>
      <c r="GFU82"/>
      <c r="GFV82"/>
      <c r="GFW82"/>
      <c r="GFX82"/>
      <c r="GFY82"/>
      <c r="GFZ82"/>
      <c r="GGA82"/>
      <c r="GGB82"/>
      <c r="GGC82"/>
      <c r="GGD82"/>
      <c r="GGE82"/>
      <c r="GGF82"/>
      <c r="GGG82"/>
      <c r="GGH82"/>
      <c r="GGI82"/>
      <c r="GGJ82"/>
      <c r="GGK82"/>
      <c r="GGL82"/>
      <c r="GGM82"/>
      <c r="GGN82"/>
      <c r="GGO82"/>
      <c r="GGP82"/>
      <c r="GGQ82"/>
      <c r="GGR82"/>
      <c r="GGS82"/>
      <c r="GGT82"/>
      <c r="GGU82"/>
      <c r="GGV82"/>
      <c r="GGW82"/>
      <c r="GGX82"/>
      <c r="GGY82"/>
      <c r="GGZ82"/>
      <c r="GHA82"/>
      <c r="GHB82"/>
      <c r="GHC82"/>
      <c r="GHD82"/>
      <c r="GHE82"/>
      <c r="GHF82"/>
      <c r="GHG82"/>
      <c r="GHH82"/>
      <c r="GHI82"/>
      <c r="GHJ82"/>
      <c r="GHK82"/>
      <c r="GHL82"/>
      <c r="GHM82"/>
      <c r="GHN82"/>
      <c r="GHO82"/>
      <c r="GHP82"/>
      <c r="GHQ82"/>
      <c r="GHR82"/>
      <c r="GHS82"/>
      <c r="GHT82"/>
      <c r="GHU82"/>
      <c r="GHV82"/>
      <c r="GHW82"/>
      <c r="GHX82"/>
      <c r="GHY82"/>
      <c r="GHZ82"/>
      <c r="GIA82"/>
      <c r="GIB82"/>
      <c r="GIC82"/>
      <c r="GID82"/>
      <c r="GIE82"/>
      <c r="GIF82"/>
      <c r="GIG82"/>
      <c r="GIH82"/>
      <c r="GII82"/>
      <c r="GIJ82"/>
      <c r="GIK82"/>
      <c r="GIL82"/>
      <c r="GIM82"/>
      <c r="GIN82"/>
      <c r="GIO82"/>
      <c r="GIP82"/>
      <c r="GIQ82"/>
      <c r="GIR82"/>
      <c r="GIS82"/>
      <c r="GIT82"/>
      <c r="GIU82"/>
      <c r="GIV82"/>
      <c r="GIW82"/>
      <c r="GIX82"/>
      <c r="GIY82"/>
      <c r="GIZ82"/>
      <c r="GJA82"/>
      <c r="GJB82"/>
      <c r="GJC82"/>
      <c r="GJD82"/>
      <c r="GJE82"/>
      <c r="GJF82"/>
      <c r="GJG82"/>
      <c r="GJH82"/>
      <c r="GJI82"/>
      <c r="GJJ82"/>
      <c r="GJK82"/>
      <c r="GJL82"/>
      <c r="GJM82"/>
      <c r="GJN82"/>
      <c r="GJO82"/>
      <c r="GJP82"/>
      <c r="GJQ82"/>
      <c r="GJR82"/>
      <c r="GJS82"/>
      <c r="GJT82"/>
      <c r="GJU82"/>
      <c r="GJV82"/>
      <c r="GJW82"/>
      <c r="GJX82"/>
      <c r="GJY82"/>
      <c r="GJZ82"/>
      <c r="GKA82"/>
      <c r="GKB82"/>
      <c r="GKC82"/>
      <c r="GKD82"/>
      <c r="GKE82"/>
      <c r="GKF82"/>
      <c r="GKG82"/>
      <c r="GKH82"/>
      <c r="GKI82"/>
      <c r="GKJ82"/>
      <c r="GKK82"/>
      <c r="GKL82"/>
      <c r="GKM82"/>
      <c r="GKN82"/>
      <c r="GKO82"/>
      <c r="GKP82"/>
      <c r="GKQ82"/>
      <c r="GKR82"/>
      <c r="GKS82"/>
      <c r="GKT82"/>
      <c r="GKU82"/>
      <c r="GKV82"/>
      <c r="GKW82"/>
      <c r="GKX82"/>
      <c r="GKY82"/>
      <c r="GKZ82"/>
      <c r="GLA82"/>
      <c r="GLB82"/>
      <c r="GLC82"/>
      <c r="GLD82"/>
      <c r="GLE82"/>
      <c r="GLF82"/>
      <c r="GLG82"/>
      <c r="GLH82"/>
      <c r="GLI82"/>
      <c r="GLJ82"/>
      <c r="GLK82"/>
      <c r="GLL82"/>
      <c r="GLM82"/>
      <c r="GLN82"/>
      <c r="GLO82"/>
      <c r="GLP82"/>
      <c r="GLQ82"/>
      <c r="GLR82"/>
      <c r="GLS82"/>
      <c r="GLT82"/>
      <c r="GLU82"/>
      <c r="GLV82"/>
      <c r="GLW82"/>
      <c r="GLX82"/>
      <c r="GLY82"/>
      <c r="GLZ82"/>
      <c r="GMA82"/>
      <c r="GMB82"/>
      <c r="GMC82"/>
      <c r="GMD82"/>
      <c r="GME82"/>
      <c r="GMF82"/>
      <c r="GMG82"/>
      <c r="GMH82"/>
      <c r="GMI82"/>
      <c r="GMJ82"/>
      <c r="GMK82"/>
      <c r="GML82"/>
      <c r="GMM82"/>
      <c r="GMN82"/>
      <c r="GMO82"/>
      <c r="GMP82"/>
      <c r="GMQ82"/>
      <c r="GMR82"/>
      <c r="GMS82"/>
      <c r="GMT82"/>
      <c r="GMU82"/>
      <c r="GMV82"/>
      <c r="GMW82"/>
      <c r="GMX82"/>
      <c r="GMY82"/>
      <c r="GMZ82"/>
      <c r="GNA82"/>
      <c r="GNB82"/>
      <c r="GNC82"/>
      <c r="GND82"/>
      <c r="GNE82"/>
      <c r="GNF82"/>
      <c r="GNG82"/>
      <c r="GNH82"/>
      <c r="GNI82"/>
      <c r="GNJ82"/>
      <c r="GNK82"/>
      <c r="GNL82"/>
      <c r="GNM82"/>
      <c r="GNN82"/>
      <c r="GNO82"/>
      <c r="GNP82"/>
      <c r="GNQ82"/>
      <c r="GNR82"/>
      <c r="GNS82"/>
      <c r="GNT82"/>
      <c r="GNU82"/>
      <c r="GNV82"/>
      <c r="GNW82"/>
      <c r="GNX82"/>
      <c r="GNY82"/>
      <c r="GNZ82"/>
      <c r="GOA82"/>
      <c r="GOB82"/>
      <c r="GOC82"/>
      <c r="GOD82"/>
      <c r="GOE82"/>
      <c r="GOF82"/>
      <c r="GOG82"/>
      <c r="GOH82"/>
      <c r="GOI82"/>
      <c r="GOJ82"/>
      <c r="GOK82"/>
      <c r="GOL82"/>
      <c r="GOM82"/>
      <c r="GON82"/>
      <c r="GOO82"/>
      <c r="GOP82"/>
      <c r="GOQ82"/>
      <c r="GOR82"/>
      <c r="GOS82"/>
      <c r="GOT82"/>
      <c r="GOU82"/>
      <c r="GOV82"/>
      <c r="GOW82"/>
      <c r="GOX82"/>
      <c r="GOY82"/>
      <c r="GOZ82"/>
      <c r="GPA82"/>
      <c r="GPB82"/>
      <c r="GPC82"/>
      <c r="GPD82"/>
      <c r="GPE82"/>
      <c r="GPF82"/>
      <c r="GPG82"/>
      <c r="GPH82"/>
      <c r="GPI82"/>
      <c r="GPJ82"/>
      <c r="GPK82"/>
      <c r="GPL82"/>
      <c r="GPM82"/>
      <c r="GPN82"/>
      <c r="GPO82"/>
      <c r="GPP82"/>
      <c r="GPQ82"/>
      <c r="GPR82"/>
      <c r="GPS82"/>
      <c r="GPT82"/>
      <c r="GPU82"/>
      <c r="GPV82"/>
      <c r="GPW82"/>
      <c r="GPX82"/>
      <c r="GPY82"/>
      <c r="GPZ82"/>
      <c r="GQA82"/>
      <c r="GQB82"/>
      <c r="GQC82"/>
      <c r="GQD82"/>
      <c r="GQE82"/>
      <c r="GQF82"/>
      <c r="GQG82"/>
      <c r="GQH82"/>
      <c r="GQI82"/>
      <c r="GQJ82"/>
      <c r="GQK82"/>
      <c r="GQL82"/>
      <c r="GQM82"/>
      <c r="GQN82"/>
      <c r="GQO82"/>
      <c r="GQP82"/>
      <c r="GQQ82"/>
      <c r="GQR82"/>
      <c r="GQS82"/>
      <c r="GQT82"/>
      <c r="GQU82"/>
      <c r="GQV82"/>
      <c r="GQW82"/>
      <c r="GQX82"/>
      <c r="GQY82"/>
      <c r="GQZ82"/>
      <c r="GRA82"/>
      <c r="GRB82"/>
      <c r="GRC82"/>
      <c r="GRD82"/>
      <c r="GRE82"/>
      <c r="GRF82"/>
      <c r="GRG82"/>
      <c r="GRH82"/>
      <c r="GRI82"/>
      <c r="GRJ82"/>
      <c r="GRK82"/>
      <c r="GRL82"/>
      <c r="GRM82"/>
      <c r="GRN82"/>
      <c r="GRO82"/>
      <c r="GRP82"/>
      <c r="GRQ82"/>
      <c r="GRR82"/>
      <c r="GRS82"/>
      <c r="GRT82"/>
      <c r="GRU82"/>
      <c r="GRV82"/>
      <c r="GRW82"/>
      <c r="GRX82"/>
      <c r="GRY82"/>
      <c r="GRZ82"/>
      <c r="GSA82"/>
      <c r="GSB82"/>
      <c r="GSC82"/>
      <c r="GSD82"/>
      <c r="GSE82"/>
      <c r="GSF82"/>
      <c r="GSG82"/>
      <c r="GSH82"/>
      <c r="GSI82"/>
      <c r="GSJ82"/>
      <c r="GSK82"/>
      <c r="GSL82"/>
      <c r="GSM82"/>
      <c r="GSN82"/>
      <c r="GSO82"/>
      <c r="GSP82"/>
      <c r="GSQ82"/>
      <c r="GSR82"/>
      <c r="GSS82"/>
      <c r="GST82"/>
      <c r="GSU82"/>
      <c r="GSV82"/>
      <c r="GSW82"/>
      <c r="GSX82"/>
      <c r="GSY82"/>
      <c r="GSZ82"/>
      <c r="GTA82"/>
      <c r="GTB82"/>
      <c r="GTC82"/>
      <c r="GTD82"/>
      <c r="GTE82"/>
      <c r="GTF82"/>
      <c r="GTG82"/>
      <c r="GTH82"/>
      <c r="GTI82"/>
      <c r="GTJ82"/>
      <c r="GTK82"/>
      <c r="GTL82"/>
      <c r="GTM82"/>
      <c r="GTN82"/>
      <c r="GTO82"/>
      <c r="GTP82"/>
      <c r="GTQ82"/>
      <c r="GTR82"/>
      <c r="GTS82"/>
      <c r="GTT82"/>
      <c r="GTU82"/>
      <c r="GTV82"/>
      <c r="GTW82"/>
      <c r="GTX82"/>
      <c r="GTY82"/>
      <c r="GTZ82"/>
      <c r="GUA82"/>
      <c r="GUB82"/>
      <c r="GUC82"/>
      <c r="GUD82"/>
      <c r="GUE82"/>
      <c r="GUF82"/>
      <c r="GUG82"/>
      <c r="GUH82"/>
      <c r="GUI82"/>
      <c r="GUJ82"/>
      <c r="GUK82"/>
      <c r="GUL82"/>
      <c r="GUM82"/>
      <c r="GUN82"/>
      <c r="GUO82"/>
      <c r="GUP82"/>
      <c r="GUQ82"/>
      <c r="GUR82"/>
      <c r="GUS82"/>
      <c r="GUT82"/>
      <c r="GUU82"/>
      <c r="GUV82"/>
      <c r="GUW82"/>
      <c r="GUX82"/>
      <c r="GUY82"/>
      <c r="GUZ82"/>
      <c r="GVA82"/>
      <c r="GVB82"/>
      <c r="GVC82"/>
      <c r="GVD82"/>
      <c r="GVE82"/>
      <c r="GVF82"/>
      <c r="GVG82"/>
      <c r="GVH82"/>
      <c r="GVI82"/>
      <c r="GVJ82"/>
      <c r="GVK82"/>
      <c r="GVL82"/>
      <c r="GVM82"/>
      <c r="GVN82"/>
      <c r="GVO82"/>
      <c r="GVP82"/>
      <c r="GVQ82"/>
      <c r="GVR82"/>
      <c r="GVS82"/>
      <c r="GVT82"/>
      <c r="GVU82"/>
      <c r="GVV82"/>
      <c r="GVW82"/>
      <c r="GVX82"/>
      <c r="GVY82"/>
      <c r="GVZ82"/>
      <c r="GWA82"/>
      <c r="GWB82"/>
      <c r="GWC82"/>
      <c r="GWD82"/>
      <c r="GWE82"/>
      <c r="GWF82"/>
      <c r="GWG82"/>
      <c r="GWH82"/>
      <c r="GWI82"/>
      <c r="GWJ82"/>
      <c r="GWK82"/>
      <c r="GWL82"/>
      <c r="GWM82"/>
      <c r="GWN82"/>
      <c r="GWO82"/>
      <c r="GWP82"/>
      <c r="GWQ82"/>
      <c r="GWR82"/>
      <c r="GWS82"/>
      <c r="GWT82"/>
      <c r="GWU82"/>
      <c r="GWV82"/>
      <c r="GWW82"/>
      <c r="GWX82"/>
      <c r="GWY82"/>
      <c r="GWZ82"/>
      <c r="GXA82"/>
      <c r="GXB82"/>
      <c r="GXC82"/>
      <c r="GXD82"/>
      <c r="GXE82"/>
      <c r="GXF82"/>
      <c r="GXG82"/>
      <c r="GXH82"/>
      <c r="GXI82"/>
      <c r="GXJ82"/>
      <c r="GXK82"/>
      <c r="GXL82"/>
      <c r="GXM82"/>
      <c r="GXN82"/>
      <c r="GXO82"/>
      <c r="GXP82"/>
      <c r="GXQ82"/>
      <c r="GXR82"/>
      <c r="GXS82"/>
      <c r="GXT82"/>
      <c r="GXU82"/>
      <c r="GXV82"/>
      <c r="GXW82"/>
      <c r="GXX82"/>
      <c r="GXY82"/>
      <c r="GXZ82"/>
      <c r="GYA82"/>
      <c r="GYB82"/>
      <c r="GYC82"/>
      <c r="GYD82"/>
      <c r="GYE82"/>
      <c r="GYF82"/>
      <c r="GYG82"/>
      <c r="GYH82"/>
      <c r="GYI82"/>
      <c r="GYJ82"/>
      <c r="GYK82"/>
      <c r="GYL82"/>
      <c r="GYM82"/>
      <c r="GYN82"/>
      <c r="GYO82"/>
      <c r="GYP82"/>
      <c r="GYQ82"/>
      <c r="GYR82"/>
      <c r="GYS82"/>
      <c r="GYT82"/>
      <c r="GYU82"/>
      <c r="GYV82"/>
      <c r="GYW82"/>
      <c r="GYX82"/>
      <c r="GYY82"/>
      <c r="GYZ82"/>
      <c r="GZA82"/>
      <c r="GZB82"/>
      <c r="GZC82"/>
      <c r="GZD82"/>
      <c r="GZE82"/>
      <c r="GZF82"/>
      <c r="GZG82"/>
      <c r="GZH82"/>
      <c r="GZI82"/>
      <c r="GZJ82"/>
      <c r="GZK82"/>
      <c r="GZL82"/>
      <c r="GZM82"/>
      <c r="GZN82"/>
      <c r="GZO82"/>
      <c r="GZP82"/>
      <c r="GZQ82"/>
      <c r="GZR82"/>
      <c r="GZS82"/>
      <c r="GZT82"/>
      <c r="GZU82"/>
      <c r="GZV82"/>
      <c r="GZW82"/>
      <c r="GZX82"/>
      <c r="GZY82"/>
      <c r="GZZ82"/>
      <c r="HAA82"/>
      <c r="HAB82"/>
      <c r="HAC82"/>
      <c r="HAD82"/>
      <c r="HAE82"/>
      <c r="HAF82"/>
      <c r="HAG82"/>
      <c r="HAH82"/>
      <c r="HAI82"/>
      <c r="HAJ82"/>
      <c r="HAK82"/>
      <c r="HAL82"/>
      <c r="HAM82"/>
      <c r="HAN82"/>
      <c r="HAO82"/>
      <c r="HAP82"/>
      <c r="HAQ82"/>
      <c r="HAR82"/>
      <c r="HAS82"/>
      <c r="HAT82"/>
      <c r="HAU82"/>
      <c r="HAV82"/>
      <c r="HAW82"/>
      <c r="HAX82"/>
      <c r="HAY82"/>
      <c r="HAZ82"/>
      <c r="HBA82"/>
      <c r="HBB82"/>
      <c r="HBC82"/>
      <c r="HBD82"/>
      <c r="HBE82"/>
      <c r="HBF82"/>
      <c r="HBG82"/>
      <c r="HBH82"/>
      <c r="HBI82"/>
      <c r="HBJ82"/>
      <c r="HBK82"/>
      <c r="HBL82"/>
      <c r="HBM82"/>
      <c r="HBN82"/>
      <c r="HBO82"/>
      <c r="HBP82"/>
      <c r="HBQ82"/>
      <c r="HBR82"/>
      <c r="HBS82"/>
      <c r="HBT82"/>
      <c r="HBU82"/>
      <c r="HBV82"/>
      <c r="HBW82"/>
      <c r="HBX82"/>
      <c r="HBY82"/>
      <c r="HBZ82"/>
      <c r="HCA82"/>
      <c r="HCB82"/>
      <c r="HCC82"/>
      <c r="HCD82"/>
      <c r="HCE82"/>
      <c r="HCF82"/>
      <c r="HCG82"/>
      <c r="HCH82"/>
      <c r="HCI82"/>
      <c r="HCJ82"/>
      <c r="HCK82"/>
      <c r="HCL82"/>
      <c r="HCM82"/>
      <c r="HCN82"/>
      <c r="HCO82"/>
      <c r="HCP82"/>
      <c r="HCQ82"/>
      <c r="HCR82"/>
      <c r="HCS82"/>
      <c r="HCT82"/>
      <c r="HCU82"/>
      <c r="HCV82"/>
      <c r="HCW82"/>
      <c r="HCX82"/>
      <c r="HCY82"/>
      <c r="HCZ82"/>
      <c r="HDA82"/>
      <c r="HDB82"/>
      <c r="HDC82"/>
      <c r="HDD82"/>
      <c r="HDE82"/>
      <c r="HDF82"/>
      <c r="HDG82"/>
      <c r="HDH82"/>
      <c r="HDI82"/>
      <c r="HDJ82"/>
      <c r="HDK82"/>
      <c r="HDL82"/>
      <c r="HDM82"/>
      <c r="HDN82"/>
      <c r="HDO82"/>
      <c r="HDP82"/>
      <c r="HDQ82"/>
      <c r="HDR82"/>
      <c r="HDS82"/>
      <c r="HDT82"/>
      <c r="HDU82"/>
      <c r="HDV82"/>
      <c r="HDW82"/>
      <c r="HDX82"/>
      <c r="HDY82"/>
      <c r="HDZ82"/>
      <c r="HEA82"/>
      <c r="HEB82"/>
      <c r="HEC82"/>
      <c r="HED82"/>
      <c r="HEE82"/>
      <c r="HEF82"/>
      <c r="HEG82"/>
      <c r="HEH82"/>
      <c r="HEI82"/>
      <c r="HEJ82"/>
      <c r="HEK82"/>
      <c r="HEL82"/>
      <c r="HEM82"/>
      <c r="HEN82"/>
      <c r="HEO82"/>
      <c r="HEP82"/>
      <c r="HEQ82"/>
      <c r="HER82"/>
      <c r="HES82"/>
      <c r="HET82"/>
      <c r="HEU82"/>
      <c r="HEV82"/>
      <c r="HEW82"/>
      <c r="HEX82"/>
      <c r="HEY82"/>
      <c r="HEZ82"/>
      <c r="HFA82"/>
      <c r="HFB82"/>
      <c r="HFC82"/>
      <c r="HFD82"/>
      <c r="HFE82"/>
      <c r="HFF82"/>
      <c r="HFG82"/>
      <c r="HFH82"/>
      <c r="HFI82"/>
      <c r="HFJ82"/>
      <c r="HFK82"/>
      <c r="HFL82"/>
      <c r="HFM82"/>
      <c r="HFN82"/>
      <c r="HFO82"/>
      <c r="HFP82"/>
      <c r="HFQ82"/>
      <c r="HFR82"/>
      <c r="HFS82"/>
      <c r="HFT82"/>
      <c r="HFU82"/>
      <c r="HFV82"/>
      <c r="HFW82"/>
      <c r="HFX82"/>
      <c r="HFY82"/>
      <c r="HFZ82"/>
      <c r="HGA82"/>
      <c r="HGB82"/>
      <c r="HGC82"/>
      <c r="HGD82"/>
      <c r="HGE82"/>
      <c r="HGF82"/>
      <c r="HGG82"/>
      <c r="HGH82"/>
      <c r="HGI82"/>
      <c r="HGJ82"/>
      <c r="HGK82"/>
      <c r="HGL82"/>
      <c r="HGM82"/>
      <c r="HGN82"/>
      <c r="HGO82"/>
      <c r="HGP82"/>
      <c r="HGQ82"/>
      <c r="HGR82"/>
      <c r="HGS82"/>
      <c r="HGT82"/>
      <c r="HGU82"/>
      <c r="HGV82"/>
      <c r="HGW82"/>
      <c r="HGX82"/>
      <c r="HGY82"/>
      <c r="HGZ82"/>
      <c r="HHA82"/>
      <c r="HHB82"/>
      <c r="HHC82"/>
      <c r="HHD82"/>
      <c r="HHE82"/>
      <c r="HHF82"/>
      <c r="HHG82"/>
      <c r="HHH82"/>
      <c r="HHI82"/>
      <c r="HHJ82"/>
      <c r="HHK82"/>
      <c r="HHL82"/>
      <c r="HHM82"/>
      <c r="HHN82"/>
      <c r="HHO82"/>
      <c r="HHP82"/>
      <c r="HHQ82"/>
      <c r="HHR82"/>
      <c r="HHS82"/>
      <c r="HHT82"/>
      <c r="HHU82"/>
      <c r="HHV82"/>
      <c r="HHW82"/>
      <c r="HHX82"/>
      <c r="HHY82"/>
      <c r="HHZ82"/>
      <c r="HIA82"/>
      <c r="HIB82"/>
      <c r="HIC82"/>
      <c r="HID82"/>
      <c r="HIE82"/>
      <c r="HIF82"/>
      <c r="HIG82"/>
      <c r="HIH82"/>
      <c r="HII82"/>
      <c r="HIJ82"/>
      <c r="HIK82"/>
      <c r="HIL82"/>
      <c r="HIM82"/>
      <c r="HIN82"/>
      <c r="HIO82"/>
      <c r="HIP82"/>
      <c r="HIQ82"/>
      <c r="HIR82"/>
      <c r="HIS82"/>
      <c r="HIT82"/>
      <c r="HIU82"/>
      <c r="HIV82"/>
      <c r="HIW82"/>
      <c r="HIX82"/>
      <c r="HIY82"/>
      <c r="HIZ82"/>
      <c r="HJA82"/>
      <c r="HJB82"/>
      <c r="HJC82"/>
      <c r="HJD82"/>
      <c r="HJE82"/>
      <c r="HJF82"/>
      <c r="HJG82"/>
      <c r="HJH82"/>
      <c r="HJI82"/>
      <c r="HJJ82"/>
      <c r="HJK82"/>
      <c r="HJL82"/>
      <c r="HJM82"/>
      <c r="HJN82"/>
      <c r="HJO82"/>
      <c r="HJP82"/>
      <c r="HJQ82"/>
      <c r="HJR82"/>
      <c r="HJS82"/>
      <c r="HJT82"/>
      <c r="HJU82"/>
      <c r="HJV82"/>
      <c r="HJW82"/>
      <c r="HJX82"/>
      <c r="HJY82"/>
      <c r="HJZ82"/>
      <c r="HKA82"/>
      <c r="HKB82"/>
      <c r="HKC82"/>
      <c r="HKD82"/>
      <c r="HKE82"/>
      <c r="HKF82"/>
      <c r="HKG82"/>
      <c r="HKH82"/>
      <c r="HKI82"/>
      <c r="HKJ82"/>
      <c r="HKK82"/>
      <c r="HKL82"/>
      <c r="HKM82"/>
      <c r="HKN82"/>
      <c r="HKO82"/>
      <c r="HKP82"/>
      <c r="HKQ82"/>
      <c r="HKR82"/>
      <c r="HKS82"/>
      <c r="HKT82"/>
      <c r="HKU82"/>
      <c r="HKV82"/>
      <c r="HKW82"/>
      <c r="HKX82"/>
      <c r="HKY82"/>
      <c r="HKZ82"/>
      <c r="HLA82"/>
      <c r="HLB82"/>
      <c r="HLC82"/>
      <c r="HLD82"/>
      <c r="HLE82"/>
      <c r="HLF82"/>
      <c r="HLG82"/>
      <c r="HLH82"/>
      <c r="HLI82"/>
      <c r="HLJ82"/>
      <c r="HLK82"/>
      <c r="HLL82"/>
      <c r="HLM82"/>
      <c r="HLN82"/>
      <c r="HLO82"/>
      <c r="HLP82"/>
      <c r="HLQ82"/>
      <c r="HLR82"/>
      <c r="HLS82"/>
      <c r="HLT82"/>
      <c r="HLU82"/>
      <c r="HLV82"/>
      <c r="HLW82"/>
      <c r="HLX82"/>
      <c r="HLY82"/>
      <c r="HLZ82"/>
      <c r="HMA82"/>
      <c r="HMB82"/>
      <c r="HMC82"/>
      <c r="HMD82"/>
      <c r="HME82"/>
      <c r="HMF82"/>
      <c r="HMG82"/>
      <c r="HMH82"/>
      <c r="HMI82"/>
      <c r="HMJ82"/>
      <c r="HMK82"/>
      <c r="HML82"/>
      <c r="HMM82"/>
      <c r="HMN82"/>
      <c r="HMO82"/>
      <c r="HMP82"/>
      <c r="HMQ82"/>
      <c r="HMR82"/>
      <c r="HMS82"/>
      <c r="HMT82"/>
      <c r="HMU82"/>
      <c r="HMV82"/>
      <c r="HMW82"/>
      <c r="HMX82"/>
      <c r="HMY82"/>
      <c r="HMZ82"/>
      <c r="HNA82"/>
      <c r="HNB82"/>
      <c r="HNC82"/>
      <c r="HND82"/>
      <c r="HNE82"/>
      <c r="HNF82"/>
      <c r="HNG82"/>
      <c r="HNH82"/>
      <c r="HNI82"/>
      <c r="HNJ82"/>
      <c r="HNK82"/>
      <c r="HNL82"/>
      <c r="HNM82"/>
      <c r="HNN82"/>
      <c r="HNO82"/>
      <c r="HNP82"/>
      <c r="HNQ82"/>
      <c r="HNR82"/>
      <c r="HNS82"/>
      <c r="HNT82"/>
      <c r="HNU82"/>
      <c r="HNV82"/>
      <c r="HNW82"/>
      <c r="HNX82"/>
      <c r="HNY82"/>
      <c r="HNZ82"/>
      <c r="HOA82"/>
      <c r="HOB82"/>
      <c r="HOC82"/>
      <c r="HOD82"/>
      <c r="HOE82"/>
      <c r="HOF82"/>
      <c r="HOG82"/>
      <c r="HOH82"/>
      <c r="HOI82"/>
      <c r="HOJ82"/>
      <c r="HOK82"/>
      <c r="HOL82"/>
      <c r="HOM82"/>
      <c r="HON82"/>
      <c r="HOO82"/>
      <c r="HOP82"/>
      <c r="HOQ82"/>
      <c r="HOR82"/>
      <c r="HOS82"/>
      <c r="HOT82"/>
      <c r="HOU82"/>
      <c r="HOV82"/>
      <c r="HOW82"/>
      <c r="HOX82"/>
      <c r="HOY82"/>
      <c r="HOZ82"/>
      <c r="HPA82"/>
      <c r="HPB82"/>
      <c r="HPC82"/>
      <c r="HPD82"/>
      <c r="HPE82"/>
      <c r="HPF82"/>
      <c r="HPG82"/>
      <c r="HPH82"/>
      <c r="HPI82"/>
      <c r="HPJ82"/>
      <c r="HPK82"/>
      <c r="HPL82"/>
      <c r="HPM82"/>
      <c r="HPN82"/>
      <c r="HPO82"/>
      <c r="HPP82"/>
      <c r="HPQ82"/>
      <c r="HPR82"/>
      <c r="HPS82"/>
      <c r="HPT82"/>
      <c r="HPU82"/>
      <c r="HPV82"/>
      <c r="HPW82"/>
      <c r="HPX82"/>
      <c r="HPY82"/>
      <c r="HPZ82"/>
      <c r="HQA82"/>
      <c r="HQB82"/>
      <c r="HQC82"/>
      <c r="HQD82"/>
      <c r="HQE82"/>
      <c r="HQF82"/>
      <c r="HQG82"/>
      <c r="HQH82"/>
      <c r="HQI82"/>
      <c r="HQJ82"/>
      <c r="HQK82"/>
      <c r="HQL82"/>
      <c r="HQM82"/>
      <c r="HQN82"/>
      <c r="HQO82"/>
      <c r="HQP82"/>
      <c r="HQQ82"/>
      <c r="HQR82"/>
      <c r="HQS82"/>
      <c r="HQT82"/>
      <c r="HQU82"/>
      <c r="HQV82"/>
      <c r="HQW82"/>
      <c r="HQX82"/>
      <c r="HQY82"/>
      <c r="HQZ82"/>
      <c r="HRA82"/>
      <c r="HRB82"/>
      <c r="HRC82"/>
      <c r="HRD82"/>
      <c r="HRE82"/>
      <c r="HRF82"/>
      <c r="HRG82"/>
      <c r="HRH82"/>
      <c r="HRI82"/>
      <c r="HRJ82"/>
      <c r="HRK82"/>
      <c r="HRL82"/>
      <c r="HRM82"/>
      <c r="HRN82"/>
      <c r="HRO82"/>
      <c r="HRP82"/>
      <c r="HRQ82"/>
      <c r="HRR82"/>
      <c r="HRS82"/>
      <c r="HRT82"/>
      <c r="HRU82"/>
      <c r="HRV82"/>
      <c r="HRW82"/>
      <c r="HRX82"/>
      <c r="HRY82"/>
      <c r="HRZ82"/>
      <c r="HSA82"/>
      <c r="HSB82"/>
      <c r="HSC82"/>
      <c r="HSD82"/>
      <c r="HSE82"/>
      <c r="HSF82"/>
      <c r="HSG82"/>
      <c r="HSH82"/>
      <c r="HSI82"/>
      <c r="HSJ82"/>
      <c r="HSK82"/>
      <c r="HSL82"/>
      <c r="HSM82"/>
      <c r="HSN82"/>
      <c r="HSO82"/>
      <c r="HSP82"/>
      <c r="HSQ82"/>
      <c r="HSR82"/>
      <c r="HSS82"/>
      <c r="HST82"/>
      <c r="HSU82"/>
      <c r="HSV82"/>
      <c r="HSW82"/>
      <c r="HSX82"/>
      <c r="HSY82"/>
      <c r="HSZ82"/>
      <c r="HTA82"/>
      <c r="HTB82"/>
      <c r="HTC82"/>
      <c r="HTD82"/>
      <c r="HTE82"/>
      <c r="HTF82"/>
      <c r="HTG82"/>
      <c r="HTH82"/>
      <c r="HTI82"/>
      <c r="HTJ82"/>
      <c r="HTK82"/>
      <c r="HTL82"/>
      <c r="HTM82"/>
      <c r="HTN82"/>
      <c r="HTO82"/>
      <c r="HTP82"/>
      <c r="HTQ82"/>
      <c r="HTR82"/>
      <c r="HTS82"/>
      <c r="HTT82"/>
      <c r="HTU82"/>
      <c r="HTV82"/>
      <c r="HTW82"/>
      <c r="HTX82"/>
      <c r="HTY82"/>
      <c r="HTZ82"/>
      <c r="HUA82"/>
      <c r="HUB82"/>
      <c r="HUC82"/>
      <c r="HUD82"/>
      <c r="HUE82"/>
      <c r="HUF82"/>
      <c r="HUG82"/>
      <c r="HUH82"/>
      <c r="HUI82"/>
      <c r="HUJ82"/>
      <c r="HUK82"/>
      <c r="HUL82"/>
      <c r="HUM82"/>
      <c r="HUN82"/>
      <c r="HUO82"/>
      <c r="HUP82"/>
      <c r="HUQ82"/>
      <c r="HUR82"/>
      <c r="HUS82"/>
      <c r="HUT82"/>
      <c r="HUU82"/>
      <c r="HUV82"/>
      <c r="HUW82"/>
      <c r="HUX82"/>
      <c r="HUY82"/>
      <c r="HUZ82"/>
      <c r="HVA82"/>
      <c r="HVB82"/>
      <c r="HVC82"/>
      <c r="HVD82"/>
      <c r="HVE82"/>
      <c r="HVF82"/>
      <c r="HVG82"/>
      <c r="HVH82"/>
      <c r="HVI82"/>
      <c r="HVJ82"/>
      <c r="HVK82"/>
      <c r="HVL82"/>
      <c r="HVM82"/>
      <c r="HVN82"/>
      <c r="HVO82"/>
      <c r="HVP82"/>
      <c r="HVQ82"/>
      <c r="HVR82"/>
      <c r="HVS82"/>
      <c r="HVT82"/>
      <c r="HVU82"/>
      <c r="HVV82"/>
      <c r="HVW82"/>
      <c r="HVX82"/>
      <c r="HVY82"/>
      <c r="HVZ82"/>
      <c r="HWA82"/>
      <c r="HWB82"/>
      <c r="HWC82"/>
      <c r="HWD82"/>
      <c r="HWE82"/>
      <c r="HWF82"/>
      <c r="HWG82"/>
      <c r="HWH82"/>
      <c r="HWI82"/>
      <c r="HWJ82"/>
      <c r="HWK82"/>
      <c r="HWL82"/>
      <c r="HWM82"/>
      <c r="HWN82"/>
      <c r="HWO82"/>
      <c r="HWP82"/>
      <c r="HWQ82"/>
      <c r="HWR82"/>
      <c r="HWS82"/>
      <c r="HWT82"/>
      <c r="HWU82"/>
      <c r="HWV82"/>
      <c r="HWW82"/>
      <c r="HWX82"/>
      <c r="HWY82"/>
      <c r="HWZ82"/>
      <c r="HXA82"/>
      <c r="HXB82"/>
      <c r="HXC82"/>
      <c r="HXD82"/>
      <c r="HXE82"/>
      <c r="HXF82"/>
      <c r="HXG82"/>
      <c r="HXH82"/>
      <c r="HXI82"/>
      <c r="HXJ82"/>
      <c r="HXK82"/>
      <c r="HXL82"/>
      <c r="HXM82"/>
      <c r="HXN82"/>
      <c r="HXO82"/>
      <c r="HXP82"/>
      <c r="HXQ82"/>
      <c r="HXR82"/>
      <c r="HXS82"/>
      <c r="HXT82"/>
      <c r="HXU82"/>
      <c r="HXV82"/>
      <c r="HXW82"/>
      <c r="HXX82"/>
      <c r="HXY82"/>
      <c r="HXZ82"/>
      <c r="HYA82"/>
      <c r="HYB82"/>
      <c r="HYC82"/>
      <c r="HYD82"/>
      <c r="HYE82"/>
      <c r="HYF82"/>
      <c r="HYG82"/>
      <c r="HYH82"/>
      <c r="HYI82"/>
      <c r="HYJ82"/>
      <c r="HYK82"/>
      <c r="HYL82"/>
      <c r="HYM82"/>
      <c r="HYN82"/>
      <c r="HYO82"/>
      <c r="HYP82"/>
      <c r="HYQ82"/>
      <c r="HYR82"/>
      <c r="HYS82"/>
      <c r="HYT82"/>
      <c r="HYU82"/>
      <c r="HYV82"/>
      <c r="HYW82"/>
      <c r="HYX82"/>
      <c r="HYY82"/>
      <c r="HYZ82"/>
      <c r="HZA82"/>
      <c r="HZB82"/>
      <c r="HZC82"/>
      <c r="HZD82"/>
      <c r="HZE82"/>
      <c r="HZF82"/>
      <c r="HZG82"/>
      <c r="HZH82"/>
      <c r="HZI82"/>
      <c r="HZJ82"/>
      <c r="HZK82"/>
      <c r="HZL82"/>
      <c r="HZM82"/>
      <c r="HZN82"/>
      <c r="HZO82"/>
      <c r="HZP82"/>
      <c r="HZQ82"/>
      <c r="HZR82"/>
      <c r="HZS82"/>
      <c r="HZT82"/>
      <c r="HZU82"/>
      <c r="HZV82"/>
      <c r="HZW82"/>
      <c r="HZX82"/>
      <c r="HZY82"/>
      <c r="HZZ82"/>
      <c r="IAA82"/>
      <c r="IAB82"/>
      <c r="IAC82"/>
      <c r="IAD82"/>
      <c r="IAE82"/>
      <c r="IAF82"/>
      <c r="IAG82"/>
      <c r="IAH82"/>
      <c r="IAI82"/>
      <c r="IAJ82"/>
      <c r="IAK82"/>
      <c r="IAL82"/>
      <c r="IAM82"/>
      <c r="IAN82"/>
      <c r="IAO82"/>
      <c r="IAP82"/>
      <c r="IAQ82"/>
      <c r="IAR82"/>
      <c r="IAS82"/>
      <c r="IAT82"/>
      <c r="IAU82"/>
      <c r="IAV82"/>
      <c r="IAW82"/>
      <c r="IAX82"/>
      <c r="IAY82"/>
      <c r="IAZ82"/>
      <c r="IBA82"/>
      <c r="IBB82"/>
      <c r="IBC82"/>
      <c r="IBD82"/>
      <c r="IBE82"/>
      <c r="IBF82"/>
      <c r="IBG82"/>
      <c r="IBH82"/>
      <c r="IBI82"/>
      <c r="IBJ82"/>
      <c r="IBK82"/>
      <c r="IBL82"/>
      <c r="IBM82"/>
      <c r="IBN82"/>
      <c r="IBO82"/>
      <c r="IBP82"/>
      <c r="IBQ82"/>
      <c r="IBR82"/>
      <c r="IBS82"/>
      <c r="IBT82"/>
      <c r="IBU82"/>
      <c r="IBV82"/>
      <c r="IBW82"/>
      <c r="IBX82"/>
      <c r="IBY82"/>
      <c r="IBZ82"/>
      <c r="ICA82"/>
      <c r="ICB82"/>
      <c r="ICC82"/>
      <c r="ICD82"/>
      <c r="ICE82"/>
      <c r="ICF82"/>
      <c r="ICG82"/>
      <c r="ICH82"/>
      <c r="ICI82"/>
      <c r="ICJ82"/>
      <c r="ICK82"/>
      <c r="ICL82"/>
      <c r="ICM82"/>
      <c r="ICN82"/>
      <c r="ICO82"/>
      <c r="ICP82"/>
      <c r="ICQ82"/>
      <c r="ICR82"/>
      <c r="ICS82"/>
      <c r="ICT82"/>
      <c r="ICU82"/>
      <c r="ICV82"/>
      <c r="ICW82"/>
      <c r="ICX82"/>
      <c r="ICY82"/>
      <c r="ICZ82"/>
      <c r="IDA82"/>
      <c r="IDB82"/>
      <c r="IDC82"/>
      <c r="IDD82"/>
      <c r="IDE82"/>
      <c r="IDF82"/>
      <c r="IDG82"/>
      <c r="IDH82"/>
      <c r="IDI82"/>
      <c r="IDJ82"/>
      <c r="IDK82"/>
      <c r="IDL82"/>
      <c r="IDM82"/>
      <c r="IDN82"/>
      <c r="IDO82"/>
      <c r="IDP82"/>
      <c r="IDQ82"/>
      <c r="IDR82"/>
      <c r="IDS82"/>
      <c r="IDT82"/>
      <c r="IDU82"/>
      <c r="IDV82"/>
      <c r="IDW82"/>
      <c r="IDX82"/>
      <c r="IDY82"/>
      <c r="IDZ82"/>
      <c r="IEA82"/>
      <c r="IEB82"/>
      <c r="IEC82"/>
      <c r="IED82"/>
      <c r="IEE82"/>
      <c r="IEF82"/>
      <c r="IEG82"/>
      <c r="IEH82"/>
      <c r="IEI82"/>
      <c r="IEJ82"/>
      <c r="IEK82"/>
      <c r="IEL82"/>
      <c r="IEM82"/>
      <c r="IEN82"/>
      <c r="IEO82"/>
      <c r="IEP82"/>
      <c r="IEQ82"/>
      <c r="IER82"/>
      <c r="IES82"/>
      <c r="IET82"/>
      <c r="IEU82"/>
      <c r="IEV82"/>
      <c r="IEW82"/>
      <c r="IEX82"/>
      <c r="IEY82"/>
      <c r="IEZ82"/>
      <c r="IFA82"/>
      <c r="IFB82"/>
      <c r="IFC82"/>
      <c r="IFD82"/>
      <c r="IFE82"/>
      <c r="IFF82"/>
      <c r="IFG82"/>
      <c r="IFH82"/>
      <c r="IFI82"/>
      <c r="IFJ82"/>
      <c r="IFK82"/>
      <c r="IFL82"/>
      <c r="IFM82"/>
      <c r="IFN82"/>
      <c r="IFO82"/>
      <c r="IFP82"/>
      <c r="IFQ82"/>
      <c r="IFR82"/>
      <c r="IFS82"/>
      <c r="IFT82"/>
      <c r="IFU82"/>
      <c r="IFV82"/>
      <c r="IFW82"/>
      <c r="IFX82"/>
      <c r="IFY82"/>
      <c r="IFZ82"/>
      <c r="IGA82"/>
      <c r="IGB82"/>
      <c r="IGC82"/>
      <c r="IGD82"/>
      <c r="IGE82"/>
      <c r="IGF82"/>
      <c r="IGG82"/>
      <c r="IGH82"/>
      <c r="IGI82"/>
      <c r="IGJ82"/>
      <c r="IGK82"/>
      <c r="IGL82"/>
      <c r="IGM82"/>
      <c r="IGN82"/>
      <c r="IGO82"/>
      <c r="IGP82"/>
      <c r="IGQ82"/>
      <c r="IGR82"/>
      <c r="IGS82"/>
      <c r="IGT82"/>
      <c r="IGU82"/>
      <c r="IGV82"/>
      <c r="IGW82"/>
      <c r="IGX82"/>
      <c r="IGY82"/>
      <c r="IGZ82"/>
      <c r="IHA82"/>
      <c r="IHB82"/>
      <c r="IHC82"/>
      <c r="IHD82"/>
      <c r="IHE82"/>
      <c r="IHF82"/>
      <c r="IHG82"/>
      <c r="IHH82"/>
      <c r="IHI82"/>
      <c r="IHJ82"/>
      <c r="IHK82"/>
      <c r="IHL82"/>
      <c r="IHM82"/>
      <c r="IHN82"/>
      <c r="IHO82"/>
      <c r="IHP82"/>
      <c r="IHQ82"/>
      <c r="IHR82"/>
      <c r="IHS82"/>
      <c r="IHT82"/>
      <c r="IHU82"/>
      <c r="IHV82"/>
      <c r="IHW82"/>
      <c r="IHX82"/>
      <c r="IHY82"/>
      <c r="IHZ82"/>
      <c r="IIA82"/>
      <c r="IIB82"/>
      <c r="IIC82"/>
      <c r="IID82"/>
      <c r="IIE82"/>
      <c r="IIF82"/>
      <c r="IIG82"/>
      <c r="IIH82"/>
      <c r="III82"/>
      <c r="IIJ82"/>
      <c r="IIK82"/>
      <c r="IIL82"/>
      <c r="IIM82"/>
      <c r="IIN82"/>
      <c r="IIO82"/>
      <c r="IIP82"/>
      <c r="IIQ82"/>
      <c r="IIR82"/>
      <c r="IIS82"/>
      <c r="IIT82"/>
      <c r="IIU82"/>
      <c r="IIV82"/>
      <c r="IIW82"/>
      <c r="IIX82"/>
      <c r="IIY82"/>
      <c r="IIZ82"/>
      <c r="IJA82"/>
      <c r="IJB82"/>
      <c r="IJC82"/>
      <c r="IJD82"/>
      <c r="IJE82"/>
      <c r="IJF82"/>
      <c r="IJG82"/>
      <c r="IJH82"/>
      <c r="IJI82"/>
      <c r="IJJ82"/>
      <c r="IJK82"/>
      <c r="IJL82"/>
      <c r="IJM82"/>
      <c r="IJN82"/>
      <c r="IJO82"/>
      <c r="IJP82"/>
      <c r="IJQ82"/>
      <c r="IJR82"/>
      <c r="IJS82"/>
      <c r="IJT82"/>
      <c r="IJU82"/>
      <c r="IJV82"/>
      <c r="IJW82"/>
      <c r="IJX82"/>
      <c r="IJY82"/>
      <c r="IJZ82"/>
      <c r="IKA82"/>
      <c r="IKB82"/>
      <c r="IKC82"/>
      <c r="IKD82"/>
      <c r="IKE82"/>
      <c r="IKF82"/>
      <c r="IKG82"/>
      <c r="IKH82"/>
      <c r="IKI82"/>
      <c r="IKJ82"/>
      <c r="IKK82"/>
      <c r="IKL82"/>
      <c r="IKM82"/>
      <c r="IKN82"/>
      <c r="IKO82"/>
      <c r="IKP82"/>
      <c r="IKQ82"/>
      <c r="IKR82"/>
      <c r="IKS82"/>
      <c r="IKT82"/>
      <c r="IKU82"/>
      <c r="IKV82"/>
      <c r="IKW82"/>
      <c r="IKX82"/>
      <c r="IKY82"/>
      <c r="IKZ82"/>
      <c r="ILA82"/>
      <c r="ILB82"/>
      <c r="ILC82"/>
      <c r="ILD82"/>
      <c r="ILE82"/>
      <c r="ILF82"/>
      <c r="ILG82"/>
      <c r="ILH82"/>
      <c r="ILI82"/>
      <c r="ILJ82"/>
      <c r="ILK82"/>
      <c r="ILL82"/>
      <c r="ILM82"/>
      <c r="ILN82"/>
      <c r="ILO82"/>
      <c r="ILP82"/>
      <c r="ILQ82"/>
      <c r="ILR82"/>
      <c r="ILS82"/>
      <c r="ILT82"/>
      <c r="ILU82"/>
      <c r="ILV82"/>
      <c r="ILW82"/>
      <c r="ILX82"/>
      <c r="ILY82"/>
      <c r="ILZ82"/>
      <c r="IMA82"/>
      <c r="IMB82"/>
      <c r="IMC82"/>
      <c r="IMD82"/>
      <c r="IME82"/>
      <c r="IMF82"/>
      <c r="IMG82"/>
      <c r="IMH82"/>
      <c r="IMI82"/>
      <c r="IMJ82"/>
      <c r="IMK82"/>
      <c r="IML82"/>
      <c r="IMM82"/>
      <c r="IMN82"/>
      <c r="IMO82"/>
      <c r="IMP82"/>
      <c r="IMQ82"/>
      <c r="IMR82"/>
      <c r="IMS82"/>
      <c r="IMT82"/>
      <c r="IMU82"/>
      <c r="IMV82"/>
      <c r="IMW82"/>
      <c r="IMX82"/>
      <c r="IMY82"/>
      <c r="IMZ82"/>
      <c r="INA82"/>
      <c r="INB82"/>
      <c r="INC82"/>
      <c r="IND82"/>
      <c r="INE82"/>
      <c r="INF82"/>
      <c r="ING82"/>
      <c r="INH82"/>
      <c r="INI82"/>
      <c r="INJ82"/>
      <c r="INK82"/>
      <c r="INL82"/>
      <c r="INM82"/>
      <c r="INN82"/>
      <c r="INO82"/>
      <c r="INP82"/>
      <c r="INQ82"/>
      <c r="INR82"/>
      <c r="INS82"/>
      <c r="INT82"/>
      <c r="INU82"/>
      <c r="INV82"/>
      <c r="INW82"/>
      <c r="INX82"/>
      <c r="INY82"/>
      <c r="INZ82"/>
      <c r="IOA82"/>
      <c r="IOB82"/>
      <c r="IOC82"/>
      <c r="IOD82"/>
      <c r="IOE82"/>
      <c r="IOF82"/>
      <c r="IOG82"/>
      <c r="IOH82"/>
      <c r="IOI82"/>
      <c r="IOJ82"/>
      <c r="IOK82"/>
      <c r="IOL82"/>
      <c r="IOM82"/>
      <c r="ION82"/>
      <c r="IOO82"/>
      <c r="IOP82"/>
      <c r="IOQ82"/>
      <c r="IOR82"/>
      <c r="IOS82"/>
      <c r="IOT82"/>
      <c r="IOU82"/>
      <c r="IOV82"/>
      <c r="IOW82"/>
      <c r="IOX82"/>
      <c r="IOY82"/>
      <c r="IOZ82"/>
      <c r="IPA82"/>
      <c r="IPB82"/>
      <c r="IPC82"/>
      <c r="IPD82"/>
      <c r="IPE82"/>
      <c r="IPF82"/>
      <c r="IPG82"/>
      <c r="IPH82"/>
      <c r="IPI82"/>
      <c r="IPJ82"/>
      <c r="IPK82"/>
      <c r="IPL82"/>
      <c r="IPM82"/>
      <c r="IPN82"/>
      <c r="IPO82"/>
      <c r="IPP82"/>
      <c r="IPQ82"/>
      <c r="IPR82"/>
      <c r="IPS82"/>
      <c r="IPT82"/>
      <c r="IPU82"/>
      <c r="IPV82"/>
      <c r="IPW82"/>
      <c r="IPX82"/>
      <c r="IPY82"/>
      <c r="IPZ82"/>
      <c r="IQA82"/>
      <c r="IQB82"/>
      <c r="IQC82"/>
      <c r="IQD82"/>
      <c r="IQE82"/>
      <c r="IQF82"/>
      <c r="IQG82"/>
      <c r="IQH82"/>
      <c r="IQI82"/>
      <c r="IQJ82"/>
      <c r="IQK82"/>
      <c r="IQL82"/>
      <c r="IQM82"/>
      <c r="IQN82"/>
      <c r="IQO82"/>
      <c r="IQP82"/>
      <c r="IQQ82"/>
      <c r="IQR82"/>
      <c r="IQS82"/>
      <c r="IQT82"/>
      <c r="IQU82"/>
      <c r="IQV82"/>
      <c r="IQW82"/>
      <c r="IQX82"/>
      <c r="IQY82"/>
      <c r="IQZ82"/>
      <c r="IRA82"/>
      <c r="IRB82"/>
      <c r="IRC82"/>
      <c r="IRD82"/>
      <c r="IRE82"/>
      <c r="IRF82"/>
      <c r="IRG82"/>
      <c r="IRH82"/>
      <c r="IRI82"/>
      <c r="IRJ82"/>
      <c r="IRK82"/>
      <c r="IRL82"/>
      <c r="IRM82"/>
      <c r="IRN82"/>
      <c r="IRO82"/>
      <c r="IRP82"/>
      <c r="IRQ82"/>
      <c r="IRR82"/>
      <c r="IRS82"/>
      <c r="IRT82"/>
      <c r="IRU82"/>
      <c r="IRV82"/>
      <c r="IRW82"/>
      <c r="IRX82"/>
      <c r="IRY82"/>
      <c r="IRZ82"/>
      <c r="ISA82"/>
      <c r="ISB82"/>
      <c r="ISC82"/>
      <c r="ISD82"/>
      <c r="ISE82"/>
      <c r="ISF82"/>
      <c r="ISG82"/>
      <c r="ISH82"/>
      <c r="ISI82"/>
      <c r="ISJ82"/>
      <c r="ISK82"/>
      <c r="ISL82"/>
      <c r="ISM82"/>
      <c r="ISN82"/>
      <c r="ISO82"/>
      <c r="ISP82"/>
      <c r="ISQ82"/>
      <c r="ISR82"/>
      <c r="ISS82"/>
      <c r="IST82"/>
      <c r="ISU82"/>
      <c r="ISV82"/>
      <c r="ISW82"/>
      <c r="ISX82"/>
      <c r="ISY82"/>
      <c r="ISZ82"/>
      <c r="ITA82"/>
      <c r="ITB82"/>
      <c r="ITC82"/>
      <c r="ITD82"/>
      <c r="ITE82"/>
      <c r="ITF82"/>
      <c r="ITG82"/>
      <c r="ITH82"/>
      <c r="ITI82"/>
      <c r="ITJ82"/>
      <c r="ITK82"/>
      <c r="ITL82"/>
      <c r="ITM82"/>
      <c r="ITN82"/>
      <c r="ITO82"/>
      <c r="ITP82"/>
      <c r="ITQ82"/>
      <c r="ITR82"/>
      <c r="ITS82"/>
      <c r="ITT82"/>
      <c r="ITU82"/>
      <c r="ITV82"/>
      <c r="ITW82"/>
      <c r="ITX82"/>
      <c r="ITY82"/>
      <c r="ITZ82"/>
      <c r="IUA82"/>
      <c r="IUB82"/>
      <c r="IUC82"/>
      <c r="IUD82"/>
      <c r="IUE82"/>
      <c r="IUF82"/>
      <c r="IUG82"/>
      <c r="IUH82"/>
      <c r="IUI82"/>
      <c r="IUJ82"/>
      <c r="IUK82"/>
      <c r="IUL82"/>
      <c r="IUM82"/>
      <c r="IUN82"/>
      <c r="IUO82"/>
      <c r="IUP82"/>
      <c r="IUQ82"/>
      <c r="IUR82"/>
      <c r="IUS82"/>
      <c r="IUT82"/>
      <c r="IUU82"/>
      <c r="IUV82"/>
      <c r="IUW82"/>
      <c r="IUX82"/>
      <c r="IUY82"/>
      <c r="IUZ82"/>
      <c r="IVA82"/>
      <c r="IVB82"/>
      <c r="IVC82"/>
      <c r="IVD82"/>
      <c r="IVE82"/>
      <c r="IVF82"/>
      <c r="IVG82"/>
      <c r="IVH82"/>
      <c r="IVI82"/>
      <c r="IVJ82"/>
      <c r="IVK82"/>
      <c r="IVL82"/>
      <c r="IVM82"/>
      <c r="IVN82"/>
      <c r="IVO82"/>
      <c r="IVP82"/>
      <c r="IVQ82"/>
      <c r="IVR82"/>
      <c r="IVS82"/>
      <c r="IVT82"/>
      <c r="IVU82"/>
      <c r="IVV82"/>
      <c r="IVW82"/>
      <c r="IVX82"/>
      <c r="IVY82"/>
      <c r="IVZ82"/>
      <c r="IWA82"/>
      <c r="IWB82"/>
      <c r="IWC82"/>
      <c r="IWD82"/>
      <c r="IWE82"/>
      <c r="IWF82"/>
      <c r="IWG82"/>
      <c r="IWH82"/>
      <c r="IWI82"/>
      <c r="IWJ82"/>
      <c r="IWK82"/>
      <c r="IWL82"/>
      <c r="IWM82"/>
      <c r="IWN82"/>
      <c r="IWO82"/>
      <c r="IWP82"/>
      <c r="IWQ82"/>
      <c r="IWR82"/>
      <c r="IWS82"/>
      <c r="IWT82"/>
      <c r="IWU82"/>
      <c r="IWV82"/>
      <c r="IWW82"/>
      <c r="IWX82"/>
      <c r="IWY82"/>
      <c r="IWZ82"/>
      <c r="IXA82"/>
      <c r="IXB82"/>
      <c r="IXC82"/>
      <c r="IXD82"/>
      <c r="IXE82"/>
      <c r="IXF82"/>
      <c r="IXG82"/>
      <c r="IXH82"/>
      <c r="IXI82"/>
      <c r="IXJ82"/>
      <c r="IXK82"/>
      <c r="IXL82"/>
      <c r="IXM82"/>
      <c r="IXN82"/>
      <c r="IXO82"/>
      <c r="IXP82"/>
      <c r="IXQ82"/>
      <c r="IXR82"/>
      <c r="IXS82"/>
      <c r="IXT82"/>
      <c r="IXU82"/>
      <c r="IXV82"/>
      <c r="IXW82"/>
      <c r="IXX82"/>
      <c r="IXY82"/>
      <c r="IXZ82"/>
      <c r="IYA82"/>
      <c r="IYB82"/>
      <c r="IYC82"/>
      <c r="IYD82"/>
      <c r="IYE82"/>
      <c r="IYF82"/>
      <c r="IYG82"/>
      <c r="IYH82"/>
      <c r="IYI82"/>
      <c r="IYJ82"/>
      <c r="IYK82"/>
      <c r="IYL82"/>
      <c r="IYM82"/>
      <c r="IYN82"/>
      <c r="IYO82"/>
      <c r="IYP82"/>
      <c r="IYQ82"/>
      <c r="IYR82"/>
      <c r="IYS82"/>
      <c r="IYT82"/>
      <c r="IYU82"/>
      <c r="IYV82"/>
      <c r="IYW82"/>
      <c r="IYX82"/>
      <c r="IYY82"/>
      <c r="IYZ82"/>
      <c r="IZA82"/>
      <c r="IZB82"/>
      <c r="IZC82"/>
      <c r="IZD82"/>
      <c r="IZE82"/>
      <c r="IZF82"/>
      <c r="IZG82"/>
      <c r="IZH82"/>
      <c r="IZI82"/>
      <c r="IZJ82"/>
      <c r="IZK82"/>
      <c r="IZL82"/>
      <c r="IZM82"/>
      <c r="IZN82"/>
      <c r="IZO82"/>
      <c r="IZP82"/>
      <c r="IZQ82"/>
      <c r="IZR82"/>
      <c r="IZS82"/>
      <c r="IZT82"/>
      <c r="IZU82"/>
      <c r="IZV82"/>
      <c r="IZW82"/>
      <c r="IZX82"/>
      <c r="IZY82"/>
      <c r="IZZ82"/>
      <c r="JAA82"/>
      <c r="JAB82"/>
      <c r="JAC82"/>
      <c r="JAD82"/>
      <c r="JAE82"/>
      <c r="JAF82"/>
      <c r="JAG82"/>
      <c r="JAH82"/>
      <c r="JAI82"/>
      <c r="JAJ82"/>
      <c r="JAK82"/>
      <c r="JAL82"/>
      <c r="JAM82"/>
      <c r="JAN82"/>
      <c r="JAO82"/>
      <c r="JAP82"/>
      <c r="JAQ82"/>
      <c r="JAR82"/>
      <c r="JAS82"/>
      <c r="JAT82"/>
      <c r="JAU82"/>
      <c r="JAV82"/>
      <c r="JAW82"/>
      <c r="JAX82"/>
      <c r="JAY82"/>
      <c r="JAZ82"/>
      <c r="JBA82"/>
      <c r="JBB82"/>
      <c r="JBC82"/>
      <c r="JBD82"/>
      <c r="JBE82"/>
      <c r="JBF82"/>
      <c r="JBG82"/>
      <c r="JBH82"/>
      <c r="JBI82"/>
      <c r="JBJ82"/>
      <c r="JBK82"/>
      <c r="JBL82"/>
      <c r="JBM82"/>
      <c r="JBN82"/>
      <c r="JBO82"/>
      <c r="JBP82"/>
      <c r="JBQ82"/>
      <c r="JBR82"/>
      <c r="JBS82"/>
      <c r="JBT82"/>
      <c r="JBU82"/>
      <c r="JBV82"/>
      <c r="JBW82"/>
      <c r="JBX82"/>
      <c r="JBY82"/>
      <c r="JBZ82"/>
      <c r="JCA82"/>
      <c r="JCB82"/>
      <c r="JCC82"/>
      <c r="JCD82"/>
      <c r="JCE82"/>
      <c r="JCF82"/>
      <c r="JCG82"/>
      <c r="JCH82"/>
      <c r="JCI82"/>
      <c r="JCJ82"/>
      <c r="JCK82"/>
      <c r="JCL82"/>
      <c r="JCM82"/>
      <c r="JCN82"/>
      <c r="JCO82"/>
      <c r="JCP82"/>
      <c r="JCQ82"/>
      <c r="JCR82"/>
      <c r="JCS82"/>
      <c r="JCT82"/>
      <c r="JCU82"/>
      <c r="JCV82"/>
      <c r="JCW82"/>
      <c r="JCX82"/>
      <c r="JCY82"/>
      <c r="JCZ82"/>
      <c r="JDA82"/>
      <c r="JDB82"/>
      <c r="JDC82"/>
      <c r="JDD82"/>
      <c r="JDE82"/>
      <c r="JDF82"/>
      <c r="JDG82"/>
      <c r="JDH82"/>
      <c r="JDI82"/>
      <c r="JDJ82"/>
      <c r="JDK82"/>
      <c r="JDL82"/>
      <c r="JDM82"/>
      <c r="JDN82"/>
      <c r="JDO82"/>
      <c r="JDP82"/>
      <c r="JDQ82"/>
      <c r="JDR82"/>
      <c r="JDS82"/>
      <c r="JDT82"/>
      <c r="JDU82"/>
      <c r="JDV82"/>
      <c r="JDW82"/>
      <c r="JDX82"/>
      <c r="JDY82"/>
      <c r="JDZ82"/>
      <c r="JEA82"/>
      <c r="JEB82"/>
      <c r="JEC82"/>
      <c r="JED82"/>
      <c r="JEE82"/>
      <c r="JEF82"/>
      <c r="JEG82"/>
      <c r="JEH82"/>
      <c r="JEI82"/>
      <c r="JEJ82"/>
      <c r="JEK82"/>
      <c r="JEL82"/>
      <c r="JEM82"/>
      <c r="JEN82"/>
      <c r="JEO82"/>
      <c r="JEP82"/>
      <c r="JEQ82"/>
      <c r="JER82"/>
      <c r="JES82"/>
      <c r="JET82"/>
      <c r="JEU82"/>
      <c r="JEV82"/>
      <c r="JEW82"/>
      <c r="JEX82"/>
      <c r="JEY82"/>
      <c r="JEZ82"/>
      <c r="JFA82"/>
      <c r="JFB82"/>
      <c r="JFC82"/>
      <c r="JFD82"/>
      <c r="JFE82"/>
      <c r="JFF82"/>
      <c r="JFG82"/>
      <c r="JFH82"/>
      <c r="JFI82"/>
      <c r="JFJ82"/>
      <c r="JFK82"/>
      <c r="JFL82"/>
      <c r="JFM82"/>
      <c r="JFN82"/>
      <c r="JFO82"/>
      <c r="JFP82"/>
      <c r="JFQ82"/>
      <c r="JFR82"/>
      <c r="JFS82"/>
      <c r="JFT82"/>
      <c r="JFU82"/>
      <c r="JFV82"/>
      <c r="JFW82"/>
      <c r="JFX82"/>
      <c r="JFY82"/>
      <c r="JFZ82"/>
      <c r="JGA82"/>
      <c r="JGB82"/>
      <c r="JGC82"/>
      <c r="JGD82"/>
      <c r="JGE82"/>
      <c r="JGF82"/>
      <c r="JGG82"/>
      <c r="JGH82"/>
      <c r="JGI82"/>
      <c r="JGJ82"/>
      <c r="JGK82"/>
      <c r="JGL82"/>
      <c r="JGM82"/>
      <c r="JGN82"/>
      <c r="JGO82"/>
      <c r="JGP82"/>
      <c r="JGQ82"/>
      <c r="JGR82"/>
      <c r="JGS82"/>
      <c r="JGT82"/>
      <c r="JGU82"/>
      <c r="JGV82"/>
      <c r="JGW82"/>
      <c r="JGX82"/>
      <c r="JGY82"/>
      <c r="JGZ82"/>
      <c r="JHA82"/>
      <c r="JHB82"/>
      <c r="JHC82"/>
      <c r="JHD82"/>
      <c r="JHE82"/>
      <c r="JHF82"/>
      <c r="JHG82"/>
      <c r="JHH82"/>
      <c r="JHI82"/>
      <c r="JHJ82"/>
      <c r="JHK82"/>
      <c r="JHL82"/>
      <c r="JHM82"/>
      <c r="JHN82"/>
      <c r="JHO82"/>
      <c r="JHP82"/>
      <c r="JHQ82"/>
      <c r="JHR82"/>
      <c r="JHS82"/>
      <c r="JHT82"/>
      <c r="JHU82"/>
      <c r="JHV82"/>
      <c r="JHW82"/>
      <c r="JHX82"/>
      <c r="JHY82"/>
      <c r="JHZ82"/>
      <c r="JIA82"/>
      <c r="JIB82"/>
      <c r="JIC82"/>
      <c r="JID82"/>
      <c r="JIE82"/>
      <c r="JIF82"/>
      <c r="JIG82"/>
      <c r="JIH82"/>
      <c r="JII82"/>
      <c r="JIJ82"/>
      <c r="JIK82"/>
      <c r="JIL82"/>
      <c r="JIM82"/>
      <c r="JIN82"/>
      <c r="JIO82"/>
      <c r="JIP82"/>
      <c r="JIQ82"/>
      <c r="JIR82"/>
      <c r="JIS82"/>
      <c r="JIT82"/>
      <c r="JIU82"/>
      <c r="JIV82"/>
      <c r="JIW82"/>
      <c r="JIX82"/>
      <c r="JIY82"/>
      <c r="JIZ82"/>
      <c r="JJA82"/>
      <c r="JJB82"/>
      <c r="JJC82"/>
      <c r="JJD82"/>
      <c r="JJE82"/>
      <c r="JJF82"/>
      <c r="JJG82"/>
      <c r="JJH82"/>
      <c r="JJI82"/>
      <c r="JJJ82"/>
      <c r="JJK82"/>
      <c r="JJL82"/>
      <c r="JJM82"/>
      <c r="JJN82"/>
      <c r="JJO82"/>
      <c r="JJP82"/>
      <c r="JJQ82"/>
      <c r="JJR82"/>
      <c r="JJS82"/>
      <c r="JJT82"/>
      <c r="JJU82"/>
      <c r="JJV82"/>
      <c r="JJW82"/>
      <c r="JJX82"/>
      <c r="JJY82"/>
      <c r="JJZ82"/>
      <c r="JKA82"/>
      <c r="JKB82"/>
      <c r="JKC82"/>
      <c r="JKD82"/>
      <c r="JKE82"/>
      <c r="JKF82"/>
      <c r="JKG82"/>
      <c r="JKH82"/>
      <c r="JKI82"/>
      <c r="JKJ82"/>
      <c r="JKK82"/>
      <c r="JKL82"/>
      <c r="JKM82"/>
      <c r="JKN82"/>
      <c r="JKO82"/>
      <c r="JKP82"/>
      <c r="JKQ82"/>
      <c r="JKR82"/>
      <c r="JKS82"/>
      <c r="JKT82"/>
      <c r="JKU82"/>
      <c r="JKV82"/>
      <c r="JKW82"/>
      <c r="JKX82"/>
      <c r="JKY82"/>
      <c r="JKZ82"/>
      <c r="JLA82"/>
      <c r="JLB82"/>
      <c r="JLC82"/>
      <c r="JLD82"/>
      <c r="JLE82"/>
      <c r="JLF82"/>
      <c r="JLG82"/>
      <c r="JLH82"/>
      <c r="JLI82"/>
      <c r="JLJ82"/>
      <c r="JLK82"/>
      <c r="JLL82"/>
      <c r="JLM82"/>
      <c r="JLN82"/>
      <c r="JLO82"/>
      <c r="JLP82"/>
      <c r="JLQ82"/>
      <c r="JLR82"/>
      <c r="JLS82"/>
      <c r="JLT82"/>
      <c r="JLU82"/>
      <c r="JLV82"/>
      <c r="JLW82"/>
      <c r="JLX82"/>
      <c r="JLY82"/>
      <c r="JLZ82"/>
      <c r="JMA82"/>
      <c r="JMB82"/>
      <c r="JMC82"/>
      <c r="JMD82"/>
      <c r="JME82"/>
      <c r="JMF82"/>
      <c r="JMG82"/>
      <c r="JMH82"/>
      <c r="JMI82"/>
      <c r="JMJ82"/>
      <c r="JMK82"/>
      <c r="JML82"/>
      <c r="JMM82"/>
      <c r="JMN82"/>
      <c r="JMO82"/>
      <c r="JMP82"/>
      <c r="JMQ82"/>
      <c r="JMR82"/>
      <c r="JMS82"/>
      <c r="JMT82"/>
      <c r="JMU82"/>
      <c r="JMV82"/>
      <c r="JMW82"/>
      <c r="JMX82"/>
      <c r="JMY82"/>
      <c r="JMZ82"/>
      <c r="JNA82"/>
      <c r="JNB82"/>
      <c r="JNC82"/>
      <c r="JND82"/>
      <c r="JNE82"/>
      <c r="JNF82"/>
      <c r="JNG82"/>
      <c r="JNH82"/>
      <c r="JNI82"/>
      <c r="JNJ82"/>
      <c r="JNK82"/>
      <c r="JNL82"/>
      <c r="JNM82"/>
      <c r="JNN82"/>
      <c r="JNO82"/>
      <c r="JNP82"/>
      <c r="JNQ82"/>
      <c r="JNR82"/>
      <c r="JNS82"/>
      <c r="JNT82"/>
      <c r="JNU82"/>
      <c r="JNV82"/>
      <c r="JNW82"/>
      <c r="JNX82"/>
      <c r="JNY82"/>
      <c r="JNZ82"/>
      <c r="JOA82"/>
      <c r="JOB82"/>
      <c r="JOC82"/>
      <c r="JOD82"/>
      <c r="JOE82"/>
      <c r="JOF82"/>
      <c r="JOG82"/>
      <c r="JOH82"/>
      <c r="JOI82"/>
      <c r="JOJ82"/>
      <c r="JOK82"/>
      <c r="JOL82"/>
      <c r="JOM82"/>
      <c r="JON82"/>
      <c r="JOO82"/>
      <c r="JOP82"/>
      <c r="JOQ82"/>
      <c r="JOR82"/>
      <c r="JOS82"/>
      <c r="JOT82"/>
      <c r="JOU82"/>
      <c r="JOV82"/>
      <c r="JOW82"/>
      <c r="JOX82"/>
      <c r="JOY82"/>
      <c r="JOZ82"/>
      <c r="JPA82"/>
      <c r="JPB82"/>
      <c r="JPC82"/>
      <c r="JPD82"/>
      <c r="JPE82"/>
      <c r="JPF82"/>
      <c r="JPG82"/>
      <c r="JPH82"/>
      <c r="JPI82"/>
      <c r="JPJ82"/>
      <c r="JPK82"/>
      <c r="JPL82"/>
      <c r="JPM82"/>
      <c r="JPN82"/>
      <c r="JPO82"/>
      <c r="JPP82"/>
      <c r="JPQ82"/>
      <c r="JPR82"/>
      <c r="JPS82"/>
      <c r="JPT82"/>
      <c r="JPU82"/>
      <c r="JPV82"/>
      <c r="JPW82"/>
      <c r="JPX82"/>
      <c r="JPY82"/>
      <c r="JPZ82"/>
      <c r="JQA82"/>
      <c r="JQB82"/>
      <c r="JQC82"/>
      <c r="JQD82"/>
      <c r="JQE82"/>
      <c r="JQF82"/>
      <c r="JQG82"/>
      <c r="JQH82"/>
      <c r="JQI82"/>
      <c r="JQJ82"/>
      <c r="JQK82"/>
      <c r="JQL82"/>
      <c r="JQM82"/>
      <c r="JQN82"/>
      <c r="JQO82"/>
      <c r="JQP82"/>
      <c r="JQQ82"/>
      <c r="JQR82"/>
      <c r="JQS82"/>
      <c r="JQT82"/>
      <c r="JQU82"/>
      <c r="JQV82"/>
      <c r="JQW82"/>
      <c r="JQX82"/>
      <c r="JQY82"/>
      <c r="JQZ82"/>
      <c r="JRA82"/>
      <c r="JRB82"/>
      <c r="JRC82"/>
      <c r="JRD82"/>
      <c r="JRE82"/>
      <c r="JRF82"/>
      <c r="JRG82"/>
      <c r="JRH82"/>
      <c r="JRI82"/>
      <c r="JRJ82"/>
      <c r="JRK82"/>
      <c r="JRL82"/>
      <c r="JRM82"/>
      <c r="JRN82"/>
      <c r="JRO82"/>
      <c r="JRP82"/>
      <c r="JRQ82"/>
      <c r="JRR82"/>
      <c r="JRS82"/>
      <c r="JRT82"/>
      <c r="JRU82"/>
      <c r="JRV82"/>
      <c r="JRW82"/>
      <c r="JRX82"/>
      <c r="JRY82"/>
      <c r="JRZ82"/>
      <c r="JSA82"/>
      <c r="JSB82"/>
      <c r="JSC82"/>
      <c r="JSD82"/>
      <c r="JSE82"/>
      <c r="JSF82"/>
      <c r="JSG82"/>
      <c r="JSH82"/>
      <c r="JSI82"/>
      <c r="JSJ82"/>
      <c r="JSK82"/>
      <c r="JSL82"/>
      <c r="JSM82"/>
      <c r="JSN82"/>
      <c r="JSO82"/>
      <c r="JSP82"/>
      <c r="JSQ82"/>
      <c r="JSR82"/>
      <c r="JSS82"/>
      <c r="JST82"/>
      <c r="JSU82"/>
      <c r="JSV82"/>
      <c r="JSW82"/>
      <c r="JSX82"/>
      <c r="JSY82"/>
      <c r="JSZ82"/>
      <c r="JTA82"/>
      <c r="JTB82"/>
      <c r="JTC82"/>
      <c r="JTD82"/>
      <c r="JTE82"/>
      <c r="JTF82"/>
      <c r="JTG82"/>
      <c r="JTH82"/>
      <c r="JTI82"/>
      <c r="JTJ82"/>
      <c r="JTK82"/>
      <c r="JTL82"/>
      <c r="JTM82"/>
      <c r="JTN82"/>
      <c r="JTO82"/>
      <c r="JTP82"/>
      <c r="JTQ82"/>
      <c r="JTR82"/>
      <c r="JTS82"/>
      <c r="JTT82"/>
      <c r="JTU82"/>
      <c r="JTV82"/>
      <c r="JTW82"/>
      <c r="JTX82"/>
      <c r="JTY82"/>
      <c r="JTZ82"/>
      <c r="JUA82"/>
      <c r="JUB82"/>
      <c r="JUC82"/>
      <c r="JUD82"/>
      <c r="JUE82"/>
      <c r="JUF82"/>
      <c r="JUG82"/>
      <c r="JUH82"/>
      <c r="JUI82"/>
      <c r="JUJ82"/>
      <c r="JUK82"/>
      <c r="JUL82"/>
      <c r="JUM82"/>
      <c r="JUN82"/>
      <c r="JUO82"/>
      <c r="JUP82"/>
      <c r="JUQ82"/>
      <c r="JUR82"/>
      <c r="JUS82"/>
      <c r="JUT82"/>
      <c r="JUU82"/>
      <c r="JUV82"/>
      <c r="JUW82"/>
      <c r="JUX82"/>
      <c r="JUY82"/>
      <c r="JUZ82"/>
      <c r="JVA82"/>
      <c r="JVB82"/>
      <c r="JVC82"/>
      <c r="JVD82"/>
      <c r="JVE82"/>
      <c r="JVF82"/>
      <c r="JVG82"/>
      <c r="JVH82"/>
      <c r="JVI82"/>
      <c r="JVJ82"/>
      <c r="JVK82"/>
      <c r="JVL82"/>
      <c r="JVM82"/>
      <c r="JVN82"/>
      <c r="JVO82"/>
      <c r="JVP82"/>
      <c r="JVQ82"/>
      <c r="JVR82"/>
      <c r="JVS82"/>
      <c r="JVT82"/>
      <c r="JVU82"/>
      <c r="JVV82"/>
      <c r="JVW82"/>
      <c r="JVX82"/>
      <c r="JVY82"/>
      <c r="JVZ82"/>
      <c r="JWA82"/>
      <c r="JWB82"/>
      <c r="JWC82"/>
      <c r="JWD82"/>
      <c r="JWE82"/>
      <c r="JWF82"/>
      <c r="JWG82"/>
      <c r="JWH82"/>
      <c r="JWI82"/>
      <c r="JWJ82"/>
      <c r="JWK82"/>
      <c r="JWL82"/>
      <c r="JWM82"/>
      <c r="JWN82"/>
      <c r="JWO82"/>
      <c r="JWP82"/>
      <c r="JWQ82"/>
      <c r="JWR82"/>
      <c r="JWS82"/>
      <c r="JWT82"/>
      <c r="JWU82"/>
      <c r="JWV82"/>
      <c r="JWW82"/>
      <c r="JWX82"/>
      <c r="JWY82"/>
      <c r="JWZ82"/>
      <c r="JXA82"/>
      <c r="JXB82"/>
      <c r="JXC82"/>
      <c r="JXD82"/>
      <c r="JXE82"/>
      <c r="JXF82"/>
      <c r="JXG82"/>
      <c r="JXH82"/>
      <c r="JXI82"/>
      <c r="JXJ82"/>
      <c r="JXK82"/>
      <c r="JXL82"/>
      <c r="JXM82"/>
      <c r="JXN82"/>
      <c r="JXO82"/>
      <c r="JXP82"/>
      <c r="JXQ82"/>
      <c r="JXR82"/>
      <c r="JXS82"/>
      <c r="JXT82"/>
      <c r="JXU82"/>
      <c r="JXV82"/>
      <c r="JXW82"/>
      <c r="JXX82"/>
      <c r="JXY82"/>
      <c r="JXZ82"/>
      <c r="JYA82"/>
      <c r="JYB82"/>
      <c r="JYC82"/>
      <c r="JYD82"/>
      <c r="JYE82"/>
      <c r="JYF82"/>
      <c r="JYG82"/>
      <c r="JYH82"/>
      <c r="JYI82"/>
      <c r="JYJ82"/>
      <c r="JYK82"/>
      <c r="JYL82"/>
      <c r="JYM82"/>
      <c r="JYN82"/>
      <c r="JYO82"/>
      <c r="JYP82"/>
      <c r="JYQ82"/>
      <c r="JYR82"/>
      <c r="JYS82"/>
      <c r="JYT82"/>
      <c r="JYU82"/>
      <c r="JYV82"/>
      <c r="JYW82"/>
      <c r="JYX82"/>
      <c r="JYY82"/>
      <c r="JYZ82"/>
      <c r="JZA82"/>
      <c r="JZB82"/>
      <c r="JZC82"/>
      <c r="JZD82"/>
      <c r="JZE82"/>
      <c r="JZF82"/>
      <c r="JZG82"/>
      <c r="JZH82"/>
      <c r="JZI82"/>
      <c r="JZJ82"/>
      <c r="JZK82"/>
      <c r="JZL82"/>
      <c r="JZM82"/>
      <c r="JZN82"/>
      <c r="JZO82"/>
      <c r="JZP82"/>
      <c r="JZQ82"/>
      <c r="JZR82"/>
      <c r="JZS82"/>
      <c r="JZT82"/>
      <c r="JZU82"/>
      <c r="JZV82"/>
      <c r="JZW82"/>
      <c r="JZX82"/>
      <c r="JZY82"/>
      <c r="JZZ82"/>
      <c r="KAA82"/>
      <c r="KAB82"/>
      <c r="KAC82"/>
      <c r="KAD82"/>
      <c r="KAE82"/>
      <c r="KAF82"/>
      <c r="KAG82"/>
      <c r="KAH82"/>
      <c r="KAI82"/>
      <c r="KAJ82"/>
      <c r="KAK82"/>
      <c r="KAL82"/>
      <c r="KAM82"/>
      <c r="KAN82"/>
      <c r="KAO82"/>
      <c r="KAP82"/>
      <c r="KAQ82"/>
      <c r="KAR82"/>
      <c r="KAS82"/>
      <c r="KAT82"/>
      <c r="KAU82"/>
      <c r="KAV82"/>
      <c r="KAW82"/>
      <c r="KAX82"/>
      <c r="KAY82"/>
      <c r="KAZ82"/>
      <c r="KBA82"/>
      <c r="KBB82"/>
      <c r="KBC82"/>
      <c r="KBD82"/>
      <c r="KBE82"/>
      <c r="KBF82"/>
      <c r="KBG82"/>
      <c r="KBH82"/>
      <c r="KBI82"/>
      <c r="KBJ82"/>
      <c r="KBK82"/>
      <c r="KBL82"/>
      <c r="KBM82"/>
      <c r="KBN82"/>
      <c r="KBO82"/>
      <c r="KBP82"/>
      <c r="KBQ82"/>
      <c r="KBR82"/>
      <c r="KBS82"/>
      <c r="KBT82"/>
      <c r="KBU82"/>
      <c r="KBV82"/>
      <c r="KBW82"/>
      <c r="KBX82"/>
      <c r="KBY82"/>
      <c r="KBZ82"/>
      <c r="KCA82"/>
      <c r="KCB82"/>
      <c r="KCC82"/>
      <c r="KCD82"/>
      <c r="KCE82"/>
      <c r="KCF82"/>
      <c r="KCG82"/>
      <c r="KCH82"/>
      <c r="KCI82"/>
      <c r="KCJ82"/>
      <c r="KCK82"/>
      <c r="KCL82"/>
      <c r="KCM82"/>
      <c r="KCN82"/>
      <c r="KCO82"/>
      <c r="KCP82"/>
      <c r="KCQ82"/>
      <c r="KCR82"/>
      <c r="KCS82"/>
      <c r="KCT82"/>
      <c r="KCU82"/>
      <c r="KCV82"/>
      <c r="KCW82"/>
      <c r="KCX82"/>
      <c r="KCY82"/>
      <c r="KCZ82"/>
      <c r="KDA82"/>
      <c r="KDB82"/>
      <c r="KDC82"/>
      <c r="KDD82"/>
      <c r="KDE82"/>
      <c r="KDF82"/>
      <c r="KDG82"/>
      <c r="KDH82"/>
      <c r="KDI82"/>
      <c r="KDJ82"/>
      <c r="KDK82"/>
      <c r="KDL82"/>
      <c r="KDM82"/>
      <c r="KDN82"/>
      <c r="KDO82"/>
      <c r="KDP82"/>
      <c r="KDQ82"/>
      <c r="KDR82"/>
      <c r="KDS82"/>
      <c r="KDT82"/>
      <c r="KDU82"/>
      <c r="KDV82"/>
      <c r="KDW82"/>
      <c r="KDX82"/>
      <c r="KDY82"/>
      <c r="KDZ82"/>
      <c r="KEA82"/>
      <c r="KEB82"/>
      <c r="KEC82"/>
      <c r="KED82"/>
      <c r="KEE82"/>
      <c r="KEF82"/>
      <c r="KEG82"/>
      <c r="KEH82"/>
      <c r="KEI82"/>
      <c r="KEJ82"/>
      <c r="KEK82"/>
      <c r="KEL82"/>
      <c r="KEM82"/>
      <c r="KEN82"/>
      <c r="KEO82"/>
      <c r="KEP82"/>
      <c r="KEQ82"/>
      <c r="KER82"/>
      <c r="KES82"/>
      <c r="KET82"/>
      <c r="KEU82"/>
      <c r="KEV82"/>
      <c r="KEW82"/>
      <c r="KEX82"/>
      <c r="KEY82"/>
      <c r="KEZ82"/>
      <c r="KFA82"/>
      <c r="KFB82"/>
      <c r="KFC82"/>
      <c r="KFD82"/>
      <c r="KFE82"/>
      <c r="KFF82"/>
      <c r="KFG82"/>
      <c r="KFH82"/>
      <c r="KFI82"/>
      <c r="KFJ82"/>
      <c r="KFK82"/>
      <c r="KFL82"/>
      <c r="KFM82"/>
      <c r="KFN82"/>
      <c r="KFO82"/>
      <c r="KFP82"/>
      <c r="KFQ82"/>
      <c r="KFR82"/>
      <c r="KFS82"/>
      <c r="KFT82"/>
      <c r="KFU82"/>
      <c r="KFV82"/>
      <c r="KFW82"/>
      <c r="KFX82"/>
      <c r="KFY82"/>
      <c r="KFZ82"/>
      <c r="KGA82"/>
      <c r="KGB82"/>
      <c r="KGC82"/>
      <c r="KGD82"/>
      <c r="KGE82"/>
      <c r="KGF82"/>
      <c r="KGG82"/>
      <c r="KGH82"/>
      <c r="KGI82"/>
      <c r="KGJ82"/>
      <c r="KGK82"/>
      <c r="KGL82"/>
      <c r="KGM82"/>
      <c r="KGN82"/>
      <c r="KGO82"/>
      <c r="KGP82"/>
      <c r="KGQ82"/>
      <c r="KGR82"/>
      <c r="KGS82"/>
      <c r="KGT82"/>
      <c r="KGU82"/>
      <c r="KGV82"/>
      <c r="KGW82"/>
      <c r="KGX82"/>
      <c r="KGY82"/>
      <c r="KGZ82"/>
      <c r="KHA82"/>
      <c r="KHB82"/>
      <c r="KHC82"/>
      <c r="KHD82"/>
      <c r="KHE82"/>
      <c r="KHF82"/>
      <c r="KHG82"/>
      <c r="KHH82"/>
      <c r="KHI82"/>
      <c r="KHJ82"/>
      <c r="KHK82"/>
      <c r="KHL82"/>
      <c r="KHM82"/>
      <c r="KHN82"/>
      <c r="KHO82"/>
      <c r="KHP82"/>
      <c r="KHQ82"/>
      <c r="KHR82"/>
      <c r="KHS82"/>
      <c r="KHT82"/>
      <c r="KHU82"/>
      <c r="KHV82"/>
      <c r="KHW82"/>
      <c r="KHX82"/>
      <c r="KHY82"/>
      <c r="KHZ82"/>
      <c r="KIA82"/>
      <c r="KIB82"/>
      <c r="KIC82"/>
      <c r="KID82"/>
      <c r="KIE82"/>
      <c r="KIF82"/>
      <c r="KIG82"/>
      <c r="KIH82"/>
      <c r="KII82"/>
      <c r="KIJ82"/>
      <c r="KIK82"/>
      <c r="KIL82"/>
      <c r="KIM82"/>
      <c r="KIN82"/>
      <c r="KIO82"/>
      <c r="KIP82"/>
      <c r="KIQ82"/>
      <c r="KIR82"/>
      <c r="KIS82"/>
      <c r="KIT82"/>
      <c r="KIU82"/>
      <c r="KIV82"/>
      <c r="KIW82"/>
      <c r="KIX82"/>
      <c r="KIY82"/>
      <c r="KIZ82"/>
      <c r="KJA82"/>
      <c r="KJB82"/>
      <c r="KJC82"/>
      <c r="KJD82"/>
      <c r="KJE82"/>
      <c r="KJF82"/>
      <c r="KJG82"/>
      <c r="KJH82"/>
      <c r="KJI82"/>
      <c r="KJJ82"/>
      <c r="KJK82"/>
      <c r="KJL82"/>
      <c r="KJM82"/>
      <c r="KJN82"/>
      <c r="KJO82"/>
      <c r="KJP82"/>
      <c r="KJQ82"/>
      <c r="KJR82"/>
      <c r="KJS82"/>
      <c r="KJT82"/>
      <c r="KJU82"/>
      <c r="KJV82"/>
      <c r="KJW82"/>
      <c r="KJX82"/>
      <c r="KJY82"/>
      <c r="KJZ82"/>
      <c r="KKA82"/>
      <c r="KKB82"/>
      <c r="KKC82"/>
      <c r="KKD82"/>
      <c r="KKE82"/>
      <c r="KKF82"/>
      <c r="KKG82"/>
      <c r="KKH82"/>
      <c r="KKI82"/>
      <c r="KKJ82"/>
      <c r="KKK82"/>
      <c r="KKL82"/>
      <c r="KKM82"/>
      <c r="KKN82"/>
      <c r="KKO82"/>
      <c r="KKP82"/>
      <c r="KKQ82"/>
      <c r="KKR82"/>
      <c r="KKS82"/>
      <c r="KKT82"/>
      <c r="KKU82"/>
      <c r="KKV82"/>
      <c r="KKW82"/>
      <c r="KKX82"/>
      <c r="KKY82"/>
      <c r="KKZ82"/>
      <c r="KLA82"/>
      <c r="KLB82"/>
      <c r="KLC82"/>
      <c r="KLD82"/>
      <c r="KLE82"/>
      <c r="KLF82"/>
      <c r="KLG82"/>
      <c r="KLH82"/>
      <c r="KLI82"/>
      <c r="KLJ82"/>
      <c r="KLK82"/>
      <c r="KLL82"/>
      <c r="KLM82"/>
      <c r="KLN82"/>
      <c r="KLO82"/>
      <c r="KLP82"/>
      <c r="KLQ82"/>
      <c r="KLR82"/>
      <c r="KLS82"/>
      <c r="KLT82"/>
      <c r="KLU82"/>
      <c r="KLV82"/>
      <c r="KLW82"/>
      <c r="KLX82"/>
      <c r="KLY82"/>
      <c r="KLZ82"/>
      <c r="KMA82"/>
      <c r="KMB82"/>
      <c r="KMC82"/>
      <c r="KMD82"/>
      <c r="KME82"/>
      <c r="KMF82"/>
      <c r="KMG82"/>
      <c r="KMH82"/>
      <c r="KMI82"/>
      <c r="KMJ82"/>
      <c r="KMK82"/>
      <c r="KML82"/>
      <c r="KMM82"/>
      <c r="KMN82"/>
      <c r="KMO82"/>
      <c r="KMP82"/>
      <c r="KMQ82"/>
      <c r="KMR82"/>
      <c r="KMS82"/>
      <c r="KMT82"/>
      <c r="KMU82"/>
      <c r="KMV82"/>
      <c r="KMW82"/>
      <c r="KMX82"/>
      <c r="KMY82"/>
      <c r="KMZ82"/>
      <c r="KNA82"/>
      <c r="KNB82"/>
      <c r="KNC82"/>
      <c r="KND82"/>
      <c r="KNE82"/>
      <c r="KNF82"/>
      <c r="KNG82"/>
      <c r="KNH82"/>
      <c r="KNI82"/>
      <c r="KNJ82"/>
      <c r="KNK82"/>
      <c r="KNL82"/>
      <c r="KNM82"/>
      <c r="KNN82"/>
      <c r="KNO82"/>
      <c r="KNP82"/>
      <c r="KNQ82"/>
      <c r="KNR82"/>
      <c r="KNS82"/>
      <c r="KNT82"/>
      <c r="KNU82"/>
      <c r="KNV82"/>
      <c r="KNW82"/>
      <c r="KNX82"/>
      <c r="KNY82"/>
      <c r="KNZ82"/>
      <c r="KOA82"/>
      <c r="KOB82"/>
      <c r="KOC82"/>
      <c r="KOD82"/>
      <c r="KOE82"/>
      <c r="KOF82"/>
      <c r="KOG82"/>
      <c r="KOH82"/>
      <c r="KOI82"/>
      <c r="KOJ82"/>
      <c r="KOK82"/>
      <c r="KOL82"/>
      <c r="KOM82"/>
      <c r="KON82"/>
      <c r="KOO82"/>
      <c r="KOP82"/>
      <c r="KOQ82"/>
      <c r="KOR82"/>
      <c r="KOS82"/>
      <c r="KOT82"/>
      <c r="KOU82"/>
      <c r="KOV82"/>
      <c r="KOW82"/>
      <c r="KOX82"/>
      <c r="KOY82"/>
      <c r="KOZ82"/>
      <c r="KPA82"/>
      <c r="KPB82"/>
      <c r="KPC82"/>
      <c r="KPD82"/>
      <c r="KPE82"/>
      <c r="KPF82"/>
      <c r="KPG82"/>
      <c r="KPH82"/>
      <c r="KPI82"/>
      <c r="KPJ82"/>
      <c r="KPK82"/>
      <c r="KPL82"/>
      <c r="KPM82"/>
      <c r="KPN82"/>
      <c r="KPO82"/>
      <c r="KPP82"/>
      <c r="KPQ82"/>
      <c r="KPR82"/>
      <c r="KPS82"/>
      <c r="KPT82"/>
      <c r="KPU82"/>
      <c r="KPV82"/>
      <c r="KPW82"/>
      <c r="KPX82"/>
      <c r="KPY82"/>
      <c r="KPZ82"/>
      <c r="KQA82"/>
      <c r="KQB82"/>
      <c r="KQC82"/>
      <c r="KQD82"/>
      <c r="KQE82"/>
      <c r="KQF82"/>
      <c r="KQG82"/>
      <c r="KQH82"/>
      <c r="KQI82"/>
      <c r="KQJ82"/>
      <c r="KQK82"/>
      <c r="KQL82"/>
      <c r="KQM82"/>
      <c r="KQN82"/>
      <c r="KQO82"/>
      <c r="KQP82"/>
      <c r="KQQ82"/>
      <c r="KQR82"/>
      <c r="KQS82"/>
      <c r="KQT82"/>
      <c r="KQU82"/>
      <c r="KQV82"/>
      <c r="KQW82"/>
      <c r="KQX82"/>
      <c r="KQY82"/>
      <c r="KQZ82"/>
      <c r="KRA82"/>
      <c r="KRB82"/>
      <c r="KRC82"/>
      <c r="KRD82"/>
      <c r="KRE82"/>
      <c r="KRF82"/>
      <c r="KRG82"/>
      <c r="KRH82"/>
      <c r="KRI82"/>
      <c r="KRJ82"/>
      <c r="KRK82"/>
      <c r="KRL82"/>
      <c r="KRM82"/>
      <c r="KRN82"/>
      <c r="KRO82"/>
      <c r="KRP82"/>
      <c r="KRQ82"/>
      <c r="KRR82"/>
      <c r="KRS82"/>
      <c r="KRT82"/>
      <c r="KRU82"/>
      <c r="KRV82"/>
      <c r="KRW82"/>
      <c r="KRX82"/>
      <c r="KRY82"/>
      <c r="KRZ82"/>
      <c r="KSA82"/>
      <c r="KSB82"/>
      <c r="KSC82"/>
      <c r="KSD82"/>
      <c r="KSE82"/>
      <c r="KSF82"/>
      <c r="KSG82"/>
      <c r="KSH82"/>
      <c r="KSI82"/>
      <c r="KSJ82"/>
      <c r="KSK82"/>
      <c r="KSL82"/>
      <c r="KSM82"/>
      <c r="KSN82"/>
      <c r="KSO82"/>
      <c r="KSP82"/>
      <c r="KSQ82"/>
      <c r="KSR82"/>
      <c r="KSS82"/>
      <c r="KST82"/>
      <c r="KSU82"/>
      <c r="KSV82"/>
      <c r="KSW82"/>
      <c r="KSX82"/>
      <c r="KSY82"/>
      <c r="KSZ82"/>
      <c r="KTA82"/>
      <c r="KTB82"/>
      <c r="KTC82"/>
      <c r="KTD82"/>
      <c r="KTE82"/>
      <c r="KTF82"/>
      <c r="KTG82"/>
      <c r="KTH82"/>
      <c r="KTI82"/>
      <c r="KTJ82"/>
      <c r="KTK82"/>
      <c r="KTL82"/>
      <c r="KTM82"/>
      <c r="KTN82"/>
      <c r="KTO82"/>
      <c r="KTP82"/>
      <c r="KTQ82"/>
      <c r="KTR82"/>
      <c r="KTS82"/>
      <c r="KTT82"/>
      <c r="KTU82"/>
      <c r="KTV82"/>
      <c r="KTW82"/>
      <c r="KTX82"/>
      <c r="KTY82"/>
      <c r="KTZ82"/>
      <c r="KUA82"/>
      <c r="KUB82"/>
      <c r="KUC82"/>
      <c r="KUD82"/>
      <c r="KUE82"/>
      <c r="KUF82"/>
      <c r="KUG82"/>
      <c r="KUH82"/>
      <c r="KUI82"/>
      <c r="KUJ82"/>
      <c r="KUK82"/>
      <c r="KUL82"/>
      <c r="KUM82"/>
      <c r="KUN82"/>
      <c r="KUO82"/>
      <c r="KUP82"/>
      <c r="KUQ82"/>
      <c r="KUR82"/>
      <c r="KUS82"/>
      <c r="KUT82"/>
      <c r="KUU82"/>
      <c r="KUV82"/>
      <c r="KUW82"/>
      <c r="KUX82"/>
      <c r="KUY82"/>
      <c r="KUZ82"/>
      <c r="KVA82"/>
      <c r="KVB82"/>
      <c r="KVC82"/>
      <c r="KVD82"/>
      <c r="KVE82"/>
      <c r="KVF82"/>
      <c r="KVG82"/>
      <c r="KVH82"/>
      <c r="KVI82"/>
      <c r="KVJ82"/>
      <c r="KVK82"/>
      <c r="KVL82"/>
      <c r="KVM82"/>
      <c r="KVN82"/>
      <c r="KVO82"/>
      <c r="KVP82"/>
      <c r="KVQ82"/>
      <c r="KVR82"/>
      <c r="KVS82"/>
      <c r="KVT82"/>
      <c r="KVU82"/>
      <c r="KVV82"/>
      <c r="KVW82"/>
      <c r="KVX82"/>
      <c r="KVY82"/>
      <c r="KVZ82"/>
      <c r="KWA82"/>
      <c r="KWB82"/>
      <c r="KWC82"/>
      <c r="KWD82"/>
      <c r="KWE82"/>
      <c r="KWF82"/>
      <c r="KWG82"/>
      <c r="KWH82"/>
      <c r="KWI82"/>
      <c r="KWJ82"/>
      <c r="KWK82"/>
      <c r="KWL82"/>
      <c r="KWM82"/>
      <c r="KWN82"/>
      <c r="KWO82"/>
      <c r="KWP82"/>
      <c r="KWQ82"/>
      <c r="KWR82"/>
      <c r="KWS82"/>
      <c r="KWT82"/>
      <c r="KWU82"/>
      <c r="KWV82"/>
      <c r="KWW82"/>
      <c r="KWX82"/>
      <c r="KWY82"/>
      <c r="KWZ82"/>
      <c r="KXA82"/>
      <c r="KXB82"/>
      <c r="KXC82"/>
      <c r="KXD82"/>
      <c r="KXE82"/>
      <c r="KXF82"/>
      <c r="KXG82"/>
      <c r="KXH82"/>
      <c r="KXI82"/>
      <c r="KXJ82"/>
      <c r="KXK82"/>
      <c r="KXL82"/>
      <c r="KXM82"/>
      <c r="KXN82"/>
      <c r="KXO82"/>
      <c r="KXP82"/>
      <c r="KXQ82"/>
      <c r="KXR82"/>
      <c r="KXS82"/>
      <c r="KXT82"/>
      <c r="KXU82"/>
      <c r="KXV82"/>
      <c r="KXW82"/>
      <c r="KXX82"/>
      <c r="KXY82"/>
      <c r="KXZ82"/>
      <c r="KYA82"/>
      <c r="KYB82"/>
      <c r="KYC82"/>
      <c r="KYD82"/>
      <c r="KYE82"/>
      <c r="KYF82"/>
      <c r="KYG82"/>
      <c r="KYH82"/>
      <c r="KYI82"/>
      <c r="KYJ82"/>
      <c r="KYK82"/>
      <c r="KYL82"/>
      <c r="KYM82"/>
      <c r="KYN82"/>
      <c r="KYO82"/>
      <c r="KYP82"/>
      <c r="KYQ82"/>
      <c r="KYR82"/>
      <c r="KYS82"/>
      <c r="KYT82"/>
      <c r="KYU82"/>
      <c r="KYV82"/>
      <c r="KYW82"/>
      <c r="KYX82"/>
      <c r="KYY82"/>
      <c r="KYZ82"/>
      <c r="KZA82"/>
      <c r="KZB82"/>
      <c r="KZC82"/>
      <c r="KZD82"/>
      <c r="KZE82"/>
      <c r="KZF82"/>
      <c r="KZG82"/>
      <c r="KZH82"/>
      <c r="KZI82"/>
      <c r="KZJ82"/>
      <c r="KZK82"/>
      <c r="KZL82"/>
      <c r="KZM82"/>
      <c r="KZN82"/>
      <c r="KZO82"/>
      <c r="KZP82"/>
      <c r="KZQ82"/>
      <c r="KZR82"/>
      <c r="KZS82"/>
      <c r="KZT82"/>
      <c r="KZU82"/>
      <c r="KZV82"/>
      <c r="KZW82"/>
      <c r="KZX82"/>
      <c r="KZY82"/>
      <c r="KZZ82"/>
      <c r="LAA82"/>
      <c r="LAB82"/>
      <c r="LAC82"/>
      <c r="LAD82"/>
      <c r="LAE82"/>
      <c r="LAF82"/>
      <c r="LAG82"/>
      <c r="LAH82"/>
      <c r="LAI82"/>
      <c r="LAJ82"/>
      <c r="LAK82"/>
      <c r="LAL82"/>
      <c r="LAM82"/>
      <c r="LAN82"/>
      <c r="LAO82"/>
      <c r="LAP82"/>
      <c r="LAQ82"/>
      <c r="LAR82"/>
      <c r="LAS82"/>
      <c r="LAT82"/>
      <c r="LAU82"/>
      <c r="LAV82"/>
      <c r="LAW82"/>
      <c r="LAX82"/>
      <c r="LAY82"/>
      <c r="LAZ82"/>
      <c r="LBA82"/>
      <c r="LBB82"/>
      <c r="LBC82"/>
      <c r="LBD82"/>
      <c r="LBE82"/>
      <c r="LBF82"/>
      <c r="LBG82"/>
      <c r="LBH82"/>
      <c r="LBI82"/>
      <c r="LBJ82"/>
      <c r="LBK82"/>
      <c r="LBL82"/>
      <c r="LBM82"/>
      <c r="LBN82"/>
      <c r="LBO82"/>
      <c r="LBP82"/>
      <c r="LBQ82"/>
      <c r="LBR82"/>
      <c r="LBS82"/>
      <c r="LBT82"/>
      <c r="LBU82"/>
      <c r="LBV82"/>
      <c r="LBW82"/>
      <c r="LBX82"/>
      <c r="LBY82"/>
      <c r="LBZ82"/>
      <c r="LCA82"/>
      <c r="LCB82"/>
      <c r="LCC82"/>
      <c r="LCD82"/>
      <c r="LCE82"/>
      <c r="LCF82"/>
      <c r="LCG82"/>
      <c r="LCH82"/>
      <c r="LCI82"/>
      <c r="LCJ82"/>
      <c r="LCK82"/>
      <c r="LCL82"/>
      <c r="LCM82"/>
      <c r="LCN82"/>
      <c r="LCO82"/>
      <c r="LCP82"/>
      <c r="LCQ82"/>
      <c r="LCR82"/>
      <c r="LCS82"/>
      <c r="LCT82"/>
      <c r="LCU82"/>
      <c r="LCV82"/>
      <c r="LCW82"/>
      <c r="LCX82"/>
      <c r="LCY82"/>
      <c r="LCZ82"/>
      <c r="LDA82"/>
      <c r="LDB82"/>
      <c r="LDC82"/>
      <c r="LDD82"/>
      <c r="LDE82"/>
      <c r="LDF82"/>
      <c r="LDG82"/>
      <c r="LDH82"/>
      <c r="LDI82"/>
      <c r="LDJ82"/>
      <c r="LDK82"/>
      <c r="LDL82"/>
      <c r="LDM82"/>
      <c r="LDN82"/>
      <c r="LDO82"/>
      <c r="LDP82"/>
      <c r="LDQ82"/>
      <c r="LDR82"/>
      <c r="LDS82"/>
      <c r="LDT82"/>
      <c r="LDU82"/>
      <c r="LDV82"/>
      <c r="LDW82"/>
      <c r="LDX82"/>
      <c r="LDY82"/>
      <c r="LDZ82"/>
      <c r="LEA82"/>
      <c r="LEB82"/>
      <c r="LEC82"/>
      <c r="LED82"/>
      <c r="LEE82"/>
      <c r="LEF82"/>
      <c r="LEG82"/>
      <c r="LEH82"/>
      <c r="LEI82"/>
      <c r="LEJ82"/>
      <c r="LEK82"/>
      <c r="LEL82"/>
      <c r="LEM82"/>
      <c r="LEN82"/>
      <c r="LEO82"/>
      <c r="LEP82"/>
      <c r="LEQ82"/>
      <c r="LER82"/>
      <c r="LES82"/>
      <c r="LET82"/>
      <c r="LEU82"/>
      <c r="LEV82"/>
      <c r="LEW82"/>
      <c r="LEX82"/>
      <c r="LEY82"/>
      <c r="LEZ82"/>
      <c r="LFA82"/>
      <c r="LFB82"/>
      <c r="LFC82"/>
      <c r="LFD82"/>
      <c r="LFE82"/>
      <c r="LFF82"/>
      <c r="LFG82"/>
      <c r="LFH82"/>
      <c r="LFI82"/>
      <c r="LFJ82"/>
      <c r="LFK82"/>
      <c r="LFL82"/>
      <c r="LFM82"/>
      <c r="LFN82"/>
      <c r="LFO82"/>
      <c r="LFP82"/>
      <c r="LFQ82"/>
      <c r="LFR82"/>
      <c r="LFS82"/>
      <c r="LFT82"/>
      <c r="LFU82"/>
      <c r="LFV82"/>
      <c r="LFW82"/>
      <c r="LFX82"/>
      <c r="LFY82"/>
      <c r="LFZ82"/>
      <c r="LGA82"/>
      <c r="LGB82"/>
      <c r="LGC82"/>
      <c r="LGD82"/>
      <c r="LGE82"/>
      <c r="LGF82"/>
      <c r="LGG82"/>
      <c r="LGH82"/>
      <c r="LGI82"/>
      <c r="LGJ82"/>
      <c r="LGK82"/>
      <c r="LGL82"/>
      <c r="LGM82"/>
      <c r="LGN82"/>
      <c r="LGO82"/>
      <c r="LGP82"/>
      <c r="LGQ82"/>
      <c r="LGR82"/>
      <c r="LGS82"/>
      <c r="LGT82"/>
      <c r="LGU82"/>
      <c r="LGV82"/>
      <c r="LGW82"/>
      <c r="LGX82"/>
      <c r="LGY82"/>
      <c r="LGZ82"/>
      <c r="LHA82"/>
      <c r="LHB82"/>
      <c r="LHC82"/>
      <c r="LHD82"/>
      <c r="LHE82"/>
      <c r="LHF82"/>
      <c r="LHG82"/>
      <c r="LHH82"/>
      <c r="LHI82"/>
      <c r="LHJ82"/>
      <c r="LHK82"/>
      <c r="LHL82"/>
      <c r="LHM82"/>
      <c r="LHN82"/>
      <c r="LHO82"/>
      <c r="LHP82"/>
      <c r="LHQ82"/>
      <c r="LHR82"/>
      <c r="LHS82"/>
      <c r="LHT82"/>
      <c r="LHU82"/>
      <c r="LHV82"/>
      <c r="LHW82"/>
      <c r="LHX82"/>
      <c r="LHY82"/>
      <c r="LHZ82"/>
      <c r="LIA82"/>
      <c r="LIB82"/>
      <c r="LIC82"/>
      <c r="LID82"/>
      <c r="LIE82"/>
      <c r="LIF82"/>
      <c r="LIG82"/>
      <c r="LIH82"/>
      <c r="LII82"/>
      <c r="LIJ82"/>
      <c r="LIK82"/>
      <c r="LIL82"/>
      <c r="LIM82"/>
      <c r="LIN82"/>
      <c r="LIO82"/>
      <c r="LIP82"/>
      <c r="LIQ82"/>
      <c r="LIR82"/>
      <c r="LIS82"/>
      <c r="LIT82"/>
      <c r="LIU82"/>
      <c r="LIV82"/>
      <c r="LIW82"/>
      <c r="LIX82"/>
      <c r="LIY82"/>
      <c r="LIZ82"/>
      <c r="LJA82"/>
      <c r="LJB82"/>
      <c r="LJC82"/>
      <c r="LJD82"/>
      <c r="LJE82"/>
      <c r="LJF82"/>
      <c r="LJG82"/>
      <c r="LJH82"/>
      <c r="LJI82"/>
      <c r="LJJ82"/>
      <c r="LJK82"/>
      <c r="LJL82"/>
      <c r="LJM82"/>
      <c r="LJN82"/>
      <c r="LJO82"/>
      <c r="LJP82"/>
      <c r="LJQ82"/>
      <c r="LJR82"/>
      <c r="LJS82"/>
      <c r="LJT82"/>
      <c r="LJU82"/>
      <c r="LJV82"/>
      <c r="LJW82"/>
      <c r="LJX82"/>
      <c r="LJY82"/>
      <c r="LJZ82"/>
      <c r="LKA82"/>
      <c r="LKB82"/>
      <c r="LKC82"/>
      <c r="LKD82"/>
      <c r="LKE82"/>
      <c r="LKF82"/>
      <c r="LKG82"/>
      <c r="LKH82"/>
      <c r="LKI82"/>
      <c r="LKJ82"/>
      <c r="LKK82"/>
      <c r="LKL82"/>
      <c r="LKM82"/>
      <c r="LKN82"/>
      <c r="LKO82"/>
      <c r="LKP82"/>
      <c r="LKQ82"/>
      <c r="LKR82"/>
      <c r="LKS82"/>
      <c r="LKT82"/>
      <c r="LKU82"/>
      <c r="LKV82"/>
      <c r="LKW82"/>
      <c r="LKX82"/>
      <c r="LKY82"/>
      <c r="LKZ82"/>
      <c r="LLA82"/>
      <c r="LLB82"/>
      <c r="LLC82"/>
      <c r="LLD82"/>
      <c r="LLE82"/>
      <c r="LLF82"/>
      <c r="LLG82"/>
      <c r="LLH82"/>
      <c r="LLI82"/>
      <c r="LLJ82"/>
      <c r="LLK82"/>
      <c r="LLL82"/>
      <c r="LLM82"/>
      <c r="LLN82"/>
      <c r="LLO82"/>
      <c r="LLP82"/>
      <c r="LLQ82"/>
      <c r="LLR82"/>
      <c r="LLS82"/>
      <c r="LLT82"/>
      <c r="LLU82"/>
      <c r="LLV82"/>
      <c r="LLW82"/>
      <c r="LLX82"/>
      <c r="LLY82"/>
      <c r="LLZ82"/>
      <c r="LMA82"/>
      <c r="LMB82"/>
      <c r="LMC82"/>
      <c r="LMD82"/>
      <c r="LME82"/>
      <c r="LMF82"/>
      <c r="LMG82"/>
      <c r="LMH82"/>
      <c r="LMI82"/>
      <c r="LMJ82"/>
      <c r="LMK82"/>
      <c r="LML82"/>
      <c r="LMM82"/>
      <c r="LMN82"/>
      <c r="LMO82"/>
      <c r="LMP82"/>
      <c r="LMQ82"/>
      <c r="LMR82"/>
      <c r="LMS82"/>
      <c r="LMT82"/>
      <c r="LMU82"/>
      <c r="LMV82"/>
      <c r="LMW82"/>
      <c r="LMX82"/>
      <c r="LMY82"/>
      <c r="LMZ82"/>
      <c r="LNA82"/>
      <c r="LNB82"/>
      <c r="LNC82"/>
      <c r="LND82"/>
      <c r="LNE82"/>
      <c r="LNF82"/>
      <c r="LNG82"/>
      <c r="LNH82"/>
      <c r="LNI82"/>
      <c r="LNJ82"/>
      <c r="LNK82"/>
      <c r="LNL82"/>
      <c r="LNM82"/>
      <c r="LNN82"/>
      <c r="LNO82"/>
      <c r="LNP82"/>
      <c r="LNQ82"/>
      <c r="LNR82"/>
      <c r="LNS82"/>
      <c r="LNT82"/>
      <c r="LNU82"/>
      <c r="LNV82"/>
      <c r="LNW82"/>
      <c r="LNX82"/>
      <c r="LNY82"/>
      <c r="LNZ82"/>
      <c r="LOA82"/>
      <c r="LOB82"/>
      <c r="LOC82"/>
      <c r="LOD82"/>
      <c r="LOE82"/>
      <c r="LOF82"/>
      <c r="LOG82"/>
      <c r="LOH82"/>
      <c r="LOI82"/>
      <c r="LOJ82"/>
      <c r="LOK82"/>
      <c r="LOL82"/>
      <c r="LOM82"/>
      <c r="LON82"/>
      <c r="LOO82"/>
      <c r="LOP82"/>
      <c r="LOQ82"/>
      <c r="LOR82"/>
      <c r="LOS82"/>
      <c r="LOT82"/>
      <c r="LOU82"/>
      <c r="LOV82"/>
      <c r="LOW82"/>
      <c r="LOX82"/>
      <c r="LOY82"/>
      <c r="LOZ82"/>
      <c r="LPA82"/>
      <c r="LPB82"/>
      <c r="LPC82"/>
      <c r="LPD82"/>
      <c r="LPE82"/>
      <c r="LPF82"/>
      <c r="LPG82"/>
      <c r="LPH82"/>
      <c r="LPI82"/>
      <c r="LPJ82"/>
      <c r="LPK82"/>
      <c r="LPL82"/>
      <c r="LPM82"/>
      <c r="LPN82"/>
      <c r="LPO82"/>
      <c r="LPP82"/>
      <c r="LPQ82"/>
      <c r="LPR82"/>
      <c r="LPS82"/>
      <c r="LPT82"/>
      <c r="LPU82"/>
      <c r="LPV82"/>
      <c r="LPW82"/>
      <c r="LPX82"/>
      <c r="LPY82"/>
      <c r="LPZ82"/>
      <c r="LQA82"/>
      <c r="LQB82"/>
      <c r="LQC82"/>
      <c r="LQD82"/>
      <c r="LQE82"/>
      <c r="LQF82"/>
      <c r="LQG82"/>
      <c r="LQH82"/>
      <c r="LQI82"/>
      <c r="LQJ82"/>
      <c r="LQK82"/>
      <c r="LQL82"/>
      <c r="LQM82"/>
      <c r="LQN82"/>
      <c r="LQO82"/>
      <c r="LQP82"/>
      <c r="LQQ82"/>
      <c r="LQR82"/>
      <c r="LQS82"/>
      <c r="LQT82"/>
      <c r="LQU82"/>
      <c r="LQV82"/>
      <c r="LQW82"/>
      <c r="LQX82"/>
      <c r="LQY82"/>
      <c r="LQZ82"/>
      <c r="LRA82"/>
      <c r="LRB82"/>
      <c r="LRC82"/>
      <c r="LRD82"/>
      <c r="LRE82"/>
      <c r="LRF82"/>
      <c r="LRG82"/>
      <c r="LRH82"/>
      <c r="LRI82"/>
      <c r="LRJ82"/>
      <c r="LRK82"/>
      <c r="LRL82"/>
      <c r="LRM82"/>
      <c r="LRN82"/>
      <c r="LRO82"/>
      <c r="LRP82"/>
      <c r="LRQ82"/>
      <c r="LRR82"/>
      <c r="LRS82"/>
      <c r="LRT82"/>
      <c r="LRU82"/>
      <c r="LRV82"/>
      <c r="LRW82"/>
      <c r="LRX82"/>
      <c r="LRY82"/>
      <c r="LRZ82"/>
      <c r="LSA82"/>
      <c r="LSB82"/>
      <c r="LSC82"/>
      <c r="LSD82"/>
      <c r="LSE82"/>
      <c r="LSF82"/>
      <c r="LSG82"/>
      <c r="LSH82"/>
      <c r="LSI82"/>
      <c r="LSJ82"/>
      <c r="LSK82"/>
      <c r="LSL82"/>
      <c r="LSM82"/>
      <c r="LSN82"/>
      <c r="LSO82"/>
      <c r="LSP82"/>
      <c r="LSQ82"/>
      <c r="LSR82"/>
      <c r="LSS82"/>
      <c r="LST82"/>
      <c r="LSU82"/>
      <c r="LSV82"/>
      <c r="LSW82"/>
      <c r="LSX82"/>
      <c r="LSY82"/>
      <c r="LSZ82"/>
      <c r="LTA82"/>
      <c r="LTB82"/>
      <c r="LTC82"/>
      <c r="LTD82"/>
      <c r="LTE82"/>
      <c r="LTF82"/>
      <c r="LTG82"/>
      <c r="LTH82"/>
      <c r="LTI82"/>
      <c r="LTJ82"/>
      <c r="LTK82"/>
      <c r="LTL82"/>
      <c r="LTM82"/>
      <c r="LTN82"/>
      <c r="LTO82"/>
      <c r="LTP82"/>
      <c r="LTQ82"/>
      <c r="LTR82"/>
      <c r="LTS82"/>
      <c r="LTT82"/>
      <c r="LTU82"/>
      <c r="LTV82"/>
      <c r="LTW82"/>
      <c r="LTX82"/>
      <c r="LTY82"/>
      <c r="LTZ82"/>
      <c r="LUA82"/>
      <c r="LUB82"/>
      <c r="LUC82"/>
      <c r="LUD82"/>
      <c r="LUE82"/>
      <c r="LUF82"/>
      <c r="LUG82"/>
      <c r="LUH82"/>
      <c r="LUI82"/>
      <c r="LUJ82"/>
      <c r="LUK82"/>
      <c r="LUL82"/>
      <c r="LUM82"/>
      <c r="LUN82"/>
      <c r="LUO82"/>
      <c r="LUP82"/>
      <c r="LUQ82"/>
      <c r="LUR82"/>
      <c r="LUS82"/>
      <c r="LUT82"/>
      <c r="LUU82"/>
      <c r="LUV82"/>
      <c r="LUW82"/>
      <c r="LUX82"/>
      <c r="LUY82"/>
      <c r="LUZ82"/>
      <c r="LVA82"/>
      <c r="LVB82"/>
      <c r="LVC82"/>
      <c r="LVD82"/>
      <c r="LVE82"/>
      <c r="LVF82"/>
      <c r="LVG82"/>
      <c r="LVH82"/>
      <c r="LVI82"/>
      <c r="LVJ82"/>
      <c r="LVK82"/>
      <c r="LVL82"/>
      <c r="LVM82"/>
      <c r="LVN82"/>
      <c r="LVO82"/>
      <c r="LVP82"/>
      <c r="LVQ82"/>
      <c r="LVR82"/>
      <c r="LVS82"/>
      <c r="LVT82"/>
      <c r="LVU82"/>
      <c r="LVV82"/>
      <c r="LVW82"/>
      <c r="LVX82"/>
      <c r="LVY82"/>
      <c r="LVZ82"/>
      <c r="LWA82"/>
      <c r="LWB82"/>
      <c r="LWC82"/>
      <c r="LWD82"/>
      <c r="LWE82"/>
      <c r="LWF82"/>
      <c r="LWG82"/>
      <c r="LWH82"/>
      <c r="LWI82"/>
      <c r="LWJ82"/>
      <c r="LWK82"/>
      <c r="LWL82"/>
      <c r="LWM82"/>
      <c r="LWN82"/>
      <c r="LWO82"/>
      <c r="LWP82"/>
      <c r="LWQ82"/>
      <c r="LWR82"/>
      <c r="LWS82"/>
      <c r="LWT82"/>
      <c r="LWU82"/>
      <c r="LWV82"/>
      <c r="LWW82"/>
      <c r="LWX82"/>
      <c r="LWY82"/>
      <c r="LWZ82"/>
      <c r="LXA82"/>
      <c r="LXB82"/>
      <c r="LXC82"/>
      <c r="LXD82"/>
      <c r="LXE82"/>
      <c r="LXF82"/>
      <c r="LXG82"/>
      <c r="LXH82"/>
      <c r="LXI82"/>
      <c r="LXJ82"/>
      <c r="LXK82"/>
      <c r="LXL82"/>
      <c r="LXM82"/>
      <c r="LXN82"/>
      <c r="LXO82"/>
      <c r="LXP82"/>
      <c r="LXQ82"/>
      <c r="LXR82"/>
      <c r="LXS82"/>
      <c r="LXT82"/>
      <c r="LXU82"/>
      <c r="LXV82"/>
      <c r="LXW82"/>
      <c r="LXX82"/>
      <c r="LXY82"/>
      <c r="LXZ82"/>
      <c r="LYA82"/>
      <c r="LYB82"/>
      <c r="LYC82"/>
      <c r="LYD82"/>
      <c r="LYE82"/>
      <c r="LYF82"/>
      <c r="LYG82"/>
      <c r="LYH82"/>
      <c r="LYI82"/>
      <c r="LYJ82"/>
      <c r="LYK82"/>
      <c r="LYL82"/>
      <c r="LYM82"/>
      <c r="LYN82"/>
      <c r="LYO82"/>
      <c r="LYP82"/>
      <c r="LYQ82"/>
      <c r="LYR82"/>
      <c r="LYS82"/>
      <c r="LYT82"/>
      <c r="LYU82"/>
      <c r="LYV82"/>
      <c r="LYW82"/>
      <c r="LYX82"/>
      <c r="LYY82"/>
      <c r="LYZ82"/>
      <c r="LZA82"/>
      <c r="LZB82"/>
      <c r="LZC82"/>
      <c r="LZD82"/>
      <c r="LZE82"/>
      <c r="LZF82"/>
      <c r="LZG82"/>
      <c r="LZH82"/>
      <c r="LZI82"/>
      <c r="LZJ82"/>
      <c r="LZK82"/>
      <c r="LZL82"/>
      <c r="LZM82"/>
      <c r="LZN82"/>
      <c r="LZO82"/>
      <c r="LZP82"/>
      <c r="LZQ82"/>
      <c r="LZR82"/>
      <c r="LZS82"/>
      <c r="LZT82"/>
      <c r="LZU82"/>
      <c r="LZV82"/>
      <c r="LZW82"/>
      <c r="LZX82"/>
      <c r="LZY82"/>
      <c r="LZZ82"/>
      <c r="MAA82"/>
      <c r="MAB82"/>
      <c r="MAC82"/>
      <c r="MAD82"/>
      <c r="MAE82"/>
      <c r="MAF82"/>
      <c r="MAG82"/>
      <c r="MAH82"/>
      <c r="MAI82"/>
      <c r="MAJ82"/>
      <c r="MAK82"/>
      <c r="MAL82"/>
      <c r="MAM82"/>
      <c r="MAN82"/>
      <c r="MAO82"/>
      <c r="MAP82"/>
      <c r="MAQ82"/>
      <c r="MAR82"/>
      <c r="MAS82"/>
      <c r="MAT82"/>
      <c r="MAU82"/>
      <c r="MAV82"/>
      <c r="MAW82"/>
      <c r="MAX82"/>
      <c r="MAY82"/>
      <c r="MAZ82"/>
      <c r="MBA82"/>
      <c r="MBB82"/>
      <c r="MBC82"/>
      <c r="MBD82"/>
      <c r="MBE82"/>
      <c r="MBF82"/>
      <c r="MBG82"/>
      <c r="MBH82"/>
      <c r="MBI82"/>
      <c r="MBJ82"/>
      <c r="MBK82"/>
      <c r="MBL82"/>
      <c r="MBM82"/>
      <c r="MBN82"/>
      <c r="MBO82"/>
      <c r="MBP82"/>
      <c r="MBQ82"/>
      <c r="MBR82"/>
      <c r="MBS82"/>
      <c r="MBT82"/>
      <c r="MBU82"/>
      <c r="MBV82"/>
      <c r="MBW82"/>
      <c r="MBX82"/>
      <c r="MBY82"/>
      <c r="MBZ82"/>
      <c r="MCA82"/>
      <c r="MCB82"/>
      <c r="MCC82"/>
      <c r="MCD82"/>
      <c r="MCE82"/>
      <c r="MCF82"/>
      <c r="MCG82"/>
      <c r="MCH82"/>
      <c r="MCI82"/>
      <c r="MCJ82"/>
      <c r="MCK82"/>
      <c r="MCL82"/>
      <c r="MCM82"/>
      <c r="MCN82"/>
      <c r="MCO82"/>
      <c r="MCP82"/>
      <c r="MCQ82"/>
      <c r="MCR82"/>
      <c r="MCS82"/>
      <c r="MCT82"/>
      <c r="MCU82"/>
      <c r="MCV82"/>
      <c r="MCW82"/>
      <c r="MCX82"/>
      <c r="MCY82"/>
      <c r="MCZ82"/>
      <c r="MDA82"/>
      <c r="MDB82"/>
      <c r="MDC82"/>
      <c r="MDD82"/>
      <c r="MDE82"/>
      <c r="MDF82"/>
      <c r="MDG82"/>
      <c r="MDH82"/>
      <c r="MDI82"/>
      <c r="MDJ82"/>
      <c r="MDK82"/>
      <c r="MDL82"/>
      <c r="MDM82"/>
      <c r="MDN82"/>
      <c r="MDO82"/>
      <c r="MDP82"/>
      <c r="MDQ82"/>
      <c r="MDR82"/>
      <c r="MDS82"/>
      <c r="MDT82"/>
      <c r="MDU82"/>
      <c r="MDV82"/>
      <c r="MDW82"/>
      <c r="MDX82"/>
      <c r="MDY82"/>
      <c r="MDZ82"/>
      <c r="MEA82"/>
      <c r="MEB82"/>
      <c r="MEC82"/>
      <c r="MED82"/>
      <c r="MEE82"/>
      <c r="MEF82"/>
      <c r="MEG82"/>
      <c r="MEH82"/>
      <c r="MEI82"/>
      <c r="MEJ82"/>
      <c r="MEK82"/>
      <c r="MEL82"/>
      <c r="MEM82"/>
      <c r="MEN82"/>
      <c r="MEO82"/>
      <c r="MEP82"/>
      <c r="MEQ82"/>
      <c r="MER82"/>
      <c r="MES82"/>
      <c r="MET82"/>
      <c r="MEU82"/>
      <c r="MEV82"/>
      <c r="MEW82"/>
      <c r="MEX82"/>
      <c r="MEY82"/>
      <c r="MEZ82"/>
      <c r="MFA82"/>
      <c r="MFB82"/>
      <c r="MFC82"/>
      <c r="MFD82"/>
      <c r="MFE82"/>
      <c r="MFF82"/>
      <c r="MFG82"/>
      <c r="MFH82"/>
      <c r="MFI82"/>
      <c r="MFJ82"/>
      <c r="MFK82"/>
      <c r="MFL82"/>
      <c r="MFM82"/>
      <c r="MFN82"/>
      <c r="MFO82"/>
      <c r="MFP82"/>
      <c r="MFQ82"/>
      <c r="MFR82"/>
      <c r="MFS82"/>
      <c r="MFT82"/>
      <c r="MFU82"/>
      <c r="MFV82"/>
      <c r="MFW82"/>
      <c r="MFX82"/>
      <c r="MFY82"/>
      <c r="MFZ82"/>
      <c r="MGA82"/>
      <c r="MGB82"/>
      <c r="MGC82"/>
      <c r="MGD82"/>
      <c r="MGE82"/>
      <c r="MGF82"/>
      <c r="MGG82"/>
      <c r="MGH82"/>
      <c r="MGI82"/>
      <c r="MGJ82"/>
      <c r="MGK82"/>
      <c r="MGL82"/>
      <c r="MGM82"/>
      <c r="MGN82"/>
      <c r="MGO82"/>
      <c r="MGP82"/>
      <c r="MGQ82"/>
      <c r="MGR82"/>
      <c r="MGS82"/>
      <c r="MGT82"/>
      <c r="MGU82"/>
      <c r="MGV82"/>
      <c r="MGW82"/>
      <c r="MGX82"/>
      <c r="MGY82"/>
      <c r="MGZ82"/>
      <c r="MHA82"/>
      <c r="MHB82"/>
      <c r="MHC82"/>
      <c r="MHD82"/>
      <c r="MHE82"/>
      <c r="MHF82"/>
      <c r="MHG82"/>
      <c r="MHH82"/>
      <c r="MHI82"/>
      <c r="MHJ82"/>
      <c r="MHK82"/>
      <c r="MHL82"/>
      <c r="MHM82"/>
      <c r="MHN82"/>
      <c r="MHO82"/>
      <c r="MHP82"/>
      <c r="MHQ82"/>
      <c r="MHR82"/>
      <c r="MHS82"/>
      <c r="MHT82"/>
      <c r="MHU82"/>
      <c r="MHV82"/>
      <c r="MHW82"/>
      <c r="MHX82"/>
      <c r="MHY82"/>
      <c r="MHZ82"/>
      <c r="MIA82"/>
      <c r="MIB82"/>
      <c r="MIC82"/>
      <c r="MID82"/>
      <c r="MIE82"/>
      <c r="MIF82"/>
      <c r="MIG82"/>
      <c r="MIH82"/>
      <c r="MII82"/>
      <c r="MIJ82"/>
      <c r="MIK82"/>
      <c r="MIL82"/>
      <c r="MIM82"/>
      <c r="MIN82"/>
      <c r="MIO82"/>
      <c r="MIP82"/>
      <c r="MIQ82"/>
      <c r="MIR82"/>
      <c r="MIS82"/>
      <c r="MIT82"/>
      <c r="MIU82"/>
      <c r="MIV82"/>
      <c r="MIW82"/>
      <c r="MIX82"/>
      <c r="MIY82"/>
      <c r="MIZ82"/>
      <c r="MJA82"/>
      <c r="MJB82"/>
      <c r="MJC82"/>
      <c r="MJD82"/>
      <c r="MJE82"/>
      <c r="MJF82"/>
      <c r="MJG82"/>
      <c r="MJH82"/>
      <c r="MJI82"/>
      <c r="MJJ82"/>
      <c r="MJK82"/>
      <c r="MJL82"/>
      <c r="MJM82"/>
      <c r="MJN82"/>
      <c r="MJO82"/>
      <c r="MJP82"/>
      <c r="MJQ82"/>
      <c r="MJR82"/>
      <c r="MJS82"/>
      <c r="MJT82"/>
      <c r="MJU82"/>
      <c r="MJV82"/>
      <c r="MJW82"/>
      <c r="MJX82"/>
      <c r="MJY82"/>
      <c r="MJZ82"/>
      <c r="MKA82"/>
      <c r="MKB82"/>
      <c r="MKC82"/>
      <c r="MKD82"/>
      <c r="MKE82"/>
      <c r="MKF82"/>
      <c r="MKG82"/>
      <c r="MKH82"/>
      <c r="MKI82"/>
      <c r="MKJ82"/>
      <c r="MKK82"/>
      <c r="MKL82"/>
      <c r="MKM82"/>
      <c r="MKN82"/>
      <c r="MKO82"/>
      <c r="MKP82"/>
      <c r="MKQ82"/>
      <c r="MKR82"/>
      <c r="MKS82"/>
      <c r="MKT82"/>
      <c r="MKU82"/>
      <c r="MKV82"/>
      <c r="MKW82"/>
      <c r="MKX82"/>
      <c r="MKY82"/>
      <c r="MKZ82"/>
      <c r="MLA82"/>
      <c r="MLB82"/>
      <c r="MLC82"/>
      <c r="MLD82"/>
      <c r="MLE82"/>
      <c r="MLF82"/>
      <c r="MLG82"/>
      <c r="MLH82"/>
      <c r="MLI82"/>
      <c r="MLJ82"/>
      <c r="MLK82"/>
      <c r="MLL82"/>
      <c r="MLM82"/>
      <c r="MLN82"/>
      <c r="MLO82"/>
      <c r="MLP82"/>
      <c r="MLQ82"/>
      <c r="MLR82"/>
      <c r="MLS82"/>
      <c r="MLT82"/>
      <c r="MLU82"/>
      <c r="MLV82"/>
      <c r="MLW82"/>
      <c r="MLX82"/>
      <c r="MLY82"/>
      <c r="MLZ82"/>
      <c r="MMA82"/>
      <c r="MMB82"/>
      <c r="MMC82"/>
      <c r="MMD82"/>
      <c r="MME82"/>
      <c r="MMF82"/>
      <c r="MMG82"/>
      <c r="MMH82"/>
      <c r="MMI82"/>
      <c r="MMJ82"/>
      <c r="MMK82"/>
      <c r="MML82"/>
      <c r="MMM82"/>
      <c r="MMN82"/>
      <c r="MMO82"/>
      <c r="MMP82"/>
      <c r="MMQ82"/>
      <c r="MMR82"/>
      <c r="MMS82"/>
      <c r="MMT82"/>
      <c r="MMU82"/>
      <c r="MMV82"/>
      <c r="MMW82"/>
      <c r="MMX82"/>
      <c r="MMY82"/>
      <c r="MMZ82"/>
      <c r="MNA82"/>
      <c r="MNB82"/>
      <c r="MNC82"/>
      <c r="MND82"/>
      <c r="MNE82"/>
      <c r="MNF82"/>
      <c r="MNG82"/>
      <c r="MNH82"/>
      <c r="MNI82"/>
      <c r="MNJ82"/>
      <c r="MNK82"/>
      <c r="MNL82"/>
      <c r="MNM82"/>
      <c r="MNN82"/>
      <c r="MNO82"/>
      <c r="MNP82"/>
      <c r="MNQ82"/>
      <c r="MNR82"/>
      <c r="MNS82"/>
      <c r="MNT82"/>
      <c r="MNU82"/>
      <c r="MNV82"/>
      <c r="MNW82"/>
      <c r="MNX82"/>
      <c r="MNY82"/>
      <c r="MNZ82"/>
      <c r="MOA82"/>
      <c r="MOB82"/>
      <c r="MOC82"/>
      <c r="MOD82"/>
      <c r="MOE82"/>
      <c r="MOF82"/>
      <c r="MOG82"/>
      <c r="MOH82"/>
      <c r="MOI82"/>
      <c r="MOJ82"/>
      <c r="MOK82"/>
      <c r="MOL82"/>
      <c r="MOM82"/>
      <c r="MON82"/>
      <c r="MOO82"/>
      <c r="MOP82"/>
      <c r="MOQ82"/>
      <c r="MOR82"/>
      <c r="MOS82"/>
      <c r="MOT82"/>
      <c r="MOU82"/>
      <c r="MOV82"/>
      <c r="MOW82"/>
      <c r="MOX82"/>
      <c r="MOY82"/>
      <c r="MOZ82"/>
      <c r="MPA82"/>
      <c r="MPB82"/>
      <c r="MPC82"/>
      <c r="MPD82"/>
      <c r="MPE82"/>
      <c r="MPF82"/>
      <c r="MPG82"/>
      <c r="MPH82"/>
      <c r="MPI82"/>
      <c r="MPJ82"/>
      <c r="MPK82"/>
      <c r="MPL82"/>
      <c r="MPM82"/>
      <c r="MPN82"/>
      <c r="MPO82"/>
      <c r="MPP82"/>
      <c r="MPQ82"/>
      <c r="MPR82"/>
      <c r="MPS82"/>
      <c r="MPT82"/>
      <c r="MPU82"/>
      <c r="MPV82"/>
      <c r="MPW82"/>
      <c r="MPX82"/>
      <c r="MPY82"/>
      <c r="MPZ82"/>
      <c r="MQA82"/>
      <c r="MQB82"/>
      <c r="MQC82"/>
      <c r="MQD82"/>
      <c r="MQE82"/>
      <c r="MQF82"/>
      <c r="MQG82"/>
      <c r="MQH82"/>
      <c r="MQI82"/>
      <c r="MQJ82"/>
      <c r="MQK82"/>
      <c r="MQL82"/>
      <c r="MQM82"/>
      <c r="MQN82"/>
      <c r="MQO82"/>
      <c r="MQP82"/>
      <c r="MQQ82"/>
      <c r="MQR82"/>
      <c r="MQS82"/>
      <c r="MQT82"/>
      <c r="MQU82"/>
      <c r="MQV82"/>
      <c r="MQW82"/>
      <c r="MQX82"/>
      <c r="MQY82"/>
      <c r="MQZ82"/>
      <c r="MRA82"/>
      <c r="MRB82"/>
      <c r="MRC82"/>
      <c r="MRD82"/>
      <c r="MRE82"/>
      <c r="MRF82"/>
      <c r="MRG82"/>
      <c r="MRH82"/>
      <c r="MRI82"/>
      <c r="MRJ82"/>
      <c r="MRK82"/>
      <c r="MRL82"/>
      <c r="MRM82"/>
      <c r="MRN82"/>
      <c r="MRO82"/>
      <c r="MRP82"/>
      <c r="MRQ82"/>
      <c r="MRR82"/>
      <c r="MRS82"/>
      <c r="MRT82"/>
      <c r="MRU82"/>
      <c r="MRV82"/>
      <c r="MRW82"/>
      <c r="MRX82"/>
      <c r="MRY82"/>
      <c r="MRZ82"/>
      <c r="MSA82"/>
      <c r="MSB82"/>
      <c r="MSC82"/>
      <c r="MSD82"/>
      <c r="MSE82"/>
      <c r="MSF82"/>
      <c r="MSG82"/>
      <c r="MSH82"/>
      <c r="MSI82"/>
      <c r="MSJ82"/>
      <c r="MSK82"/>
      <c r="MSL82"/>
      <c r="MSM82"/>
      <c r="MSN82"/>
      <c r="MSO82"/>
      <c r="MSP82"/>
      <c r="MSQ82"/>
      <c r="MSR82"/>
      <c r="MSS82"/>
      <c r="MST82"/>
      <c r="MSU82"/>
      <c r="MSV82"/>
      <c r="MSW82"/>
      <c r="MSX82"/>
      <c r="MSY82"/>
      <c r="MSZ82"/>
      <c r="MTA82"/>
      <c r="MTB82"/>
      <c r="MTC82"/>
      <c r="MTD82"/>
      <c r="MTE82"/>
      <c r="MTF82"/>
      <c r="MTG82"/>
      <c r="MTH82"/>
      <c r="MTI82"/>
      <c r="MTJ82"/>
      <c r="MTK82"/>
      <c r="MTL82"/>
      <c r="MTM82"/>
      <c r="MTN82"/>
      <c r="MTO82"/>
      <c r="MTP82"/>
      <c r="MTQ82"/>
      <c r="MTR82"/>
      <c r="MTS82"/>
      <c r="MTT82"/>
      <c r="MTU82"/>
      <c r="MTV82"/>
      <c r="MTW82"/>
      <c r="MTX82"/>
      <c r="MTY82"/>
      <c r="MTZ82"/>
      <c r="MUA82"/>
      <c r="MUB82"/>
      <c r="MUC82"/>
      <c r="MUD82"/>
      <c r="MUE82"/>
      <c r="MUF82"/>
      <c r="MUG82"/>
      <c r="MUH82"/>
      <c r="MUI82"/>
      <c r="MUJ82"/>
      <c r="MUK82"/>
      <c r="MUL82"/>
      <c r="MUM82"/>
      <c r="MUN82"/>
      <c r="MUO82"/>
      <c r="MUP82"/>
      <c r="MUQ82"/>
      <c r="MUR82"/>
      <c r="MUS82"/>
      <c r="MUT82"/>
      <c r="MUU82"/>
      <c r="MUV82"/>
      <c r="MUW82"/>
      <c r="MUX82"/>
      <c r="MUY82"/>
      <c r="MUZ82"/>
      <c r="MVA82"/>
      <c r="MVB82"/>
      <c r="MVC82"/>
      <c r="MVD82"/>
      <c r="MVE82"/>
      <c r="MVF82"/>
      <c r="MVG82"/>
      <c r="MVH82"/>
      <c r="MVI82"/>
      <c r="MVJ82"/>
      <c r="MVK82"/>
      <c r="MVL82"/>
      <c r="MVM82"/>
      <c r="MVN82"/>
      <c r="MVO82"/>
      <c r="MVP82"/>
      <c r="MVQ82"/>
      <c r="MVR82"/>
      <c r="MVS82"/>
      <c r="MVT82"/>
      <c r="MVU82"/>
      <c r="MVV82"/>
      <c r="MVW82"/>
      <c r="MVX82"/>
      <c r="MVY82"/>
      <c r="MVZ82"/>
      <c r="MWA82"/>
      <c r="MWB82"/>
      <c r="MWC82"/>
      <c r="MWD82"/>
      <c r="MWE82"/>
      <c r="MWF82"/>
      <c r="MWG82"/>
      <c r="MWH82"/>
      <c r="MWI82"/>
      <c r="MWJ82"/>
      <c r="MWK82"/>
      <c r="MWL82"/>
      <c r="MWM82"/>
      <c r="MWN82"/>
      <c r="MWO82"/>
      <c r="MWP82"/>
      <c r="MWQ82"/>
      <c r="MWR82"/>
      <c r="MWS82"/>
      <c r="MWT82"/>
      <c r="MWU82"/>
      <c r="MWV82"/>
      <c r="MWW82"/>
      <c r="MWX82"/>
      <c r="MWY82"/>
      <c r="MWZ82"/>
      <c r="MXA82"/>
      <c r="MXB82"/>
      <c r="MXC82"/>
      <c r="MXD82"/>
      <c r="MXE82"/>
      <c r="MXF82"/>
      <c r="MXG82"/>
      <c r="MXH82"/>
      <c r="MXI82"/>
      <c r="MXJ82"/>
      <c r="MXK82"/>
      <c r="MXL82"/>
      <c r="MXM82"/>
      <c r="MXN82"/>
      <c r="MXO82"/>
      <c r="MXP82"/>
      <c r="MXQ82"/>
      <c r="MXR82"/>
      <c r="MXS82"/>
      <c r="MXT82"/>
      <c r="MXU82"/>
      <c r="MXV82"/>
      <c r="MXW82"/>
      <c r="MXX82"/>
      <c r="MXY82"/>
      <c r="MXZ82"/>
      <c r="MYA82"/>
      <c r="MYB82"/>
      <c r="MYC82"/>
      <c r="MYD82"/>
      <c r="MYE82"/>
      <c r="MYF82"/>
      <c r="MYG82"/>
      <c r="MYH82"/>
      <c r="MYI82"/>
      <c r="MYJ82"/>
      <c r="MYK82"/>
      <c r="MYL82"/>
      <c r="MYM82"/>
      <c r="MYN82"/>
      <c r="MYO82"/>
      <c r="MYP82"/>
      <c r="MYQ82"/>
      <c r="MYR82"/>
      <c r="MYS82"/>
      <c r="MYT82"/>
      <c r="MYU82"/>
      <c r="MYV82"/>
      <c r="MYW82"/>
      <c r="MYX82"/>
      <c r="MYY82"/>
      <c r="MYZ82"/>
      <c r="MZA82"/>
      <c r="MZB82"/>
      <c r="MZC82"/>
      <c r="MZD82"/>
      <c r="MZE82"/>
      <c r="MZF82"/>
      <c r="MZG82"/>
      <c r="MZH82"/>
      <c r="MZI82"/>
      <c r="MZJ82"/>
      <c r="MZK82"/>
      <c r="MZL82"/>
      <c r="MZM82"/>
      <c r="MZN82"/>
      <c r="MZO82"/>
      <c r="MZP82"/>
      <c r="MZQ82"/>
      <c r="MZR82"/>
      <c r="MZS82"/>
      <c r="MZT82"/>
      <c r="MZU82"/>
      <c r="MZV82"/>
      <c r="MZW82"/>
      <c r="MZX82"/>
      <c r="MZY82"/>
      <c r="MZZ82"/>
      <c r="NAA82"/>
      <c r="NAB82"/>
      <c r="NAC82"/>
      <c r="NAD82"/>
      <c r="NAE82"/>
      <c r="NAF82"/>
      <c r="NAG82"/>
      <c r="NAH82"/>
      <c r="NAI82"/>
      <c r="NAJ82"/>
      <c r="NAK82"/>
      <c r="NAL82"/>
      <c r="NAM82"/>
      <c r="NAN82"/>
      <c r="NAO82"/>
      <c r="NAP82"/>
      <c r="NAQ82"/>
      <c r="NAR82"/>
      <c r="NAS82"/>
      <c r="NAT82"/>
      <c r="NAU82"/>
      <c r="NAV82"/>
      <c r="NAW82"/>
      <c r="NAX82"/>
      <c r="NAY82"/>
      <c r="NAZ82"/>
      <c r="NBA82"/>
      <c r="NBB82"/>
      <c r="NBC82"/>
      <c r="NBD82"/>
      <c r="NBE82"/>
      <c r="NBF82"/>
      <c r="NBG82"/>
      <c r="NBH82"/>
      <c r="NBI82"/>
      <c r="NBJ82"/>
      <c r="NBK82"/>
      <c r="NBL82"/>
      <c r="NBM82"/>
      <c r="NBN82"/>
      <c r="NBO82"/>
      <c r="NBP82"/>
      <c r="NBQ82"/>
      <c r="NBR82"/>
      <c r="NBS82"/>
      <c r="NBT82"/>
      <c r="NBU82"/>
      <c r="NBV82"/>
      <c r="NBW82"/>
      <c r="NBX82"/>
      <c r="NBY82"/>
      <c r="NBZ82"/>
      <c r="NCA82"/>
      <c r="NCB82"/>
      <c r="NCC82"/>
      <c r="NCD82"/>
      <c r="NCE82"/>
      <c r="NCF82"/>
      <c r="NCG82"/>
      <c r="NCH82"/>
      <c r="NCI82"/>
      <c r="NCJ82"/>
      <c r="NCK82"/>
      <c r="NCL82"/>
      <c r="NCM82"/>
      <c r="NCN82"/>
      <c r="NCO82"/>
      <c r="NCP82"/>
      <c r="NCQ82"/>
      <c r="NCR82"/>
      <c r="NCS82"/>
      <c r="NCT82"/>
      <c r="NCU82"/>
      <c r="NCV82"/>
      <c r="NCW82"/>
      <c r="NCX82"/>
      <c r="NCY82"/>
      <c r="NCZ82"/>
      <c r="NDA82"/>
      <c r="NDB82"/>
      <c r="NDC82"/>
      <c r="NDD82"/>
      <c r="NDE82"/>
      <c r="NDF82"/>
      <c r="NDG82"/>
      <c r="NDH82"/>
      <c r="NDI82"/>
      <c r="NDJ82"/>
      <c r="NDK82"/>
      <c r="NDL82"/>
      <c r="NDM82"/>
      <c r="NDN82"/>
      <c r="NDO82"/>
      <c r="NDP82"/>
      <c r="NDQ82"/>
      <c r="NDR82"/>
      <c r="NDS82"/>
      <c r="NDT82"/>
      <c r="NDU82"/>
      <c r="NDV82"/>
      <c r="NDW82"/>
      <c r="NDX82"/>
      <c r="NDY82"/>
      <c r="NDZ82"/>
      <c r="NEA82"/>
      <c r="NEB82"/>
      <c r="NEC82"/>
      <c r="NED82"/>
      <c r="NEE82"/>
      <c r="NEF82"/>
      <c r="NEG82"/>
      <c r="NEH82"/>
      <c r="NEI82"/>
      <c r="NEJ82"/>
      <c r="NEK82"/>
      <c r="NEL82"/>
      <c r="NEM82"/>
      <c r="NEN82"/>
      <c r="NEO82"/>
      <c r="NEP82"/>
      <c r="NEQ82"/>
      <c r="NER82"/>
      <c r="NES82"/>
      <c r="NET82"/>
      <c r="NEU82"/>
      <c r="NEV82"/>
      <c r="NEW82"/>
      <c r="NEX82"/>
      <c r="NEY82"/>
      <c r="NEZ82"/>
      <c r="NFA82"/>
      <c r="NFB82"/>
      <c r="NFC82"/>
      <c r="NFD82"/>
      <c r="NFE82"/>
      <c r="NFF82"/>
      <c r="NFG82"/>
      <c r="NFH82"/>
      <c r="NFI82"/>
      <c r="NFJ82"/>
      <c r="NFK82"/>
      <c r="NFL82"/>
      <c r="NFM82"/>
      <c r="NFN82"/>
      <c r="NFO82"/>
      <c r="NFP82"/>
      <c r="NFQ82"/>
      <c r="NFR82"/>
      <c r="NFS82"/>
      <c r="NFT82"/>
      <c r="NFU82"/>
      <c r="NFV82"/>
      <c r="NFW82"/>
      <c r="NFX82"/>
      <c r="NFY82"/>
      <c r="NFZ82"/>
      <c r="NGA82"/>
      <c r="NGB82"/>
      <c r="NGC82"/>
      <c r="NGD82"/>
      <c r="NGE82"/>
      <c r="NGF82"/>
      <c r="NGG82"/>
      <c r="NGH82"/>
      <c r="NGI82"/>
      <c r="NGJ82"/>
      <c r="NGK82"/>
      <c r="NGL82"/>
      <c r="NGM82"/>
      <c r="NGN82"/>
      <c r="NGO82"/>
      <c r="NGP82"/>
      <c r="NGQ82"/>
      <c r="NGR82"/>
      <c r="NGS82"/>
      <c r="NGT82"/>
      <c r="NGU82"/>
      <c r="NGV82"/>
      <c r="NGW82"/>
      <c r="NGX82"/>
      <c r="NGY82"/>
      <c r="NGZ82"/>
      <c r="NHA82"/>
      <c r="NHB82"/>
      <c r="NHC82"/>
      <c r="NHD82"/>
      <c r="NHE82"/>
      <c r="NHF82"/>
      <c r="NHG82"/>
      <c r="NHH82"/>
      <c r="NHI82"/>
      <c r="NHJ82"/>
      <c r="NHK82"/>
      <c r="NHL82"/>
      <c r="NHM82"/>
      <c r="NHN82"/>
      <c r="NHO82"/>
      <c r="NHP82"/>
      <c r="NHQ82"/>
      <c r="NHR82"/>
      <c r="NHS82"/>
      <c r="NHT82"/>
      <c r="NHU82"/>
      <c r="NHV82"/>
      <c r="NHW82"/>
      <c r="NHX82"/>
      <c r="NHY82"/>
      <c r="NHZ82"/>
      <c r="NIA82"/>
      <c r="NIB82"/>
      <c r="NIC82"/>
      <c r="NID82"/>
      <c r="NIE82"/>
      <c r="NIF82"/>
      <c r="NIG82"/>
      <c r="NIH82"/>
      <c r="NII82"/>
      <c r="NIJ82"/>
      <c r="NIK82"/>
      <c r="NIL82"/>
      <c r="NIM82"/>
      <c r="NIN82"/>
      <c r="NIO82"/>
      <c r="NIP82"/>
      <c r="NIQ82"/>
      <c r="NIR82"/>
      <c r="NIS82"/>
      <c r="NIT82"/>
      <c r="NIU82"/>
      <c r="NIV82"/>
      <c r="NIW82"/>
      <c r="NIX82"/>
      <c r="NIY82"/>
      <c r="NIZ82"/>
      <c r="NJA82"/>
      <c r="NJB82"/>
      <c r="NJC82"/>
      <c r="NJD82"/>
      <c r="NJE82"/>
      <c r="NJF82"/>
      <c r="NJG82"/>
      <c r="NJH82"/>
      <c r="NJI82"/>
      <c r="NJJ82"/>
      <c r="NJK82"/>
      <c r="NJL82"/>
      <c r="NJM82"/>
      <c r="NJN82"/>
      <c r="NJO82"/>
      <c r="NJP82"/>
      <c r="NJQ82"/>
      <c r="NJR82"/>
      <c r="NJS82"/>
      <c r="NJT82"/>
      <c r="NJU82"/>
      <c r="NJV82"/>
      <c r="NJW82"/>
      <c r="NJX82"/>
      <c r="NJY82"/>
      <c r="NJZ82"/>
      <c r="NKA82"/>
      <c r="NKB82"/>
      <c r="NKC82"/>
      <c r="NKD82"/>
      <c r="NKE82"/>
      <c r="NKF82"/>
      <c r="NKG82"/>
      <c r="NKH82"/>
      <c r="NKI82"/>
      <c r="NKJ82"/>
      <c r="NKK82"/>
      <c r="NKL82"/>
      <c r="NKM82"/>
      <c r="NKN82"/>
      <c r="NKO82"/>
      <c r="NKP82"/>
      <c r="NKQ82"/>
      <c r="NKR82"/>
      <c r="NKS82"/>
      <c r="NKT82"/>
      <c r="NKU82"/>
      <c r="NKV82"/>
      <c r="NKW82"/>
      <c r="NKX82"/>
      <c r="NKY82"/>
      <c r="NKZ82"/>
      <c r="NLA82"/>
      <c r="NLB82"/>
      <c r="NLC82"/>
      <c r="NLD82"/>
      <c r="NLE82"/>
      <c r="NLF82"/>
      <c r="NLG82"/>
      <c r="NLH82"/>
      <c r="NLI82"/>
      <c r="NLJ82"/>
      <c r="NLK82"/>
      <c r="NLL82"/>
      <c r="NLM82"/>
      <c r="NLN82"/>
      <c r="NLO82"/>
      <c r="NLP82"/>
      <c r="NLQ82"/>
      <c r="NLR82"/>
      <c r="NLS82"/>
      <c r="NLT82"/>
      <c r="NLU82"/>
      <c r="NLV82"/>
      <c r="NLW82"/>
      <c r="NLX82"/>
      <c r="NLY82"/>
      <c r="NLZ82"/>
      <c r="NMA82"/>
      <c r="NMB82"/>
      <c r="NMC82"/>
      <c r="NMD82"/>
      <c r="NME82"/>
      <c r="NMF82"/>
      <c r="NMG82"/>
      <c r="NMH82"/>
      <c r="NMI82"/>
      <c r="NMJ82"/>
      <c r="NMK82"/>
      <c r="NML82"/>
      <c r="NMM82"/>
      <c r="NMN82"/>
      <c r="NMO82"/>
      <c r="NMP82"/>
      <c r="NMQ82"/>
      <c r="NMR82"/>
      <c r="NMS82"/>
      <c r="NMT82"/>
      <c r="NMU82"/>
      <c r="NMV82"/>
      <c r="NMW82"/>
      <c r="NMX82"/>
      <c r="NMY82"/>
      <c r="NMZ82"/>
      <c r="NNA82"/>
      <c r="NNB82"/>
      <c r="NNC82"/>
      <c r="NND82"/>
      <c r="NNE82"/>
      <c r="NNF82"/>
      <c r="NNG82"/>
      <c r="NNH82"/>
      <c r="NNI82"/>
      <c r="NNJ82"/>
      <c r="NNK82"/>
      <c r="NNL82"/>
      <c r="NNM82"/>
      <c r="NNN82"/>
      <c r="NNO82"/>
      <c r="NNP82"/>
      <c r="NNQ82"/>
      <c r="NNR82"/>
      <c r="NNS82"/>
      <c r="NNT82"/>
      <c r="NNU82"/>
      <c r="NNV82"/>
      <c r="NNW82"/>
      <c r="NNX82"/>
      <c r="NNY82"/>
      <c r="NNZ82"/>
      <c r="NOA82"/>
      <c r="NOB82"/>
      <c r="NOC82"/>
      <c r="NOD82"/>
      <c r="NOE82"/>
      <c r="NOF82"/>
      <c r="NOG82"/>
      <c r="NOH82"/>
      <c r="NOI82"/>
      <c r="NOJ82"/>
      <c r="NOK82"/>
      <c r="NOL82"/>
      <c r="NOM82"/>
      <c r="NON82"/>
      <c r="NOO82"/>
      <c r="NOP82"/>
      <c r="NOQ82"/>
      <c r="NOR82"/>
      <c r="NOS82"/>
      <c r="NOT82"/>
      <c r="NOU82"/>
      <c r="NOV82"/>
      <c r="NOW82"/>
      <c r="NOX82"/>
      <c r="NOY82"/>
      <c r="NOZ82"/>
      <c r="NPA82"/>
      <c r="NPB82"/>
      <c r="NPC82"/>
      <c r="NPD82"/>
      <c r="NPE82"/>
      <c r="NPF82"/>
      <c r="NPG82"/>
      <c r="NPH82"/>
      <c r="NPI82"/>
      <c r="NPJ82"/>
      <c r="NPK82"/>
      <c r="NPL82"/>
      <c r="NPM82"/>
      <c r="NPN82"/>
      <c r="NPO82"/>
      <c r="NPP82"/>
      <c r="NPQ82"/>
      <c r="NPR82"/>
      <c r="NPS82"/>
      <c r="NPT82"/>
      <c r="NPU82"/>
      <c r="NPV82"/>
      <c r="NPW82"/>
      <c r="NPX82"/>
      <c r="NPY82"/>
      <c r="NPZ82"/>
      <c r="NQA82"/>
      <c r="NQB82"/>
      <c r="NQC82"/>
      <c r="NQD82"/>
      <c r="NQE82"/>
      <c r="NQF82"/>
      <c r="NQG82"/>
      <c r="NQH82"/>
      <c r="NQI82"/>
      <c r="NQJ82"/>
      <c r="NQK82"/>
      <c r="NQL82"/>
      <c r="NQM82"/>
      <c r="NQN82"/>
      <c r="NQO82"/>
      <c r="NQP82"/>
      <c r="NQQ82"/>
      <c r="NQR82"/>
      <c r="NQS82"/>
      <c r="NQT82"/>
      <c r="NQU82"/>
      <c r="NQV82"/>
      <c r="NQW82"/>
      <c r="NQX82"/>
      <c r="NQY82"/>
      <c r="NQZ82"/>
      <c r="NRA82"/>
      <c r="NRB82"/>
      <c r="NRC82"/>
      <c r="NRD82"/>
      <c r="NRE82"/>
      <c r="NRF82"/>
      <c r="NRG82"/>
      <c r="NRH82"/>
      <c r="NRI82"/>
      <c r="NRJ82"/>
      <c r="NRK82"/>
      <c r="NRL82"/>
      <c r="NRM82"/>
      <c r="NRN82"/>
      <c r="NRO82"/>
      <c r="NRP82"/>
      <c r="NRQ82"/>
      <c r="NRR82"/>
      <c r="NRS82"/>
      <c r="NRT82"/>
      <c r="NRU82"/>
      <c r="NRV82"/>
      <c r="NRW82"/>
      <c r="NRX82"/>
      <c r="NRY82"/>
      <c r="NRZ82"/>
      <c r="NSA82"/>
      <c r="NSB82"/>
      <c r="NSC82"/>
      <c r="NSD82"/>
      <c r="NSE82"/>
      <c r="NSF82"/>
      <c r="NSG82"/>
      <c r="NSH82"/>
      <c r="NSI82"/>
      <c r="NSJ82"/>
      <c r="NSK82"/>
      <c r="NSL82"/>
      <c r="NSM82"/>
      <c r="NSN82"/>
      <c r="NSO82"/>
      <c r="NSP82"/>
      <c r="NSQ82"/>
      <c r="NSR82"/>
      <c r="NSS82"/>
      <c r="NST82"/>
      <c r="NSU82"/>
      <c r="NSV82"/>
      <c r="NSW82"/>
      <c r="NSX82"/>
      <c r="NSY82"/>
      <c r="NSZ82"/>
      <c r="NTA82"/>
      <c r="NTB82"/>
      <c r="NTC82"/>
      <c r="NTD82"/>
      <c r="NTE82"/>
      <c r="NTF82"/>
      <c r="NTG82"/>
      <c r="NTH82"/>
      <c r="NTI82"/>
      <c r="NTJ82"/>
      <c r="NTK82"/>
      <c r="NTL82"/>
      <c r="NTM82"/>
      <c r="NTN82"/>
      <c r="NTO82"/>
      <c r="NTP82"/>
      <c r="NTQ82"/>
      <c r="NTR82"/>
      <c r="NTS82"/>
      <c r="NTT82"/>
      <c r="NTU82"/>
      <c r="NTV82"/>
      <c r="NTW82"/>
      <c r="NTX82"/>
      <c r="NTY82"/>
      <c r="NTZ82"/>
      <c r="NUA82"/>
      <c r="NUB82"/>
      <c r="NUC82"/>
      <c r="NUD82"/>
      <c r="NUE82"/>
      <c r="NUF82"/>
      <c r="NUG82"/>
      <c r="NUH82"/>
      <c r="NUI82"/>
      <c r="NUJ82"/>
      <c r="NUK82"/>
      <c r="NUL82"/>
      <c r="NUM82"/>
      <c r="NUN82"/>
      <c r="NUO82"/>
      <c r="NUP82"/>
      <c r="NUQ82"/>
      <c r="NUR82"/>
      <c r="NUS82"/>
      <c r="NUT82"/>
      <c r="NUU82"/>
      <c r="NUV82"/>
      <c r="NUW82"/>
      <c r="NUX82"/>
      <c r="NUY82"/>
      <c r="NUZ82"/>
      <c r="NVA82"/>
      <c r="NVB82"/>
      <c r="NVC82"/>
      <c r="NVD82"/>
      <c r="NVE82"/>
      <c r="NVF82"/>
      <c r="NVG82"/>
      <c r="NVH82"/>
      <c r="NVI82"/>
      <c r="NVJ82"/>
      <c r="NVK82"/>
      <c r="NVL82"/>
      <c r="NVM82"/>
      <c r="NVN82"/>
      <c r="NVO82"/>
      <c r="NVP82"/>
      <c r="NVQ82"/>
      <c r="NVR82"/>
      <c r="NVS82"/>
      <c r="NVT82"/>
      <c r="NVU82"/>
      <c r="NVV82"/>
      <c r="NVW82"/>
      <c r="NVX82"/>
      <c r="NVY82"/>
      <c r="NVZ82"/>
      <c r="NWA82"/>
      <c r="NWB82"/>
      <c r="NWC82"/>
      <c r="NWD82"/>
      <c r="NWE82"/>
      <c r="NWF82"/>
      <c r="NWG82"/>
      <c r="NWH82"/>
      <c r="NWI82"/>
      <c r="NWJ82"/>
      <c r="NWK82"/>
      <c r="NWL82"/>
      <c r="NWM82"/>
      <c r="NWN82"/>
      <c r="NWO82"/>
      <c r="NWP82"/>
      <c r="NWQ82"/>
      <c r="NWR82"/>
      <c r="NWS82"/>
      <c r="NWT82"/>
      <c r="NWU82"/>
      <c r="NWV82"/>
      <c r="NWW82"/>
      <c r="NWX82"/>
      <c r="NWY82"/>
      <c r="NWZ82"/>
      <c r="NXA82"/>
      <c r="NXB82"/>
      <c r="NXC82"/>
      <c r="NXD82"/>
      <c r="NXE82"/>
      <c r="NXF82"/>
      <c r="NXG82"/>
      <c r="NXH82"/>
      <c r="NXI82"/>
      <c r="NXJ82"/>
      <c r="NXK82"/>
      <c r="NXL82"/>
      <c r="NXM82"/>
      <c r="NXN82"/>
      <c r="NXO82"/>
      <c r="NXP82"/>
      <c r="NXQ82"/>
      <c r="NXR82"/>
      <c r="NXS82"/>
      <c r="NXT82"/>
      <c r="NXU82"/>
      <c r="NXV82"/>
      <c r="NXW82"/>
      <c r="NXX82"/>
      <c r="NXY82"/>
      <c r="NXZ82"/>
      <c r="NYA82"/>
      <c r="NYB82"/>
      <c r="NYC82"/>
      <c r="NYD82"/>
      <c r="NYE82"/>
      <c r="NYF82"/>
      <c r="NYG82"/>
      <c r="NYH82"/>
      <c r="NYI82"/>
      <c r="NYJ82"/>
      <c r="NYK82"/>
      <c r="NYL82"/>
      <c r="NYM82"/>
      <c r="NYN82"/>
      <c r="NYO82"/>
      <c r="NYP82"/>
      <c r="NYQ82"/>
      <c r="NYR82"/>
      <c r="NYS82"/>
      <c r="NYT82"/>
      <c r="NYU82"/>
      <c r="NYV82"/>
      <c r="NYW82"/>
      <c r="NYX82"/>
      <c r="NYY82"/>
      <c r="NYZ82"/>
      <c r="NZA82"/>
      <c r="NZB82"/>
      <c r="NZC82"/>
      <c r="NZD82"/>
      <c r="NZE82"/>
      <c r="NZF82"/>
      <c r="NZG82"/>
      <c r="NZH82"/>
      <c r="NZI82"/>
      <c r="NZJ82"/>
      <c r="NZK82"/>
      <c r="NZL82"/>
      <c r="NZM82"/>
      <c r="NZN82"/>
      <c r="NZO82"/>
      <c r="NZP82"/>
      <c r="NZQ82"/>
      <c r="NZR82"/>
      <c r="NZS82"/>
      <c r="NZT82"/>
      <c r="NZU82"/>
      <c r="NZV82"/>
      <c r="NZW82"/>
      <c r="NZX82"/>
      <c r="NZY82"/>
      <c r="NZZ82"/>
      <c r="OAA82"/>
      <c r="OAB82"/>
      <c r="OAC82"/>
      <c r="OAD82"/>
      <c r="OAE82"/>
      <c r="OAF82"/>
      <c r="OAG82"/>
      <c r="OAH82"/>
      <c r="OAI82"/>
      <c r="OAJ82"/>
      <c r="OAK82"/>
      <c r="OAL82"/>
      <c r="OAM82"/>
      <c r="OAN82"/>
      <c r="OAO82"/>
      <c r="OAP82"/>
      <c r="OAQ82"/>
      <c r="OAR82"/>
      <c r="OAS82"/>
      <c r="OAT82"/>
      <c r="OAU82"/>
      <c r="OAV82"/>
      <c r="OAW82"/>
      <c r="OAX82"/>
      <c r="OAY82"/>
      <c r="OAZ82"/>
      <c r="OBA82"/>
      <c r="OBB82"/>
      <c r="OBC82"/>
      <c r="OBD82"/>
      <c r="OBE82"/>
      <c r="OBF82"/>
      <c r="OBG82"/>
      <c r="OBH82"/>
      <c r="OBI82"/>
      <c r="OBJ82"/>
      <c r="OBK82"/>
      <c r="OBL82"/>
      <c r="OBM82"/>
      <c r="OBN82"/>
      <c r="OBO82"/>
      <c r="OBP82"/>
      <c r="OBQ82"/>
      <c r="OBR82"/>
      <c r="OBS82"/>
      <c r="OBT82"/>
      <c r="OBU82"/>
      <c r="OBV82"/>
      <c r="OBW82"/>
      <c r="OBX82"/>
      <c r="OBY82"/>
      <c r="OBZ82"/>
      <c r="OCA82"/>
      <c r="OCB82"/>
      <c r="OCC82"/>
      <c r="OCD82"/>
      <c r="OCE82"/>
      <c r="OCF82"/>
      <c r="OCG82"/>
      <c r="OCH82"/>
      <c r="OCI82"/>
      <c r="OCJ82"/>
      <c r="OCK82"/>
      <c r="OCL82"/>
      <c r="OCM82"/>
      <c r="OCN82"/>
      <c r="OCO82"/>
      <c r="OCP82"/>
      <c r="OCQ82"/>
      <c r="OCR82"/>
      <c r="OCS82"/>
      <c r="OCT82"/>
      <c r="OCU82"/>
      <c r="OCV82"/>
      <c r="OCW82"/>
      <c r="OCX82"/>
      <c r="OCY82"/>
      <c r="OCZ82"/>
      <c r="ODA82"/>
      <c r="ODB82"/>
      <c r="ODC82"/>
      <c r="ODD82"/>
      <c r="ODE82"/>
      <c r="ODF82"/>
      <c r="ODG82"/>
      <c r="ODH82"/>
      <c r="ODI82"/>
      <c r="ODJ82"/>
      <c r="ODK82"/>
      <c r="ODL82"/>
      <c r="ODM82"/>
      <c r="ODN82"/>
      <c r="ODO82"/>
      <c r="ODP82"/>
      <c r="ODQ82"/>
      <c r="ODR82"/>
      <c r="ODS82"/>
      <c r="ODT82"/>
      <c r="ODU82"/>
      <c r="ODV82"/>
      <c r="ODW82"/>
      <c r="ODX82"/>
      <c r="ODY82"/>
      <c r="ODZ82"/>
      <c r="OEA82"/>
      <c r="OEB82"/>
      <c r="OEC82"/>
      <c r="OED82"/>
      <c r="OEE82"/>
      <c r="OEF82"/>
      <c r="OEG82"/>
      <c r="OEH82"/>
      <c r="OEI82"/>
      <c r="OEJ82"/>
      <c r="OEK82"/>
      <c r="OEL82"/>
      <c r="OEM82"/>
      <c r="OEN82"/>
      <c r="OEO82"/>
      <c r="OEP82"/>
      <c r="OEQ82"/>
      <c r="OER82"/>
      <c r="OES82"/>
      <c r="OET82"/>
      <c r="OEU82"/>
      <c r="OEV82"/>
      <c r="OEW82"/>
      <c r="OEX82"/>
      <c r="OEY82"/>
      <c r="OEZ82"/>
      <c r="OFA82"/>
      <c r="OFB82"/>
      <c r="OFC82"/>
      <c r="OFD82"/>
      <c r="OFE82"/>
      <c r="OFF82"/>
      <c r="OFG82"/>
      <c r="OFH82"/>
      <c r="OFI82"/>
      <c r="OFJ82"/>
      <c r="OFK82"/>
      <c r="OFL82"/>
      <c r="OFM82"/>
      <c r="OFN82"/>
      <c r="OFO82"/>
      <c r="OFP82"/>
      <c r="OFQ82"/>
      <c r="OFR82"/>
      <c r="OFS82"/>
      <c r="OFT82"/>
      <c r="OFU82"/>
      <c r="OFV82"/>
      <c r="OFW82"/>
      <c r="OFX82"/>
      <c r="OFY82"/>
      <c r="OFZ82"/>
      <c r="OGA82"/>
      <c r="OGB82"/>
      <c r="OGC82"/>
      <c r="OGD82"/>
      <c r="OGE82"/>
      <c r="OGF82"/>
      <c r="OGG82"/>
      <c r="OGH82"/>
      <c r="OGI82"/>
      <c r="OGJ82"/>
      <c r="OGK82"/>
      <c r="OGL82"/>
      <c r="OGM82"/>
      <c r="OGN82"/>
      <c r="OGO82"/>
      <c r="OGP82"/>
      <c r="OGQ82"/>
      <c r="OGR82"/>
      <c r="OGS82"/>
      <c r="OGT82"/>
      <c r="OGU82"/>
      <c r="OGV82"/>
      <c r="OGW82"/>
      <c r="OGX82"/>
      <c r="OGY82"/>
      <c r="OGZ82"/>
      <c r="OHA82"/>
      <c r="OHB82"/>
      <c r="OHC82"/>
      <c r="OHD82"/>
      <c r="OHE82"/>
      <c r="OHF82"/>
      <c r="OHG82"/>
      <c r="OHH82"/>
      <c r="OHI82"/>
      <c r="OHJ82"/>
      <c r="OHK82"/>
      <c r="OHL82"/>
      <c r="OHM82"/>
      <c r="OHN82"/>
      <c r="OHO82"/>
      <c r="OHP82"/>
      <c r="OHQ82"/>
      <c r="OHR82"/>
      <c r="OHS82"/>
      <c r="OHT82"/>
      <c r="OHU82"/>
      <c r="OHV82"/>
      <c r="OHW82"/>
      <c r="OHX82"/>
      <c r="OHY82"/>
      <c r="OHZ82"/>
      <c r="OIA82"/>
      <c r="OIB82"/>
      <c r="OIC82"/>
      <c r="OID82"/>
      <c r="OIE82"/>
      <c r="OIF82"/>
      <c r="OIG82"/>
      <c r="OIH82"/>
      <c r="OII82"/>
      <c r="OIJ82"/>
      <c r="OIK82"/>
      <c r="OIL82"/>
      <c r="OIM82"/>
      <c r="OIN82"/>
      <c r="OIO82"/>
      <c r="OIP82"/>
      <c r="OIQ82"/>
      <c r="OIR82"/>
      <c r="OIS82"/>
      <c r="OIT82"/>
      <c r="OIU82"/>
      <c r="OIV82"/>
      <c r="OIW82"/>
      <c r="OIX82"/>
      <c r="OIY82"/>
      <c r="OIZ82"/>
      <c r="OJA82"/>
      <c r="OJB82"/>
      <c r="OJC82"/>
      <c r="OJD82"/>
      <c r="OJE82"/>
      <c r="OJF82"/>
      <c r="OJG82"/>
      <c r="OJH82"/>
      <c r="OJI82"/>
      <c r="OJJ82"/>
      <c r="OJK82"/>
      <c r="OJL82"/>
      <c r="OJM82"/>
      <c r="OJN82"/>
      <c r="OJO82"/>
      <c r="OJP82"/>
      <c r="OJQ82"/>
      <c r="OJR82"/>
      <c r="OJS82"/>
      <c r="OJT82"/>
      <c r="OJU82"/>
      <c r="OJV82"/>
      <c r="OJW82"/>
      <c r="OJX82"/>
      <c r="OJY82"/>
      <c r="OJZ82"/>
      <c r="OKA82"/>
      <c r="OKB82"/>
      <c r="OKC82"/>
      <c r="OKD82"/>
      <c r="OKE82"/>
      <c r="OKF82"/>
      <c r="OKG82"/>
      <c r="OKH82"/>
      <c r="OKI82"/>
      <c r="OKJ82"/>
      <c r="OKK82"/>
      <c r="OKL82"/>
      <c r="OKM82"/>
      <c r="OKN82"/>
      <c r="OKO82"/>
      <c r="OKP82"/>
      <c r="OKQ82"/>
      <c r="OKR82"/>
      <c r="OKS82"/>
      <c r="OKT82"/>
      <c r="OKU82"/>
      <c r="OKV82"/>
      <c r="OKW82"/>
      <c r="OKX82"/>
      <c r="OKY82"/>
      <c r="OKZ82"/>
      <c r="OLA82"/>
      <c r="OLB82"/>
      <c r="OLC82"/>
      <c r="OLD82"/>
      <c r="OLE82"/>
      <c r="OLF82"/>
      <c r="OLG82"/>
      <c r="OLH82"/>
      <c r="OLI82"/>
      <c r="OLJ82"/>
      <c r="OLK82"/>
      <c r="OLL82"/>
      <c r="OLM82"/>
      <c r="OLN82"/>
      <c r="OLO82"/>
      <c r="OLP82"/>
      <c r="OLQ82"/>
      <c r="OLR82"/>
      <c r="OLS82"/>
      <c r="OLT82"/>
      <c r="OLU82"/>
      <c r="OLV82"/>
      <c r="OLW82"/>
      <c r="OLX82"/>
      <c r="OLY82"/>
      <c r="OLZ82"/>
      <c r="OMA82"/>
      <c r="OMB82"/>
      <c r="OMC82"/>
      <c r="OMD82"/>
      <c r="OME82"/>
      <c r="OMF82"/>
      <c r="OMG82"/>
      <c r="OMH82"/>
      <c r="OMI82"/>
      <c r="OMJ82"/>
      <c r="OMK82"/>
      <c r="OML82"/>
      <c r="OMM82"/>
      <c r="OMN82"/>
      <c r="OMO82"/>
      <c r="OMP82"/>
      <c r="OMQ82"/>
      <c r="OMR82"/>
      <c r="OMS82"/>
      <c r="OMT82"/>
      <c r="OMU82"/>
      <c r="OMV82"/>
      <c r="OMW82"/>
      <c r="OMX82"/>
      <c r="OMY82"/>
      <c r="OMZ82"/>
      <c r="ONA82"/>
      <c r="ONB82"/>
      <c r="ONC82"/>
      <c r="OND82"/>
      <c r="ONE82"/>
      <c r="ONF82"/>
      <c r="ONG82"/>
      <c r="ONH82"/>
      <c r="ONI82"/>
      <c r="ONJ82"/>
      <c r="ONK82"/>
      <c r="ONL82"/>
      <c r="ONM82"/>
      <c r="ONN82"/>
      <c r="ONO82"/>
      <c r="ONP82"/>
      <c r="ONQ82"/>
      <c r="ONR82"/>
      <c r="ONS82"/>
      <c r="ONT82"/>
      <c r="ONU82"/>
      <c r="ONV82"/>
      <c r="ONW82"/>
      <c r="ONX82"/>
      <c r="ONY82"/>
      <c r="ONZ82"/>
      <c r="OOA82"/>
      <c r="OOB82"/>
      <c r="OOC82"/>
      <c r="OOD82"/>
      <c r="OOE82"/>
      <c r="OOF82"/>
      <c r="OOG82"/>
      <c r="OOH82"/>
      <c r="OOI82"/>
      <c r="OOJ82"/>
      <c r="OOK82"/>
      <c r="OOL82"/>
      <c r="OOM82"/>
      <c r="OON82"/>
      <c r="OOO82"/>
      <c r="OOP82"/>
      <c r="OOQ82"/>
      <c r="OOR82"/>
      <c r="OOS82"/>
      <c r="OOT82"/>
      <c r="OOU82"/>
      <c r="OOV82"/>
      <c r="OOW82"/>
      <c r="OOX82"/>
      <c r="OOY82"/>
      <c r="OOZ82"/>
      <c r="OPA82"/>
      <c r="OPB82"/>
      <c r="OPC82"/>
      <c r="OPD82"/>
      <c r="OPE82"/>
      <c r="OPF82"/>
      <c r="OPG82"/>
      <c r="OPH82"/>
      <c r="OPI82"/>
      <c r="OPJ82"/>
      <c r="OPK82"/>
      <c r="OPL82"/>
      <c r="OPM82"/>
      <c r="OPN82"/>
      <c r="OPO82"/>
      <c r="OPP82"/>
      <c r="OPQ82"/>
      <c r="OPR82"/>
      <c r="OPS82"/>
      <c r="OPT82"/>
      <c r="OPU82"/>
      <c r="OPV82"/>
      <c r="OPW82"/>
      <c r="OPX82"/>
      <c r="OPY82"/>
      <c r="OPZ82"/>
      <c r="OQA82"/>
      <c r="OQB82"/>
      <c r="OQC82"/>
      <c r="OQD82"/>
      <c r="OQE82"/>
      <c r="OQF82"/>
      <c r="OQG82"/>
      <c r="OQH82"/>
      <c r="OQI82"/>
      <c r="OQJ82"/>
      <c r="OQK82"/>
      <c r="OQL82"/>
      <c r="OQM82"/>
      <c r="OQN82"/>
      <c r="OQO82"/>
      <c r="OQP82"/>
      <c r="OQQ82"/>
      <c r="OQR82"/>
      <c r="OQS82"/>
      <c r="OQT82"/>
      <c r="OQU82"/>
      <c r="OQV82"/>
      <c r="OQW82"/>
      <c r="OQX82"/>
      <c r="OQY82"/>
      <c r="OQZ82"/>
      <c r="ORA82"/>
      <c r="ORB82"/>
      <c r="ORC82"/>
      <c r="ORD82"/>
      <c r="ORE82"/>
      <c r="ORF82"/>
      <c r="ORG82"/>
      <c r="ORH82"/>
      <c r="ORI82"/>
      <c r="ORJ82"/>
      <c r="ORK82"/>
      <c r="ORL82"/>
      <c r="ORM82"/>
      <c r="ORN82"/>
      <c r="ORO82"/>
      <c r="ORP82"/>
      <c r="ORQ82"/>
      <c r="ORR82"/>
      <c r="ORS82"/>
      <c r="ORT82"/>
      <c r="ORU82"/>
      <c r="ORV82"/>
      <c r="ORW82"/>
      <c r="ORX82"/>
      <c r="ORY82"/>
      <c r="ORZ82"/>
      <c r="OSA82"/>
      <c r="OSB82"/>
      <c r="OSC82"/>
      <c r="OSD82"/>
      <c r="OSE82"/>
      <c r="OSF82"/>
      <c r="OSG82"/>
      <c r="OSH82"/>
      <c r="OSI82"/>
      <c r="OSJ82"/>
      <c r="OSK82"/>
      <c r="OSL82"/>
      <c r="OSM82"/>
      <c r="OSN82"/>
      <c r="OSO82"/>
      <c r="OSP82"/>
      <c r="OSQ82"/>
      <c r="OSR82"/>
      <c r="OSS82"/>
      <c r="OST82"/>
      <c r="OSU82"/>
      <c r="OSV82"/>
      <c r="OSW82"/>
      <c r="OSX82"/>
      <c r="OSY82"/>
      <c r="OSZ82"/>
      <c r="OTA82"/>
      <c r="OTB82"/>
      <c r="OTC82"/>
      <c r="OTD82"/>
      <c r="OTE82"/>
      <c r="OTF82"/>
      <c r="OTG82"/>
      <c r="OTH82"/>
      <c r="OTI82"/>
      <c r="OTJ82"/>
      <c r="OTK82"/>
      <c r="OTL82"/>
      <c r="OTM82"/>
      <c r="OTN82"/>
      <c r="OTO82"/>
      <c r="OTP82"/>
      <c r="OTQ82"/>
      <c r="OTR82"/>
      <c r="OTS82"/>
      <c r="OTT82"/>
      <c r="OTU82"/>
      <c r="OTV82"/>
      <c r="OTW82"/>
      <c r="OTX82"/>
      <c r="OTY82"/>
      <c r="OTZ82"/>
      <c r="OUA82"/>
      <c r="OUB82"/>
      <c r="OUC82"/>
      <c r="OUD82"/>
      <c r="OUE82"/>
      <c r="OUF82"/>
      <c r="OUG82"/>
      <c r="OUH82"/>
      <c r="OUI82"/>
      <c r="OUJ82"/>
      <c r="OUK82"/>
      <c r="OUL82"/>
      <c r="OUM82"/>
      <c r="OUN82"/>
      <c r="OUO82"/>
      <c r="OUP82"/>
      <c r="OUQ82"/>
      <c r="OUR82"/>
      <c r="OUS82"/>
      <c r="OUT82"/>
      <c r="OUU82"/>
      <c r="OUV82"/>
      <c r="OUW82"/>
      <c r="OUX82"/>
      <c r="OUY82"/>
      <c r="OUZ82"/>
      <c r="OVA82"/>
      <c r="OVB82"/>
      <c r="OVC82"/>
      <c r="OVD82"/>
      <c r="OVE82"/>
      <c r="OVF82"/>
      <c r="OVG82"/>
      <c r="OVH82"/>
      <c r="OVI82"/>
      <c r="OVJ82"/>
      <c r="OVK82"/>
      <c r="OVL82"/>
      <c r="OVM82"/>
      <c r="OVN82"/>
      <c r="OVO82"/>
      <c r="OVP82"/>
      <c r="OVQ82"/>
      <c r="OVR82"/>
      <c r="OVS82"/>
      <c r="OVT82"/>
      <c r="OVU82"/>
      <c r="OVV82"/>
      <c r="OVW82"/>
      <c r="OVX82"/>
      <c r="OVY82"/>
      <c r="OVZ82"/>
      <c r="OWA82"/>
      <c r="OWB82"/>
      <c r="OWC82"/>
      <c r="OWD82"/>
      <c r="OWE82"/>
      <c r="OWF82"/>
      <c r="OWG82"/>
      <c r="OWH82"/>
      <c r="OWI82"/>
      <c r="OWJ82"/>
      <c r="OWK82"/>
      <c r="OWL82"/>
      <c r="OWM82"/>
      <c r="OWN82"/>
      <c r="OWO82"/>
      <c r="OWP82"/>
      <c r="OWQ82"/>
      <c r="OWR82"/>
      <c r="OWS82"/>
      <c r="OWT82"/>
      <c r="OWU82"/>
      <c r="OWV82"/>
      <c r="OWW82"/>
      <c r="OWX82"/>
      <c r="OWY82"/>
      <c r="OWZ82"/>
      <c r="OXA82"/>
      <c r="OXB82"/>
      <c r="OXC82"/>
      <c r="OXD82"/>
      <c r="OXE82"/>
      <c r="OXF82"/>
      <c r="OXG82"/>
      <c r="OXH82"/>
      <c r="OXI82"/>
      <c r="OXJ82"/>
      <c r="OXK82"/>
      <c r="OXL82"/>
      <c r="OXM82"/>
      <c r="OXN82"/>
      <c r="OXO82"/>
      <c r="OXP82"/>
      <c r="OXQ82"/>
      <c r="OXR82"/>
      <c r="OXS82"/>
      <c r="OXT82"/>
      <c r="OXU82"/>
      <c r="OXV82"/>
      <c r="OXW82"/>
      <c r="OXX82"/>
      <c r="OXY82"/>
      <c r="OXZ82"/>
      <c r="OYA82"/>
      <c r="OYB82"/>
      <c r="OYC82"/>
      <c r="OYD82"/>
      <c r="OYE82"/>
      <c r="OYF82"/>
      <c r="OYG82"/>
      <c r="OYH82"/>
      <c r="OYI82"/>
      <c r="OYJ82"/>
      <c r="OYK82"/>
      <c r="OYL82"/>
      <c r="OYM82"/>
      <c r="OYN82"/>
      <c r="OYO82"/>
      <c r="OYP82"/>
      <c r="OYQ82"/>
      <c r="OYR82"/>
      <c r="OYS82"/>
      <c r="OYT82"/>
      <c r="OYU82"/>
      <c r="OYV82"/>
      <c r="OYW82"/>
      <c r="OYX82"/>
      <c r="OYY82"/>
      <c r="OYZ82"/>
      <c r="OZA82"/>
      <c r="OZB82"/>
      <c r="OZC82"/>
      <c r="OZD82"/>
      <c r="OZE82"/>
      <c r="OZF82"/>
      <c r="OZG82"/>
      <c r="OZH82"/>
      <c r="OZI82"/>
      <c r="OZJ82"/>
      <c r="OZK82"/>
      <c r="OZL82"/>
      <c r="OZM82"/>
      <c r="OZN82"/>
      <c r="OZO82"/>
      <c r="OZP82"/>
      <c r="OZQ82"/>
      <c r="OZR82"/>
      <c r="OZS82"/>
      <c r="OZT82"/>
      <c r="OZU82"/>
      <c r="OZV82"/>
      <c r="OZW82"/>
      <c r="OZX82"/>
      <c r="OZY82"/>
      <c r="OZZ82"/>
      <c r="PAA82"/>
      <c r="PAB82"/>
      <c r="PAC82"/>
      <c r="PAD82"/>
      <c r="PAE82"/>
      <c r="PAF82"/>
      <c r="PAG82"/>
      <c r="PAH82"/>
      <c r="PAI82"/>
      <c r="PAJ82"/>
      <c r="PAK82"/>
      <c r="PAL82"/>
      <c r="PAM82"/>
      <c r="PAN82"/>
      <c r="PAO82"/>
      <c r="PAP82"/>
      <c r="PAQ82"/>
      <c r="PAR82"/>
      <c r="PAS82"/>
      <c r="PAT82"/>
      <c r="PAU82"/>
      <c r="PAV82"/>
      <c r="PAW82"/>
      <c r="PAX82"/>
      <c r="PAY82"/>
      <c r="PAZ82"/>
      <c r="PBA82"/>
      <c r="PBB82"/>
      <c r="PBC82"/>
      <c r="PBD82"/>
      <c r="PBE82"/>
      <c r="PBF82"/>
      <c r="PBG82"/>
      <c r="PBH82"/>
      <c r="PBI82"/>
      <c r="PBJ82"/>
      <c r="PBK82"/>
      <c r="PBL82"/>
      <c r="PBM82"/>
      <c r="PBN82"/>
      <c r="PBO82"/>
      <c r="PBP82"/>
      <c r="PBQ82"/>
      <c r="PBR82"/>
      <c r="PBS82"/>
      <c r="PBT82"/>
      <c r="PBU82"/>
      <c r="PBV82"/>
      <c r="PBW82"/>
      <c r="PBX82"/>
      <c r="PBY82"/>
      <c r="PBZ82"/>
      <c r="PCA82"/>
      <c r="PCB82"/>
      <c r="PCC82"/>
      <c r="PCD82"/>
      <c r="PCE82"/>
      <c r="PCF82"/>
      <c r="PCG82"/>
      <c r="PCH82"/>
      <c r="PCI82"/>
      <c r="PCJ82"/>
      <c r="PCK82"/>
      <c r="PCL82"/>
      <c r="PCM82"/>
      <c r="PCN82"/>
      <c r="PCO82"/>
      <c r="PCP82"/>
      <c r="PCQ82"/>
      <c r="PCR82"/>
      <c r="PCS82"/>
      <c r="PCT82"/>
      <c r="PCU82"/>
      <c r="PCV82"/>
      <c r="PCW82"/>
      <c r="PCX82"/>
      <c r="PCY82"/>
      <c r="PCZ82"/>
      <c r="PDA82"/>
      <c r="PDB82"/>
      <c r="PDC82"/>
      <c r="PDD82"/>
      <c r="PDE82"/>
      <c r="PDF82"/>
      <c r="PDG82"/>
      <c r="PDH82"/>
      <c r="PDI82"/>
      <c r="PDJ82"/>
      <c r="PDK82"/>
      <c r="PDL82"/>
      <c r="PDM82"/>
      <c r="PDN82"/>
      <c r="PDO82"/>
      <c r="PDP82"/>
      <c r="PDQ82"/>
      <c r="PDR82"/>
      <c r="PDS82"/>
      <c r="PDT82"/>
      <c r="PDU82"/>
      <c r="PDV82"/>
      <c r="PDW82"/>
      <c r="PDX82"/>
      <c r="PDY82"/>
      <c r="PDZ82"/>
      <c r="PEA82"/>
      <c r="PEB82"/>
      <c r="PEC82"/>
      <c r="PED82"/>
      <c r="PEE82"/>
      <c r="PEF82"/>
      <c r="PEG82"/>
      <c r="PEH82"/>
      <c r="PEI82"/>
      <c r="PEJ82"/>
      <c r="PEK82"/>
      <c r="PEL82"/>
      <c r="PEM82"/>
      <c r="PEN82"/>
      <c r="PEO82"/>
      <c r="PEP82"/>
      <c r="PEQ82"/>
      <c r="PER82"/>
      <c r="PES82"/>
      <c r="PET82"/>
      <c r="PEU82"/>
      <c r="PEV82"/>
      <c r="PEW82"/>
      <c r="PEX82"/>
      <c r="PEY82"/>
      <c r="PEZ82"/>
      <c r="PFA82"/>
      <c r="PFB82"/>
      <c r="PFC82"/>
      <c r="PFD82"/>
      <c r="PFE82"/>
      <c r="PFF82"/>
      <c r="PFG82"/>
      <c r="PFH82"/>
      <c r="PFI82"/>
      <c r="PFJ82"/>
      <c r="PFK82"/>
      <c r="PFL82"/>
      <c r="PFM82"/>
      <c r="PFN82"/>
      <c r="PFO82"/>
      <c r="PFP82"/>
      <c r="PFQ82"/>
      <c r="PFR82"/>
      <c r="PFS82"/>
      <c r="PFT82"/>
      <c r="PFU82"/>
      <c r="PFV82"/>
      <c r="PFW82"/>
      <c r="PFX82"/>
      <c r="PFY82"/>
      <c r="PFZ82"/>
      <c r="PGA82"/>
      <c r="PGB82"/>
      <c r="PGC82"/>
      <c r="PGD82"/>
      <c r="PGE82"/>
      <c r="PGF82"/>
      <c r="PGG82"/>
      <c r="PGH82"/>
      <c r="PGI82"/>
      <c r="PGJ82"/>
      <c r="PGK82"/>
      <c r="PGL82"/>
      <c r="PGM82"/>
      <c r="PGN82"/>
      <c r="PGO82"/>
      <c r="PGP82"/>
      <c r="PGQ82"/>
      <c r="PGR82"/>
      <c r="PGS82"/>
      <c r="PGT82"/>
      <c r="PGU82"/>
      <c r="PGV82"/>
      <c r="PGW82"/>
      <c r="PGX82"/>
      <c r="PGY82"/>
      <c r="PGZ82"/>
      <c r="PHA82"/>
      <c r="PHB82"/>
      <c r="PHC82"/>
      <c r="PHD82"/>
      <c r="PHE82"/>
      <c r="PHF82"/>
      <c r="PHG82"/>
      <c r="PHH82"/>
      <c r="PHI82"/>
      <c r="PHJ82"/>
      <c r="PHK82"/>
      <c r="PHL82"/>
      <c r="PHM82"/>
      <c r="PHN82"/>
      <c r="PHO82"/>
      <c r="PHP82"/>
      <c r="PHQ82"/>
      <c r="PHR82"/>
      <c r="PHS82"/>
      <c r="PHT82"/>
      <c r="PHU82"/>
      <c r="PHV82"/>
      <c r="PHW82"/>
      <c r="PHX82"/>
      <c r="PHY82"/>
      <c r="PHZ82"/>
      <c r="PIA82"/>
      <c r="PIB82"/>
      <c r="PIC82"/>
      <c r="PID82"/>
      <c r="PIE82"/>
      <c r="PIF82"/>
      <c r="PIG82"/>
      <c r="PIH82"/>
      <c r="PII82"/>
      <c r="PIJ82"/>
      <c r="PIK82"/>
      <c r="PIL82"/>
      <c r="PIM82"/>
      <c r="PIN82"/>
      <c r="PIO82"/>
      <c r="PIP82"/>
      <c r="PIQ82"/>
      <c r="PIR82"/>
      <c r="PIS82"/>
      <c r="PIT82"/>
      <c r="PIU82"/>
      <c r="PIV82"/>
      <c r="PIW82"/>
      <c r="PIX82"/>
      <c r="PIY82"/>
      <c r="PIZ82"/>
      <c r="PJA82"/>
      <c r="PJB82"/>
      <c r="PJC82"/>
      <c r="PJD82"/>
      <c r="PJE82"/>
      <c r="PJF82"/>
      <c r="PJG82"/>
      <c r="PJH82"/>
      <c r="PJI82"/>
      <c r="PJJ82"/>
      <c r="PJK82"/>
      <c r="PJL82"/>
      <c r="PJM82"/>
      <c r="PJN82"/>
      <c r="PJO82"/>
      <c r="PJP82"/>
      <c r="PJQ82"/>
      <c r="PJR82"/>
      <c r="PJS82"/>
      <c r="PJT82"/>
      <c r="PJU82"/>
      <c r="PJV82"/>
      <c r="PJW82"/>
      <c r="PJX82"/>
      <c r="PJY82"/>
      <c r="PJZ82"/>
      <c r="PKA82"/>
      <c r="PKB82"/>
      <c r="PKC82"/>
      <c r="PKD82"/>
      <c r="PKE82"/>
      <c r="PKF82"/>
      <c r="PKG82"/>
      <c r="PKH82"/>
      <c r="PKI82"/>
      <c r="PKJ82"/>
      <c r="PKK82"/>
      <c r="PKL82"/>
      <c r="PKM82"/>
      <c r="PKN82"/>
      <c r="PKO82"/>
      <c r="PKP82"/>
      <c r="PKQ82"/>
      <c r="PKR82"/>
      <c r="PKS82"/>
      <c r="PKT82"/>
      <c r="PKU82"/>
      <c r="PKV82"/>
      <c r="PKW82"/>
      <c r="PKX82"/>
      <c r="PKY82"/>
      <c r="PKZ82"/>
      <c r="PLA82"/>
      <c r="PLB82"/>
      <c r="PLC82"/>
      <c r="PLD82"/>
      <c r="PLE82"/>
      <c r="PLF82"/>
      <c r="PLG82"/>
      <c r="PLH82"/>
      <c r="PLI82"/>
      <c r="PLJ82"/>
      <c r="PLK82"/>
      <c r="PLL82"/>
      <c r="PLM82"/>
      <c r="PLN82"/>
      <c r="PLO82"/>
      <c r="PLP82"/>
      <c r="PLQ82"/>
      <c r="PLR82"/>
      <c r="PLS82"/>
      <c r="PLT82"/>
      <c r="PLU82"/>
      <c r="PLV82"/>
      <c r="PLW82"/>
      <c r="PLX82"/>
      <c r="PLY82"/>
      <c r="PLZ82"/>
      <c r="PMA82"/>
      <c r="PMB82"/>
      <c r="PMC82"/>
      <c r="PMD82"/>
      <c r="PME82"/>
      <c r="PMF82"/>
      <c r="PMG82"/>
      <c r="PMH82"/>
      <c r="PMI82"/>
      <c r="PMJ82"/>
      <c r="PMK82"/>
      <c r="PML82"/>
      <c r="PMM82"/>
      <c r="PMN82"/>
      <c r="PMO82"/>
      <c r="PMP82"/>
      <c r="PMQ82"/>
      <c r="PMR82"/>
      <c r="PMS82"/>
      <c r="PMT82"/>
      <c r="PMU82"/>
      <c r="PMV82"/>
      <c r="PMW82"/>
      <c r="PMX82"/>
      <c r="PMY82"/>
      <c r="PMZ82"/>
      <c r="PNA82"/>
      <c r="PNB82"/>
      <c r="PNC82"/>
      <c r="PND82"/>
      <c r="PNE82"/>
      <c r="PNF82"/>
      <c r="PNG82"/>
      <c r="PNH82"/>
      <c r="PNI82"/>
      <c r="PNJ82"/>
      <c r="PNK82"/>
      <c r="PNL82"/>
      <c r="PNM82"/>
      <c r="PNN82"/>
      <c r="PNO82"/>
      <c r="PNP82"/>
      <c r="PNQ82"/>
      <c r="PNR82"/>
      <c r="PNS82"/>
      <c r="PNT82"/>
      <c r="PNU82"/>
      <c r="PNV82"/>
      <c r="PNW82"/>
      <c r="PNX82"/>
      <c r="PNY82"/>
      <c r="PNZ82"/>
      <c r="POA82"/>
      <c r="POB82"/>
      <c r="POC82"/>
      <c r="POD82"/>
      <c r="POE82"/>
      <c r="POF82"/>
      <c r="POG82"/>
      <c r="POH82"/>
      <c r="POI82"/>
      <c r="POJ82"/>
      <c r="POK82"/>
      <c r="POL82"/>
      <c r="POM82"/>
      <c r="PON82"/>
      <c r="POO82"/>
      <c r="POP82"/>
      <c r="POQ82"/>
      <c r="POR82"/>
      <c r="POS82"/>
      <c r="POT82"/>
      <c r="POU82"/>
      <c r="POV82"/>
      <c r="POW82"/>
      <c r="POX82"/>
      <c r="POY82"/>
      <c r="POZ82"/>
      <c r="PPA82"/>
      <c r="PPB82"/>
      <c r="PPC82"/>
      <c r="PPD82"/>
      <c r="PPE82"/>
      <c r="PPF82"/>
      <c r="PPG82"/>
      <c r="PPH82"/>
      <c r="PPI82"/>
      <c r="PPJ82"/>
      <c r="PPK82"/>
      <c r="PPL82"/>
      <c r="PPM82"/>
      <c r="PPN82"/>
      <c r="PPO82"/>
      <c r="PPP82"/>
      <c r="PPQ82"/>
      <c r="PPR82"/>
      <c r="PPS82"/>
      <c r="PPT82"/>
      <c r="PPU82"/>
      <c r="PPV82"/>
      <c r="PPW82"/>
      <c r="PPX82"/>
      <c r="PPY82"/>
      <c r="PPZ82"/>
      <c r="PQA82"/>
      <c r="PQB82"/>
      <c r="PQC82"/>
      <c r="PQD82"/>
      <c r="PQE82"/>
      <c r="PQF82"/>
      <c r="PQG82"/>
      <c r="PQH82"/>
      <c r="PQI82"/>
      <c r="PQJ82"/>
      <c r="PQK82"/>
      <c r="PQL82"/>
      <c r="PQM82"/>
      <c r="PQN82"/>
      <c r="PQO82"/>
      <c r="PQP82"/>
      <c r="PQQ82"/>
      <c r="PQR82"/>
      <c r="PQS82"/>
      <c r="PQT82"/>
      <c r="PQU82"/>
      <c r="PQV82"/>
      <c r="PQW82"/>
      <c r="PQX82"/>
      <c r="PQY82"/>
      <c r="PQZ82"/>
      <c r="PRA82"/>
      <c r="PRB82"/>
      <c r="PRC82"/>
      <c r="PRD82"/>
      <c r="PRE82"/>
      <c r="PRF82"/>
      <c r="PRG82"/>
      <c r="PRH82"/>
      <c r="PRI82"/>
      <c r="PRJ82"/>
      <c r="PRK82"/>
      <c r="PRL82"/>
      <c r="PRM82"/>
      <c r="PRN82"/>
      <c r="PRO82"/>
      <c r="PRP82"/>
      <c r="PRQ82"/>
      <c r="PRR82"/>
      <c r="PRS82"/>
      <c r="PRT82"/>
      <c r="PRU82"/>
      <c r="PRV82"/>
      <c r="PRW82"/>
      <c r="PRX82"/>
      <c r="PRY82"/>
      <c r="PRZ82"/>
      <c r="PSA82"/>
      <c r="PSB82"/>
      <c r="PSC82"/>
      <c r="PSD82"/>
      <c r="PSE82"/>
      <c r="PSF82"/>
      <c r="PSG82"/>
      <c r="PSH82"/>
      <c r="PSI82"/>
      <c r="PSJ82"/>
      <c r="PSK82"/>
      <c r="PSL82"/>
      <c r="PSM82"/>
      <c r="PSN82"/>
      <c r="PSO82"/>
      <c r="PSP82"/>
      <c r="PSQ82"/>
      <c r="PSR82"/>
      <c r="PSS82"/>
      <c r="PST82"/>
      <c r="PSU82"/>
      <c r="PSV82"/>
      <c r="PSW82"/>
      <c r="PSX82"/>
      <c r="PSY82"/>
      <c r="PSZ82"/>
      <c r="PTA82"/>
      <c r="PTB82"/>
      <c r="PTC82"/>
      <c r="PTD82"/>
      <c r="PTE82"/>
      <c r="PTF82"/>
      <c r="PTG82"/>
      <c r="PTH82"/>
      <c r="PTI82"/>
      <c r="PTJ82"/>
      <c r="PTK82"/>
      <c r="PTL82"/>
      <c r="PTM82"/>
      <c r="PTN82"/>
      <c r="PTO82"/>
      <c r="PTP82"/>
      <c r="PTQ82"/>
      <c r="PTR82"/>
      <c r="PTS82"/>
      <c r="PTT82"/>
      <c r="PTU82"/>
      <c r="PTV82"/>
      <c r="PTW82"/>
      <c r="PTX82"/>
      <c r="PTY82"/>
      <c r="PTZ82"/>
      <c r="PUA82"/>
      <c r="PUB82"/>
      <c r="PUC82"/>
      <c r="PUD82"/>
      <c r="PUE82"/>
      <c r="PUF82"/>
      <c r="PUG82"/>
      <c r="PUH82"/>
      <c r="PUI82"/>
      <c r="PUJ82"/>
      <c r="PUK82"/>
      <c r="PUL82"/>
      <c r="PUM82"/>
      <c r="PUN82"/>
      <c r="PUO82"/>
      <c r="PUP82"/>
      <c r="PUQ82"/>
      <c r="PUR82"/>
      <c r="PUS82"/>
      <c r="PUT82"/>
      <c r="PUU82"/>
      <c r="PUV82"/>
      <c r="PUW82"/>
      <c r="PUX82"/>
      <c r="PUY82"/>
      <c r="PUZ82"/>
      <c r="PVA82"/>
      <c r="PVB82"/>
      <c r="PVC82"/>
      <c r="PVD82"/>
      <c r="PVE82"/>
      <c r="PVF82"/>
      <c r="PVG82"/>
      <c r="PVH82"/>
      <c r="PVI82"/>
      <c r="PVJ82"/>
      <c r="PVK82"/>
      <c r="PVL82"/>
      <c r="PVM82"/>
      <c r="PVN82"/>
      <c r="PVO82"/>
      <c r="PVP82"/>
      <c r="PVQ82"/>
      <c r="PVR82"/>
      <c r="PVS82"/>
      <c r="PVT82"/>
      <c r="PVU82"/>
      <c r="PVV82"/>
      <c r="PVW82"/>
      <c r="PVX82"/>
      <c r="PVY82"/>
      <c r="PVZ82"/>
      <c r="PWA82"/>
      <c r="PWB82"/>
      <c r="PWC82"/>
      <c r="PWD82"/>
      <c r="PWE82"/>
      <c r="PWF82"/>
      <c r="PWG82"/>
      <c r="PWH82"/>
      <c r="PWI82"/>
      <c r="PWJ82"/>
      <c r="PWK82"/>
      <c r="PWL82"/>
      <c r="PWM82"/>
      <c r="PWN82"/>
      <c r="PWO82"/>
      <c r="PWP82"/>
      <c r="PWQ82"/>
      <c r="PWR82"/>
      <c r="PWS82"/>
      <c r="PWT82"/>
      <c r="PWU82"/>
      <c r="PWV82"/>
      <c r="PWW82"/>
      <c r="PWX82"/>
      <c r="PWY82"/>
      <c r="PWZ82"/>
      <c r="PXA82"/>
      <c r="PXB82"/>
      <c r="PXC82"/>
      <c r="PXD82"/>
      <c r="PXE82"/>
      <c r="PXF82"/>
      <c r="PXG82"/>
      <c r="PXH82"/>
      <c r="PXI82"/>
      <c r="PXJ82"/>
      <c r="PXK82"/>
      <c r="PXL82"/>
      <c r="PXM82"/>
      <c r="PXN82"/>
      <c r="PXO82"/>
      <c r="PXP82"/>
      <c r="PXQ82"/>
      <c r="PXR82"/>
      <c r="PXS82"/>
      <c r="PXT82"/>
      <c r="PXU82"/>
      <c r="PXV82"/>
      <c r="PXW82"/>
      <c r="PXX82"/>
      <c r="PXY82"/>
      <c r="PXZ82"/>
      <c r="PYA82"/>
      <c r="PYB82"/>
      <c r="PYC82"/>
      <c r="PYD82"/>
      <c r="PYE82"/>
      <c r="PYF82"/>
      <c r="PYG82"/>
      <c r="PYH82"/>
      <c r="PYI82"/>
      <c r="PYJ82"/>
      <c r="PYK82"/>
      <c r="PYL82"/>
      <c r="PYM82"/>
      <c r="PYN82"/>
      <c r="PYO82"/>
      <c r="PYP82"/>
      <c r="PYQ82"/>
      <c r="PYR82"/>
      <c r="PYS82"/>
      <c r="PYT82"/>
      <c r="PYU82"/>
      <c r="PYV82"/>
      <c r="PYW82"/>
      <c r="PYX82"/>
      <c r="PYY82"/>
      <c r="PYZ82"/>
      <c r="PZA82"/>
      <c r="PZB82"/>
      <c r="PZC82"/>
      <c r="PZD82"/>
      <c r="PZE82"/>
      <c r="PZF82"/>
      <c r="PZG82"/>
      <c r="PZH82"/>
      <c r="PZI82"/>
      <c r="PZJ82"/>
      <c r="PZK82"/>
      <c r="PZL82"/>
      <c r="PZM82"/>
      <c r="PZN82"/>
      <c r="PZO82"/>
      <c r="PZP82"/>
      <c r="PZQ82"/>
      <c r="PZR82"/>
      <c r="PZS82"/>
      <c r="PZT82"/>
      <c r="PZU82"/>
      <c r="PZV82"/>
      <c r="PZW82"/>
      <c r="PZX82"/>
      <c r="PZY82"/>
      <c r="PZZ82"/>
      <c r="QAA82"/>
      <c r="QAB82"/>
      <c r="QAC82"/>
      <c r="QAD82"/>
      <c r="QAE82"/>
      <c r="QAF82"/>
      <c r="QAG82"/>
      <c r="QAH82"/>
      <c r="QAI82"/>
      <c r="QAJ82"/>
      <c r="QAK82"/>
      <c r="QAL82"/>
      <c r="QAM82"/>
      <c r="QAN82"/>
      <c r="QAO82"/>
      <c r="QAP82"/>
      <c r="QAQ82"/>
      <c r="QAR82"/>
      <c r="QAS82"/>
      <c r="QAT82"/>
      <c r="QAU82"/>
      <c r="QAV82"/>
      <c r="QAW82"/>
      <c r="QAX82"/>
      <c r="QAY82"/>
      <c r="QAZ82"/>
      <c r="QBA82"/>
      <c r="QBB82"/>
      <c r="QBC82"/>
      <c r="QBD82"/>
      <c r="QBE82"/>
      <c r="QBF82"/>
      <c r="QBG82"/>
      <c r="QBH82"/>
      <c r="QBI82"/>
      <c r="QBJ82"/>
      <c r="QBK82"/>
      <c r="QBL82"/>
      <c r="QBM82"/>
      <c r="QBN82"/>
      <c r="QBO82"/>
      <c r="QBP82"/>
      <c r="QBQ82"/>
      <c r="QBR82"/>
      <c r="QBS82"/>
      <c r="QBT82"/>
      <c r="QBU82"/>
      <c r="QBV82"/>
      <c r="QBW82"/>
      <c r="QBX82"/>
      <c r="QBY82"/>
      <c r="QBZ82"/>
      <c r="QCA82"/>
      <c r="QCB82"/>
      <c r="QCC82"/>
      <c r="QCD82"/>
      <c r="QCE82"/>
      <c r="QCF82"/>
      <c r="QCG82"/>
      <c r="QCH82"/>
      <c r="QCI82"/>
      <c r="QCJ82"/>
      <c r="QCK82"/>
      <c r="QCL82"/>
      <c r="QCM82"/>
      <c r="QCN82"/>
      <c r="QCO82"/>
      <c r="QCP82"/>
      <c r="QCQ82"/>
      <c r="QCR82"/>
      <c r="QCS82"/>
      <c r="QCT82"/>
      <c r="QCU82"/>
      <c r="QCV82"/>
      <c r="QCW82"/>
      <c r="QCX82"/>
      <c r="QCY82"/>
      <c r="QCZ82"/>
      <c r="QDA82"/>
      <c r="QDB82"/>
      <c r="QDC82"/>
      <c r="QDD82"/>
      <c r="QDE82"/>
      <c r="QDF82"/>
      <c r="QDG82"/>
      <c r="QDH82"/>
      <c r="QDI82"/>
      <c r="QDJ82"/>
      <c r="QDK82"/>
      <c r="QDL82"/>
      <c r="QDM82"/>
      <c r="QDN82"/>
      <c r="QDO82"/>
      <c r="QDP82"/>
      <c r="QDQ82"/>
      <c r="QDR82"/>
      <c r="QDS82"/>
      <c r="QDT82"/>
      <c r="QDU82"/>
      <c r="QDV82"/>
      <c r="QDW82"/>
      <c r="QDX82"/>
      <c r="QDY82"/>
      <c r="QDZ82"/>
      <c r="QEA82"/>
      <c r="QEB82"/>
      <c r="QEC82"/>
      <c r="QED82"/>
      <c r="QEE82"/>
      <c r="QEF82"/>
      <c r="QEG82"/>
      <c r="QEH82"/>
      <c r="QEI82"/>
      <c r="QEJ82"/>
      <c r="QEK82"/>
      <c r="QEL82"/>
      <c r="QEM82"/>
      <c r="QEN82"/>
      <c r="QEO82"/>
      <c r="QEP82"/>
      <c r="QEQ82"/>
      <c r="QER82"/>
      <c r="QES82"/>
      <c r="QET82"/>
      <c r="QEU82"/>
      <c r="QEV82"/>
      <c r="QEW82"/>
      <c r="QEX82"/>
      <c r="QEY82"/>
      <c r="QEZ82"/>
      <c r="QFA82"/>
      <c r="QFB82"/>
      <c r="QFC82"/>
      <c r="QFD82"/>
      <c r="QFE82"/>
      <c r="QFF82"/>
      <c r="QFG82"/>
      <c r="QFH82"/>
      <c r="QFI82"/>
      <c r="QFJ82"/>
      <c r="QFK82"/>
      <c r="QFL82"/>
      <c r="QFM82"/>
      <c r="QFN82"/>
      <c r="QFO82"/>
      <c r="QFP82"/>
      <c r="QFQ82"/>
      <c r="QFR82"/>
      <c r="QFS82"/>
      <c r="QFT82"/>
      <c r="QFU82"/>
      <c r="QFV82"/>
      <c r="QFW82"/>
      <c r="QFX82"/>
      <c r="QFY82"/>
      <c r="QFZ82"/>
      <c r="QGA82"/>
      <c r="QGB82"/>
      <c r="QGC82"/>
      <c r="QGD82"/>
      <c r="QGE82"/>
      <c r="QGF82"/>
      <c r="QGG82"/>
      <c r="QGH82"/>
      <c r="QGI82"/>
      <c r="QGJ82"/>
      <c r="QGK82"/>
      <c r="QGL82"/>
      <c r="QGM82"/>
      <c r="QGN82"/>
      <c r="QGO82"/>
      <c r="QGP82"/>
      <c r="QGQ82"/>
      <c r="QGR82"/>
      <c r="QGS82"/>
      <c r="QGT82"/>
      <c r="QGU82"/>
      <c r="QGV82"/>
      <c r="QGW82"/>
      <c r="QGX82"/>
      <c r="QGY82"/>
      <c r="QGZ82"/>
      <c r="QHA82"/>
      <c r="QHB82"/>
      <c r="QHC82"/>
      <c r="QHD82"/>
      <c r="QHE82"/>
      <c r="QHF82"/>
      <c r="QHG82"/>
      <c r="QHH82"/>
      <c r="QHI82"/>
      <c r="QHJ82"/>
      <c r="QHK82"/>
      <c r="QHL82"/>
      <c r="QHM82"/>
      <c r="QHN82"/>
      <c r="QHO82"/>
      <c r="QHP82"/>
      <c r="QHQ82"/>
      <c r="QHR82"/>
      <c r="QHS82"/>
      <c r="QHT82"/>
      <c r="QHU82"/>
      <c r="QHV82"/>
      <c r="QHW82"/>
      <c r="QHX82"/>
      <c r="QHY82"/>
      <c r="QHZ82"/>
      <c r="QIA82"/>
      <c r="QIB82"/>
      <c r="QIC82"/>
      <c r="QID82"/>
      <c r="QIE82"/>
      <c r="QIF82"/>
      <c r="QIG82"/>
      <c r="QIH82"/>
      <c r="QII82"/>
      <c r="QIJ82"/>
      <c r="QIK82"/>
      <c r="QIL82"/>
      <c r="QIM82"/>
      <c r="QIN82"/>
      <c r="QIO82"/>
      <c r="QIP82"/>
      <c r="QIQ82"/>
      <c r="QIR82"/>
      <c r="QIS82"/>
      <c r="QIT82"/>
      <c r="QIU82"/>
      <c r="QIV82"/>
      <c r="QIW82"/>
      <c r="QIX82"/>
      <c r="QIY82"/>
      <c r="QIZ82"/>
      <c r="QJA82"/>
      <c r="QJB82"/>
      <c r="QJC82"/>
      <c r="QJD82"/>
      <c r="QJE82"/>
      <c r="QJF82"/>
      <c r="QJG82"/>
      <c r="QJH82"/>
      <c r="QJI82"/>
      <c r="QJJ82"/>
      <c r="QJK82"/>
      <c r="QJL82"/>
      <c r="QJM82"/>
      <c r="QJN82"/>
      <c r="QJO82"/>
      <c r="QJP82"/>
      <c r="QJQ82"/>
      <c r="QJR82"/>
      <c r="QJS82"/>
      <c r="QJT82"/>
      <c r="QJU82"/>
      <c r="QJV82"/>
      <c r="QJW82"/>
      <c r="QJX82"/>
      <c r="QJY82"/>
      <c r="QJZ82"/>
      <c r="QKA82"/>
      <c r="QKB82"/>
      <c r="QKC82"/>
      <c r="QKD82"/>
      <c r="QKE82"/>
      <c r="QKF82"/>
      <c r="QKG82"/>
      <c r="QKH82"/>
      <c r="QKI82"/>
      <c r="QKJ82"/>
      <c r="QKK82"/>
      <c r="QKL82"/>
      <c r="QKM82"/>
      <c r="QKN82"/>
      <c r="QKO82"/>
      <c r="QKP82"/>
      <c r="QKQ82"/>
      <c r="QKR82"/>
      <c r="QKS82"/>
      <c r="QKT82"/>
      <c r="QKU82"/>
      <c r="QKV82"/>
      <c r="QKW82"/>
      <c r="QKX82"/>
      <c r="QKY82"/>
      <c r="QKZ82"/>
      <c r="QLA82"/>
      <c r="QLB82"/>
      <c r="QLC82"/>
      <c r="QLD82"/>
      <c r="QLE82"/>
      <c r="QLF82"/>
      <c r="QLG82"/>
      <c r="QLH82"/>
      <c r="QLI82"/>
      <c r="QLJ82"/>
      <c r="QLK82"/>
      <c r="QLL82"/>
      <c r="QLM82"/>
      <c r="QLN82"/>
      <c r="QLO82"/>
      <c r="QLP82"/>
      <c r="QLQ82"/>
      <c r="QLR82"/>
      <c r="QLS82"/>
      <c r="QLT82"/>
      <c r="QLU82"/>
      <c r="QLV82"/>
      <c r="QLW82"/>
      <c r="QLX82"/>
      <c r="QLY82"/>
      <c r="QLZ82"/>
      <c r="QMA82"/>
      <c r="QMB82"/>
      <c r="QMC82"/>
      <c r="QMD82"/>
      <c r="QME82"/>
      <c r="QMF82"/>
      <c r="QMG82"/>
      <c r="QMH82"/>
      <c r="QMI82"/>
      <c r="QMJ82"/>
      <c r="QMK82"/>
      <c r="QML82"/>
      <c r="QMM82"/>
      <c r="QMN82"/>
      <c r="QMO82"/>
      <c r="QMP82"/>
      <c r="QMQ82"/>
      <c r="QMR82"/>
      <c r="QMS82"/>
      <c r="QMT82"/>
      <c r="QMU82"/>
      <c r="QMV82"/>
      <c r="QMW82"/>
      <c r="QMX82"/>
      <c r="QMY82"/>
      <c r="QMZ82"/>
      <c r="QNA82"/>
      <c r="QNB82"/>
      <c r="QNC82"/>
      <c r="QND82"/>
      <c r="QNE82"/>
      <c r="QNF82"/>
      <c r="QNG82"/>
      <c r="QNH82"/>
      <c r="QNI82"/>
      <c r="QNJ82"/>
      <c r="QNK82"/>
      <c r="QNL82"/>
      <c r="QNM82"/>
      <c r="QNN82"/>
      <c r="QNO82"/>
      <c r="QNP82"/>
      <c r="QNQ82"/>
      <c r="QNR82"/>
      <c r="QNS82"/>
      <c r="QNT82"/>
      <c r="QNU82"/>
      <c r="QNV82"/>
      <c r="QNW82"/>
      <c r="QNX82"/>
      <c r="QNY82"/>
      <c r="QNZ82"/>
      <c r="QOA82"/>
      <c r="QOB82"/>
      <c r="QOC82"/>
      <c r="QOD82"/>
      <c r="QOE82"/>
      <c r="QOF82"/>
      <c r="QOG82"/>
      <c r="QOH82"/>
      <c r="QOI82"/>
      <c r="QOJ82"/>
      <c r="QOK82"/>
      <c r="QOL82"/>
      <c r="QOM82"/>
      <c r="QON82"/>
      <c r="QOO82"/>
      <c r="QOP82"/>
      <c r="QOQ82"/>
      <c r="QOR82"/>
      <c r="QOS82"/>
      <c r="QOT82"/>
      <c r="QOU82"/>
      <c r="QOV82"/>
      <c r="QOW82"/>
      <c r="QOX82"/>
      <c r="QOY82"/>
      <c r="QOZ82"/>
      <c r="QPA82"/>
      <c r="QPB82"/>
      <c r="QPC82"/>
      <c r="QPD82"/>
      <c r="QPE82"/>
      <c r="QPF82"/>
      <c r="QPG82"/>
      <c r="QPH82"/>
      <c r="QPI82"/>
      <c r="QPJ82"/>
      <c r="QPK82"/>
      <c r="QPL82"/>
      <c r="QPM82"/>
      <c r="QPN82"/>
      <c r="QPO82"/>
      <c r="QPP82"/>
      <c r="QPQ82"/>
      <c r="QPR82"/>
      <c r="QPS82"/>
      <c r="QPT82"/>
      <c r="QPU82"/>
      <c r="QPV82"/>
      <c r="QPW82"/>
      <c r="QPX82"/>
      <c r="QPY82"/>
      <c r="QPZ82"/>
      <c r="QQA82"/>
      <c r="QQB82"/>
      <c r="QQC82"/>
      <c r="QQD82"/>
      <c r="QQE82"/>
      <c r="QQF82"/>
      <c r="QQG82"/>
      <c r="QQH82"/>
      <c r="QQI82"/>
      <c r="QQJ82"/>
      <c r="QQK82"/>
      <c r="QQL82"/>
      <c r="QQM82"/>
      <c r="QQN82"/>
      <c r="QQO82"/>
      <c r="QQP82"/>
      <c r="QQQ82"/>
      <c r="QQR82"/>
      <c r="QQS82"/>
      <c r="QQT82"/>
      <c r="QQU82"/>
      <c r="QQV82"/>
      <c r="QQW82"/>
      <c r="QQX82"/>
      <c r="QQY82"/>
      <c r="QQZ82"/>
      <c r="QRA82"/>
      <c r="QRB82"/>
      <c r="QRC82"/>
      <c r="QRD82"/>
      <c r="QRE82"/>
      <c r="QRF82"/>
      <c r="QRG82"/>
      <c r="QRH82"/>
      <c r="QRI82"/>
      <c r="QRJ82"/>
      <c r="QRK82"/>
      <c r="QRL82"/>
      <c r="QRM82"/>
      <c r="QRN82"/>
      <c r="QRO82"/>
      <c r="QRP82"/>
      <c r="QRQ82"/>
      <c r="QRR82"/>
      <c r="QRS82"/>
      <c r="QRT82"/>
      <c r="QRU82"/>
      <c r="QRV82"/>
      <c r="QRW82"/>
      <c r="QRX82"/>
      <c r="QRY82"/>
      <c r="QRZ82"/>
      <c r="QSA82"/>
      <c r="QSB82"/>
      <c r="QSC82"/>
      <c r="QSD82"/>
      <c r="QSE82"/>
      <c r="QSF82"/>
      <c r="QSG82"/>
      <c r="QSH82"/>
      <c r="QSI82"/>
      <c r="QSJ82"/>
      <c r="QSK82"/>
      <c r="QSL82"/>
      <c r="QSM82"/>
      <c r="QSN82"/>
      <c r="QSO82"/>
      <c r="QSP82"/>
      <c r="QSQ82"/>
      <c r="QSR82"/>
      <c r="QSS82"/>
      <c r="QST82"/>
      <c r="QSU82"/>
      <c r="QSV82"/>
      <c r="QSW82"/>
      <c r="QSX82"/>
      <c r="QSY82"/>
      <c r="QSZ82"/>
      <c r="QTA82"/>
      <c r="QTB82"/>
      <c r="QTC82"/>
      <c r="QTD82"/>
      <c r="QTE82"/>
      <c r="QTF82"/>
      <c r="QTG82"/>
      <c r="QTH82"/>
      <c r="QTI82"/>
      <c r="QTJ82"/>
      <c r="QTK82"/>
      <c r="QTL82"/>
      <c r="QTM82"/>
      <c r="QTN82"/>
      <c r="QTO82"/>
      <c r="QTP82"/>
      <c r="QTQ82"/>
      <c r="QTR82"/>
      <c r="QTS82"/>
      <c r="QTT82"/>
      <c r="QTU82"/>
      <c r="QTV82"/>
      <c r="QTW82"/>
      <c r="QTX82"/>
      <c r="QTY82"/>
      <c r="QTZ82"/>
      <c r="QUA82"/>
      <c r="QUB82"/>
      <c r="QUC82"/>
      <c r="QUD82"/>
      <c r="QUE82"/>
      <c r="QUF82"/>
      <c r="QUG82"/>
      <c r="QUH82"/>
      <c r="QUI82"/>
      <c r="QUJ82"/>
      <c r="QUK82"/>
      <c r="QUL82"/>
      <c r="QUM82"/>
      <c r="QUN82"/>
      <c r="QUO82"/>
      <c r="QUP82"/>
      <c r="QUQ82"/>
      <c r="QUR82"/>
      <c r="QUS82"/>
      <c r="QUT82"/>
      <c r="QUU82"/>
      <c r="QUV82"/>
      <c r="QUW82"/>
      <c r="QUX82"/>
      <c r="QUY82"/>
      <c r="QUZ82"/>
      <c r="QVA82"/>
      <c r="QVB82"/>
      <c r="QVC82"/>
      <c r="QVD82"/>
      <c r="QVE82"/>
      <c r="QVF82"/>
      <c r="QVG82"/>
      <c r="QVH82"/>
      <c r="QVI82"/>
      <c r="QVJ82"/>
      <c r="QVK82"/>
      <c r="QVL82"/>
      <c r="QVM82"/>
      <c r="QVN82"/>
      <c r="QVO82"/>
      <c r="QVP82"/>
      <c r="QVQ82"/>
      <c r="QVR82"/>
      <c r="QVS82"/>
      <c r="QVT82"/>
      <c r="QVU82"/>
      <c r="QVV82"/>
      <c r="QVW82"/>
      <c r="QVX82"/>
      <c r="QVY82"/>
      <c r="QVZ82"/>
      <c r="QWA82"/>
      <c r="QWB82"/>
      <c r="QWC82"/>
      <c r="QWD82"/>
      <c r="QWE82"/>
      <c r="QWF82"/>
      <c r="QWG82"/>
      <c r="QWH82"/>
      <c r="QWI82"/>
      <c r="QWJ82"/>
      <c r="QWK82"/>
      <c r="QWL82"/>
      <c r="QWM82"/>
      <c r="QWN82"/>
      <c r="QWO82"/>
      <c r="QWP82"/>
      <c r="QWQ82"/>
      <c r="QWR82"/>
      <c r="QWS82"/>
      <c r="QWT82"/>
      <c r="QWU82"/>
      <c r="QWV82"/>
      <c r="QWW82"/>
      <c r="QWX82"/>
      <c r="QWY82"/>
      <c r="QWZ82"/>
      <c r="QXA82"/>
      <c r="QXB82"/>
      <c r="QXC82"/>
      <c r="QXD82"/>
      <c r="QXE82"/>
      <c r="QXF82"/>
      <c r="QXG82"/>
      <c r="QXH82"/>
      <c r="QXI82"/>
      <c r="QXJ82"/>
      <c r="QXK82"/>
      <c r="QXL82"/>
      <c r="QXM82"/>
      <c r="QXN82"/>
      <c r="QXO82"/>
      <c r="QXP82"/>
      <c r="QXQ82"/>
      <c r="QXR82"/>
      <c r="QXS82"/>
      <c r="QXT82"/>
      <c r="QXU82"/>
      <c r="QXV82"/>
      <c r="QXW82"/>
      <c r="QXX82"/>
      <c r="QXY82"/>
      <c r="QXZ82"/>
      <c r="QYA82"/>
      <c r="QYB82"/>
      <c r="QYC82"/>
      <c r="QYD82"/>
      <c r="QYE82"/>
      <c r="QYF82"/>
      <c r="QYG82"/>
      <c r="QYH82"/>
      <c r="QYI82"/>
      <c r="QYJ82"/>
      <c r="QYK82"/>
      <c r="QYL82"/>
      <c r="QYM82"/>
      <c r="QYN82"/>
      <c r="QYO82"/>
      <c r="QYP82"/>
      <c r="QYQ82"/>
      <c r="QYR82"/>
      <c r="QYS82"/>
      <c r="QYT82"/>
      <c r="QYU82"/>
      <c r="QYV82"/>
      <c r="QYW82"/>
      <c r="QYX82"/>
      <c r="QYY82"/>
      <c r="QYZ82"/>
      <c r="QZA82"/>
      <c r="QZB82"/>
      <c r="QZC82"/>
      <c r="QZD82"/>
      <c r="QZE82"/>
      <c r="QZF82"/>
      <c r="QZG82"/>
      <c r="QZH82"/>
      <c r="QZI82"/>
      <c r="QZJ82"/>
      <c r="QZK82"/>
      <c r="QZL82"/>
      <c r="QZM82"/>
      <c r="QZN82"/>
      <c r="QZO82"/>
      <c r="QZP82"/>
      <c r="QZQ82"/>
      <c r="QZR82"/>
      <c r="QZS82"/>
      <c r="QZT82"/>
      <c r="QZU82"/>
      <c r="QZV82"/>
      <c r="QZW82"/>
      <c r="QZX82"/>
      <c r="QZY82"/>
      <c r="QZZ82"/>
      <c r="RAA82"/>
      <c r="RAB82"/>
      <c r="RAC82"/>
      <c r="RAD82"/>
      <c r="RAE82"/>
      <c r="RAF82"/>
      <c r="RAG82"/>
      <c r="RAH82"/>
      <c r="RAI82"/>
      <c r="RAJ82"/>
      <c r="RAK82"/>
      <c r="RAL82"/>
      <c r="RAM82"/>
      <c r="RAN82"/>
      <c r="RAO82"/>
      <c r="RAP82"/>
      <c r="RAQ82"/>
      <c r="RAR82"/>
      <c r="RAS82"/>
      <c r="RAT82"/>
      <c r="RAU82"/>
      <c r="RAV82"/>
      <c r="RAW82"/>
      <c r="RAX82"/>
      <c r="RAY82"/>
      <c r="RAZ82"/>
      <c r="RBA82"/>
      <c r="RBB82"/>
      <c r="RBC82"/>
      <c r="RBD82"/>
      <c r="RBE82"/>
      <c r="RBF82"/>
      <c r="RBG82"/>
      <c r="RBH82"/>
      <c r="RBI82"/>
      <c r="RBJ82"/>
      <c r="RBK82"/>
      <c r="RBL82"/>
      <c r="RBM82"/>
      <c r="RBN82"/>
      <c r="RBO82"/>
      <c r="RBP82"/>
      <c r="RBQ82"/>
      <c r="RBR82"/>
      <c r="RBS82"/>
      <c r="RBT82"/>
      <c r="RBU82"/>
      <c r="RBV82"/>
      <c r="RBW82"/>
      <c r="RBX82"/>
      <c r="RBY82"/>
      <c r="RBZ82"/>
      <c r="RCA82"/>
      <c r="RCB82"/>
      <c r="RCC82"/>
      <c r="RCD82"/>
      <c r="RCE82"/>
      <c r="RCF82"/>
      <c r="RCG82"/>
      <c r="RCH82"/>
      <c r="RCI82"/>
      <c r="RCJ82"/>
      <c r="RCK82"/>
      <c r="RCL82"/>
      <c r="RCM82"/>
      <c r="RCN82"/>
      <c r="RCO82"/>
      <c r="RCP82"/>
      <c r="RCQ82"/>
      <c r="RCR82"/>
      <c r="RCS82"/>
      <c r="RCT82"/>
      <c r="RCU82"/>
      <c r="RCV82"/>
      <c r="RCW82"/>
      <c r="RCX82"/>
      <c r="RCY82"/>
      <c r="RCZ82"/>
      <c r="RDA82"/>
      <c r="RDB82"/>
      <c r="RDC82"/>
      <c r="RDD82"/>
      <c r="RDE82"/>
      <c r="RDF82"/>
      <c r="RDG82"/>
      <c r="RDH82"/>
      <c r="RDI82"/>
      <c r="RDJ82"/>
      <c r="RDK82"/>
      <c r="RDL82"/>
      <c r="RDM82"/>
      <c r="RDN82"/>
      <c r="RDO82"/>
      <c r="RDP82"/>
      <c r="RDQ82"/>
      <c r="RDR82"/>
      <c r="RDS82"/>
      <c r="RDT82"/>
      <c r="RDU82"/>
      <c r="RDV82"/>
      <c r="RDW82"/>
      <c r="RDX82"/>
      <c r="RDY82"/>
      <c r="RDZ82"/>
      <c r="REA82"/>
      <c r="REB82"/>
      <c r="REC82"/>
      <c r="RED82"/>
      <c r="REE82"/>
      <c r="REF82"/>
      <c r="REG82"/>
      <c r="REH82"/>
      <c r="REI82"/>
      <c r="REJ82"/>
      <c r="REK82"/>
      <c r="REL82"/>
      <c r="REM82"/>
      <c r="REN82"/>
      <c r="REO82"/>
      <c r="REP82"/>
      <c r="REQ82"/>
      <c r="RER82"/>
      <c r="RES82"/>
      <c r="RET82"/>
      <c r="REU82"/>
      <c r="REV82"/>
      <c r="REW82"/>
      <c r="REX82"/>
      <c r="REY82"/>
      <c r="REZ82"/>
      <c r="RFA82"/>
      <c r="RFB82"/>
      <c r="RFC82"/>
      <c r="RFD82"/>
      <c r="RFE82"/>
      <c r="RFF82"/>
      <c r="RFG82"/>
      <c r="RFH82"/>
      <c r="RFI82"/>
      <c r="RFJ82"/>
      <c r="RFK82"/>
      <c r="RFL82"/>
      <c r="RFM82"/>
      <c r="RFN82"/>
      <c r="RFO82"/>
      <c r="RFP82"/>
      <c r="RFQ82"/>
      <c r="RFR82"/>
      <c r="RFS82"/>
      <c r="RFT82"/>
      <c r="RFU82"/>
      <c r="RFV82"/>
      <c r="RFW82"/>
      <c r="RFX82"/>
      <c r="RFY82"/>
      <c r="RFZ82"/>
      <c r="RGA82"/>
      <c r="RGB82"/>
      <c r="RGC82"/>
      <c r="RGD82"/>
      <c r="RGE82"/>
      <c r="RGF82"/>
      <c r="RGG82"/>
      <c r="RGH82"/>
      <c r="RGI82"/>
      <c r="RGJ82"/>
      <c r="RGK82"/>
      <c r="RGL82"/>
      <c r="RGM82"/>
      <c r="RGN82"/>
      <c r="RGO82"/>
      <c r="RGP82"/>
      <c r="RGQ82"/>
      <c r="RGR82"/>
      <c r="RGS82"/>
      <c r="RGT82"/>
      <c r="RGU82"/>
      <c r="RGV82"/>
      <c r="RGW82"/>
      <c r="RGX82"/>
      <c r="RGY82"/>
      <c r="RGZ82"/>
      <c r="RHA82"/>
      <c r="RHB82"/>
      <c r="RHC82"/>
      <c r="RHD82"/>
      <c r="RHE82"/>
      <c r="RHF82"/>
      <c r="RHG82"/>
      <c r="RHH82"/>
      <c r="RHI82"/>
      <c r="RHJ82"/>
      <c r="RHK82"/>
      <c r="RHL82"/>
      <c r="RHM82"/>
      <c r="RHN82"/>
      <c r="RHO82"/>
      <c r="RHP82"/>
      <c r="RHQ82"/>
      <c r="RHR82"/>
      <c r="RHS82"/>
      <c r="RHT82"/>
      <c r="RHU82"/>
      <c r="RHV82"/>
      <c r="RHW82"/>
      <c r="RHX82"/>
      <c r="RHY82"/>
      <c r="RHZ82"/>
      <c r="RIA82"/>
      <c r="RIB82"/>
      <c r="RIC82"/>
      <c r="RID82"/>
      <c r="RIE82"/>
      <c r="RIF82"/>
      <c r="RIG82"/>
      <c r="RIH82"/>
      <c r="RII82"/>
      <c r="RIJ82"/>
      <c r="RIK82"/>
      <c r="RIL82"/>
      <c r="RIM82"/>
      <c r="RIN82"/>
      <c r="RIO82"/>
      <c r="RIP82"/>
      <c r="RIQ82"/>
      <c r="RIR82"/>
      <c r="RIS82"/>
      <c r="RIT82"/>
      <c r="RIU82"/>
      <c r="RIV82"/>
      <c r="RIW82"/>
      <c r="RIX82"/>
      <c r="RIY82"/>
      <c r="RIZ82"/>
      <c r="RJA82"/>
      <c r="RJB82"/>
      <c r="RJC82"/>
      <c r="RJD82"/>
      <c r="RJE82"/>
      <c r="RJF82"/>
      <c r="RJG82"/>
      <c r="RJH82"/>
      <c r="RJI82"/>
      <c r="RJJ82"/>
      <c r="RJK82"/>
      <c r="RJL82"/>
      <c r="RJM82"/>
      <c r="RJN82"/>
      <c r="RJO82"/>
      <c r="RJP82"/>
      <c r="RJQ82"/>
      <c r="RJR82"/>
      <c r="RJS82"/>
      <c r="RJT82"/>
      <c r="RJU82"/>
      <c r="RJV82"/>
      <c r="RJW82"/>
      <c r="RJX82"/>
      <c r="RJY82"/>
      <c r="RJZ82"/>
      <c r="RKA82"/>
      <c r="RKB82"/>
      <c r="RKC82"/>
      <c r="RKD82"/>
      <c r="RKE82"/>
      <c r="RKF82"/>
      <c r="RKG82"/>
      <c r="RKH82"/>
      <c r="RKI82"/>
      <c r="RKJ82"/>
      <c r="RKK82"/>
      <c r="RKL82"/>
      <c r="RKM82"/>
      <c r="RKN82"/>
      <c r="RKO82"/>
      <c r="RKP82"/>
      <c r="RKQ82"/>
      <c r="RKR82"/>
      <c r="RKS82"/>
      <c r="RKT82"/>
      <c r="RKU82"/>
      <c r="RKV82"/>
      <c r="RKW82"/>
      <c r="RKX82"/>
      <c r="RKY82"/>
      <c r="RKZ82"/>
      <c r="RLA82"/>
      <c r="RLB82"/>
      <c r="RLC82"/>
      <c r="RLD82"/>
      <c r="RLE82"/>
      <c r="RLF82"/>
      <c r="RLG82"/>
      <c r="RLH82"/>
      <c r="RLI82"/>
      <c r="RLJ82"/>
      <c r="RLK82"/>
      <c r="RLL82"/>
      <c r="RLM82"/>
      <c r="RLN82"/>
      <c r="RLO82"/>
      <c r="RLP82"/>
      <c r="RLQ82"/>
      <c r="RLR82"/>
      <c r="RLS82"/>
      <c r="RLT82"/>
      <c r="RLU82"/>
      <c r="RLV82"/>
      <c r="RLW82"/>
      <c r="RLX82"/>
      <c r="RLY82"/>
      <c r="RLZ82"/>
      <c r="RMA82"/>
      <c r="RMB82"/>
      <c r="RMC82"/>
      <c r="RMD82"/>
      <c r="RME82"/>
      <c r="RMF82"/>
      <c r="RMG82"/>
      <c r="RMH82"/>
      <c r="RMI82"/>
      <c r="RMJ82"/>
      <c r="RMK82"/>
      <c r="RML82"/>
      <c r="RMM82"/>
      <c r="RMN82"/>
      <c r="RMO82"/>
      <c r="RMP82"/>
      <c r="RMQ82"/>
      <c r="RMR82"/>
      <c r="RMS82"/>
      <c r="RMT82"/>
      <c r="RMU82"/>
      <c r="RMV82"/>
      <c r="RMW82"/>
      <c r="RMX82"/>
      <c r="RMY82"/>
      <c r="RMZ82"/>
      <c r="RNA82"/>
      <c r="RNB82"/>
      <c r="RNC82"/>
      <c r="RND82"/>
      <c r="RNE82"/>
      <c r="RNF82"/>
      <c r="RNG82"/>
      <c r="RNH82"/>
      <c r="RNI82"/>
      <c r="RNJ82"/>
      <c r="RNK82"/>
      <c r="RNL82"/>
      <c r="RNM82"/>
      <c r="RNN82"/>
      <c r="RNO82"/>
      <c r="RNP82"/>
      <c r="RNQ82"/>
      <c r="RNR82"/>
      <c r="RNS82"/>
      <c r="RNT82"/>
      <c r="RNU82"/>
      <c r="RNV82"/>
      <c r="RNW82"/>
      <c r="RNX82"/>
      <c r="RNY82"/>
      <c r="RNZ82"/>
      <c r="ROA82"/>
      <c r="ROB82"/>
      <c r="ROC82"/>
      <c r="ROD82"/>
      <c r="ROE82"/>
      <c r="ROF82"/>
      <c r="ROG82"/>
      <c r="ROH82"/>
      <c r="ROI82"/>
      <c r="ROJ82"/>
      <c r="ROK82"/>
      <c r="ROL82"/>
      <c r="ROM82"/>
      <c r="RON82"/>
      <c r="ROO82"/>
      <c r="ROP82"/>
      <c r="ROQ82"/>
      <c r="ROR82"/>
      <c r="ROS82"/>
      <c r="ROT82"/>
      <c r="ROU82"/>
      <c r="ROV82"/>
      <c r="ROW82"/>
      <c r="ROX82"/>
      <c r="ROY82"/>
      <c r="ROZ82"/>
      <c r="RPA82"/>
      <c r="RPB82"/>
      <c r="RPC82"/>
      <c r="RPD82"/>
      <c r="RPE82"/>
      <c r="RPF82"/>
      <c r="RPG82"/>
      <c r="RPH82"/>
      <c r="RPI82"/>
      <c r="RPJ82"/>
      <c r="RPK82"/>
      <c r="RPL82"/>
      <c r="RPM82"/>
      <c r="RPN82"/>
      <c r="RPO82"/>
      <c r="RPP82"/>
      <c r="RPQ82"/>
      <c r="RPR82"/>
      <c r="RPS82"/>
      <c r="RPT82"/>
      <c r="RPU82"/>
      <c r="RPV82"/>
      <c r="RPW82"/>
      <c r="RPX82"/>
      <c r="RPY82"/>
      <c r="RPZ82"/>
      <c r="RQA82"/>
      <c r="RQB82"/>
      <c r="RQC82"/>
      <c r="RQD82"/>
      <c r="RQE82"/>
      <c r="RQF82"/>
      <c r="RQG82"/>
      <c r="RQH82"/>
      <c r="RQI82"/>
      <c r="RQJ82"/>
      <c r="RQK82"/>
      <c r="RQL82"/>
      <c r="RQM82"/>
      <c r="RQN82"/>
      <c r="RQO82"/>
      <c r="RQP82"/>
      <c r="RQQ82"/>
      <c r="RQR82"/>
      <c r="RQS82"/>
      <c r="RQT82"/>
      <c r="RQU82"/>
      <c r="RQV82"/>
      <c r="RQW82"/>
      <c r="RQX82"/>
      <c r="RQY82"/>
      <c r="RQZ82"/>
      <c r="RRA82"/>
      <c r="RRB82"/>
      <c r="RRC82"/>
      <c r="RRD82"/>
      <c r="RRE82"/>
      <c r="RRF82"/>
      <c r="RRG82"/>
      <c r="RRH82"/>
      <c r="RRI82"/>
      <c r="RRJ82"/>
      <c r="RRK82"/>
      <c r="RRL82"/>
      <c r="RRM82"/>
      <c r="RRN82"/>
      <c r="RRO82"/>
      <c r="RRP82"/>
      <c r="RRQ82"/>
      <c r="RRR82"/>
      <c r="RRS82"/>
      <c r="RRT82"/>
      <c r="RRU82"/>
      <c r="RRV82"/>
      <c r="RRW82"/>
      <c r="RRX82"/>
      <c r="RRY82"/>
      <c r="RRZ82"/>
      <c r="RSA82"/>
      <c r="RSB82"/>
      <c r="RSC82"/>
      <c r="RSD82"/>
      <c r="RSE82"/>
      <c r="RSF82"/>
      <c r="RSG82"/>
      <c r="RSH82"/>
      <c r="RSI82"/>
      <c r="RSJ82"/>
      <c r="RSK82"/>
      <c r="RSL82"/>
      <c r="RSM82"/>
      <c r="RSN82"/>
      <c r="RSO82"/>
      <c r="RSP82"/>
      <c r="RSQ82"/>
      <c r="RSR82"/>
      <c r="RSS82"/>
      <c r="RST82"/>
      <c r="RSU82"/>
      <c r="RSV82"/>
      <c r="RSW82"/>
      <c r="RSX82"/>
      <c r="RSY82"/>
      <c r="RSZ82"/>
      <c r="RTA82"/>
      <c r="RTB82"/>
      <c r="RTC82"/>
      <c r="RTD82"/>
      <c r="RTE82"/>
      <c r="RTF82"/>
      <c r="RTG82"/>
      <c r="RTH82"/>
      <c r="RTI82"/>
      <c r="RTJ82"/>
      <c r="RTK82"/>
      <c r="RTL82"/>
      <c r="RTM82"/>
      <c r="RTN82"/>
      <c r="RTO82"/>
      <c r="RTP82"/>
      <c r="RTQ82"/>
      <c r="RTR82"/>
      <c r="RTS82"/>
      <c r="RTT82"/>
      <c r="RTU82"/>
      <c r="RTV82"/>
      <c r="RTW82"/>
      <c r="RTX82"/>
      <c r="RTY82"/>
      <c r="RTZ82"/>
      <c r="RUA82"/>
      <c r="RUB82"/>
      <c r="RUC82"/>
      <c r="RUD82"/>
      <c r="RUE82"/>
      <c r="RUF82"/>
      <c r="RUG82"/>
      <c r="RUH82"/>
      <c r="RUI82"/>
      <c r="RUJ82"/>
      <c r="RUK82"/>
      <c r="RUL82"/>
      <c r="RUM82"/>
      <c r="RUN82"/>
      <c r="RUO82"/>
      <c r="RUP82"/>
      <c r="RUQ82"/>
      <c r="RUR82"/>
      <c r="RUS82"/>
      <c r="RUT82"/>
      <c r="RUU82"/>
      <c r="RUV82"/>
      <c r="RUW82"/>
      <c r="RUX82"/>
      <c r="RUY82"/>
      <c r="RUZ82"/>
      <c r="RVA82"/>
      <c r="RVB82"/>
      <c r="RVC82"/>
      <c r="RVD82"/>
      <c r="RVE82"/>
      <c r="RVF82"/>
      <c r="RVG82"/>
      <c r="RVH82"/>
      <c r="RVI82"/>
      <c r="RVJ82"/>
      <c r="RVK82"/>
      <c r="RVL82"/>
      <c r="RVM82"/>
      <c r="RVN82"/>
      <c r="RVO82"/>
      <c r="RVP82"/>
      <c r="RVQ82"/>
      <c r="RVR82"/>
      <c r="RVS82"/>
      <c r="RVT82"/>
      <c r="RVU82"/>
      <c r="RVV82"/>
      <c r="RVW82"/>
      <c r="RVX82"/>
      <c r="RVY82"/>
      <c r="RVZ82"/>
      <c r="RWA82"/>
      <c r="RWB82"/>
      <c r="RWC82"/>
      <c r="RWD82"/>
      <c r="RWE82"/>
      <c r="RWF82"/>
      <c r="RWG82"/>
      <c r="RWH82"/>
      <c r="RWI82"/>
      <c r="RWJ82"/>
      <c r="RWK82"/>
      <c r="RWL82"/>
      <c r="RWM82"/>
      <c r="RWN82"/>
      <c r="RWO82"/>
      <c r="RWP82"/>
      <c r="RWQ82"/>
      <c r="RWR82"/>
      <c r="RWS82"/>
      <c r="RWT82"/>
      <c r="RWU82"/>
      <c r="RWV82"/>
      <c r="RWW82"/>
      <c r="RWX82"/>
      <c r="RWY82"/>
      <c r="RWZ82"/>
      <c r="RXA82"/>
      <c r="RXB82"/>
      <c r="RXC82"/>
      <c r="RXD82"/>
      <c r="RXE82"/>
      <c r="RXF82"/>
      <c r="RXG82"/>
      <c r="RXH82"/>
      <c r="RXI82"/>
      <c r="RXJ82"/>
      <c r="RXK82"/>
      <c r="RXL82"/>
      <c r="RXM82"/>
      <c r="RXN82"/>
      <c r="RXO82"/>
      <c r="RXP82"/>
      <c r="RXQ82"/>
      <c r="RXR82"/>
      <c r="RXS82"/>
      <c r="RXT82"/>
      <c r="RXU82"/>
      <c r="RXV82"/>
      <c r="RXW82"/>
      <c r="RXX82"/>
      <c r="RXY82"/>
      <c r="RXZ82"/>
      <c r="RYA82"/>
      <c r="RYB82"/>
      <c r="RYC82"/>
      <c r="RYD82"/>
      <c r="RYE82"/>
      <c r="RYF82"/>
      <c r="RYG82"/>
      <c r="RYH82"/>
      <c r="RYI82"/>
      <c r="RYJ82"/>
      <c r="RYK82"/>
      <c r="RYL82"/>
      <c r="RYM82"/>
      <c r="RYN82"/>
      <c r="RYO82"/>
      <c r="RYP82"/>
      <c r="RYQ82"/>
      <c r="RYR82"/>
      <c r="RYS82"/>
      <c r="RYT82"/>
      <c r="RYU82"/>
      <c r="RYV82"/>
      <c r="RYW82"/>
      <c r="RYX82"/>
      <c r="RYY82"/>
      <c r="RYZ82"/>
      <c r="RZA82"/>
      <c r="RZB82"/>
      <c r="RZC82"/>
      <c r="RZD82"/>
      <c r="RZE82"/>
      <c r="RZF82"/>
      <c r="RZG82"/>
      <c r="RZH82"/>
      <c r="RZI82"/>
      <c r="RZJ82"/>
      <c r="RZK82"/>
      <c r="RZL82"/>
      <c r="RZM82"/>
      <c r="RZN82"/>
      <c r="RZO82"/>
      <c r="RZP82"/>
      <c r="RZQ82"/>
      <c r="RZR82"/>
      <c r="RZS82"/>
      <c r="RZT82"/>
      <c r="RZU82"/>
      <c r="RZV82"/>
      <c r="RZW82"/>
      <c r="RZX82"/>
      <c r="RZY82"/>
      <c r="RZZ82"/>
      <c r="SAA82"/>
      <c r="SAB82"/>
      <c r="SAC82"/>
      <c r="SAD82"/>
      <c r="SAE82"/>
      <c r="SAF82"/>
      <c r="SAG82"/>
      <c r="SAH82"/>
      <c r="SAI82"/>
      <c r="SAJ82"/>
      <c r="SAK82"/>
      <c r="SAL82"/>
      <c r="SAM82"/>
      <c r="SAN82"/>
      <c r="SAO82"/>
      <c r="SAP82"/>
      <c r="SAQ82"/>
      <c r="SAR82"/>
      <c r="SAS82"/>
      <c r="SAT82"/>
      <c r="SAU82"/>
      <c r="SAV82"/>
      <c r="SAW82"/>
      <c r="SAX82"/>
      <c r="SAY82"/>
      <c r="SAZ82"/>
      <c r="SBA82"/>
      <c r="SBB82"/>
      <c r="SBC82"/>
      <c r="SBD82"/>
      <c r="SBE82"/>
      <c r="SBF82"/>
      <c r="SBG82"/>
      <c r="SBH82"/>
      <c r="SBI82"/>
      <c r="SBJ82"/>
      <c r="SBK82"/>
      <c r="SBL82"/>
      <c r="SBM82"/>
      <c r="SBN82"/>
      <c r="SBO82"/>
      <c r="SBP82"/>
      <c r="SBQ82"/>
      <c r="SBR82"/>
      <c r="SBS82"/>
      <c r="SBT82"/>
      <c r="SBU82"/>
      <c r="SBV82"/>
      <c r="SBW82"/>
      <c r="SBX82"/>
      <c r="SBY82"/>
      <c r="SBZ82"/>
      <c r="SCA82"/>
      <c r="SCB82"/>
      <c r="SCC82"/>
      <c r="SCD82"/>
      <c r="SCE82"/>
      <c r="SCF82"/>
      <c r="SCG82"/>
      <c r="SCH82"/>
      <c r="SCI82"/>
      <c r="SCJ82"/>
      <c r="SCK82"/>
      <c r="SCL82"/>
      <c r="SCM82"/>
      <c r="SCN82"/>
      <c r="SCO82"/>
      <c r="SCP82"/>
      <c r="SCQ82"/>
      <c r="SCR82"/>
      <c r="SCS82"/>
      <c r="SCT82"/>
      <c r="SCU82"/>
      <c r="SCV82"/>
      <c r="SCW82"/>
      <c r="SCX82"/>
      <c r="SCY82"/>
      <c r="SCZ82"/>
      <c r="SDA82"/>
      <c r="SDB82"/>
      <c r="SDC82"/>
      <c r="SDD82"/>
      <c r="SDE82"/>
      <c r="SDF82"/>
      <c r="SDG82"/>
      <c r="SDH82"/>
      <c r="SDI82"/>
      <c r="SDJ82"/>
      <c r="SDK82"/>
      <c r="SDL82"/>
      <c r="SDM82"/>
      <c r="SDN82"/>
      <c r="SDO82"/>
      <c r="SDP82"/>
      <c r="SDQ82"/>
      <c r="SDR82"/>
      <c r="SDS82"/>
      <c r="SDT82"/>
      <c r="SDU82"/>
      <c r="SDV82"/>
      <c r="SDW82"/>
      <c r="SDX82"/>
      <c r="SDY82"/>
      <c r="SDZ82"/>
      <c r="SEA82"/>
      <c r="SEB82"/>
      <c r="SEC82"/>
      <c r="SED82"/>
      <c r="SEE82"/>
      <c r="SEF82"/>
      <c r="SEG82"/>
      <c r="SEH82"/>
      <c r="SEI82"/>
      <c r="SEJ82"/>
      <c r="SEK82"/>
      <c r="SEL82"/>
      <c r="SEM82"/>
      <c r="SEN82"/>
      <c r="SEO82"/>
      <c r="SEP82"/>
      <c r="SEQ82"/>
      <c r="SER82"/>
      <c r="SES82"/>
      <c r="SET82"/>
      <c r="SEU82"/>
      <c r="SEV82"/>
      <c r="SEW82"/>
      <c r="SEX82"/>
      <c r="SEY82"/>
      <c r="SEZ82"/>
      <c r="SFA82"/>
      <c r="SFB82"/>
      <c r="SFC82"/>
      <c r="SFD82"/>
      <c r="SFE82"/>
      <c r="SFF82"/>
      <c r="SFG82"/>
      <c r="SFH82"/>
      <c r="SFI82"/>
      <c r="SFJ82"/>
      <c r="SFK82"/>
      <c r="SFL82"/>
      <c r="SFM82"/>
      <c r="SFN82"/>
      <c r="SFO82"/>
      <c r="SFP82"/>
      <c r="SFQ82"/>
      <c r="SFR82"/>
      <c r="SFS82"/>
      <c r="SFT82"/>
      <c r="SFU82"/>
      <c r="SFV82"/>
      <c r="SFW82"/>
      <c r="SFX82"/>
      <c r="SFY82"/>
      <c r="SFZ82"/>
      <c r="SGA82"/>
      <c r="SGB82"/>
      <c r="SGC82"/>
      <c r="SGD82"/>
      <c r="SGE82"/>
      <c r="SGF82"/>
      <c r="SGG82"/>
      <c r="SGH82"/>
      <c r="SGI82"/>
      <c r="SGJ82"/>
      <c r="SGK82"/>
      <c r="SGL82"/>
      <c r="SGM82"/>
      <c r="SGN82"/>
      <c r="SGO82"/>
      <c r="SGP82"/>
      <c r="SGQ82"/>
      <c r="SGR82"/>
      <c r="SGS82"/>
      <c r="SGT82"/>
      <c r="SGU82"/>
      <c r="SGV82"/>
      <c r="SGW82"/>
      <c r="SGX82"/>
      <c r="SGY82"/>
      <c r="SGZ82"/>
      <c r="SHA82"/>
      <c r="SHB82"/>
      <c r="SHC82"/>
      <c r="SHD82"/>
      <c r="SHE82"/>
      <c r="SHF82"/>
      <c r="SHG82"/>
      <c r="SHH82"/>
      <c r="SHI82"/>
      <c r="SHJ82"/>
      <c r="SHK82"/>
      <c r="SHL82"/>
      <c r="SHM82"/>
      <c r="SHN82"/>
      <c r="SHO82"/>
      <c r="SHP82"/>
      <c r="SHQ82"/>
      <c r="SHR82"/>
      <c r="SHS82"/>
      <c r="SHT82"/>
      <c r="SHU82"/>
      <c r="SHV82"/>
      <c r="SHW82"/>
      <c r="SHX82"/>
      <c r="SHY82"/>
      <c r="SHZ82"/>
      <c r="SIA82"/>
      <c r="SIB82"/>
      <c r="SIC82"/>
      <c r="SID82"/>
      <c r="SIE82"/>
      <c r="SIF82"/>
      <c r="SIG82"/>
      <c r="SIH82"/>
      <c r="SII82"/>
      <c r="SIJ82"/>
      <c r="SIK82"/>
      <c r="SIL82"/>
      <c r="SIM82"/>
      <c r="SIN82"/>
      <c r="SIO82"/>
      <c r="SIP82"/>
      <c r="SIQ82"/>
      <c r="SIR82"/>
      <c r="SIS82"/>
      <c r="SIT82"/>
      <c r="SIU82"/>
      <c r="SIV82"/>
      <c r="SIW82"/>
      <c r="SIX82"/>
      <c r="SIY82"/>
      <c r="SIZ82"/>
      <c r="SJA82"/>
      <c r="SJB82"/>
      <c r="SJC82"/>
      <c r="SJD82"/>
      <c r="SJE82"/>
      <c r="SJF82"/>
      <c r="SJG82"/>
      <c r="SJH82"/>
      <c r="SJI82"/>
      <c r="SJJ82"/>
      <c r="SJK82"/>
      <c r="SJL82"/>
      <c r="SJM82"/>
      <c r="SJN82"/>
      <c r="SJO82"/>
      <c r="SJP82"/>
      <c r="SJQ82"/>
      <c r="SJR82"/>
      <c r="SJS82"/>
      <c r="SJT82"/>
      <c r="SJU82"/>
      <c r="SJV82"/>
      <c r="SJW82"/>
      <c r="SJX82"/>
      <c r="SJY82"/>
      <c r="SJZ82"/>
      <c r="SKA82"/>
      <c r="SKB82"/>
      <c r="SKC82"/>
      <c r="SKD82"/>
      <c r="SKE82"/>
      <c r="SKF82"/>
      <c r="SKG82"/>
      <c r="SKH82"/>
      <c r="SKI82"/>
      <c r="SKJ82"/>
      <c r="SKK82"/>
      <c r="SKL82"/>
      <c r="SKM82"/>
      <c r="SKN82"/>
      <c r="SKO82"/>
      <c r="SKP82"/>
      <c r="SKQ82"/>
      <c r="SKR82"/>
      <c r="SKS82"/>
      <c r="SKT82"/>
      <c r="SKU82"/>
      <c r="SKV82"/>
      <c r="SKW82"/>
      <c r="SKX82"/>
      <c r="SKY82"/>
      <c r="SKZ82"/>
      <c r="SLA82"/>
      <c r="SLB82"/>
      <c r="SLC82"/>
      <c r="SLD82"/>
      <c r="SLE82"/>
      <c r="SLF82"/>
      <c r="SLG82"/>
      <c r="SLH82"/>
      <c r="SLI82"/>
      <c r="SLJ82"/>
      <c r="SLK82"/>
      <c r="SLL82"/>
      <c r="SLM82"/>
      <c r="SLN82"/>
      <c r="SLO82"/>
      <c r="SLP82"/>
      <c r="SLQ82"/>
      <c r="SLR82"/>
      <c r="SLS82"/>
      <c r="SLT82"/>
      <c r="SLU82"/>
      <c r="SLV82"/>
      <c r="SLW82"/>
      <c r="SLX82"/>
      <c r="SLY82"/>
      <c r="SLZ82"/>
      <c r="SMA82"/>
      <c r="SMB82"/>
      <c r="SMC82"/>
      <c r="SMD82"/>
      <c r="SME82"/>
      <c r="SMF82"/>
      <c r="SMG82"/>
      <c r="SMH82"/>
      <c r="SMI82"/>
      <c r="SMJ82"/>
      <c r="SMK82"/>
      <c r="SML82"/>
      <c r="SMM82"/>
      <c r="SMN82"/>
      <c r="SMO82"/>
      <c r="SMP82"/>
      <c r="SMQ82"/>
      <c r="SMR82"/>
      <c r="SMS82"/>
      <c r="SMT82"/>
      <c r="SMU82"/>
      <c r="SMV82"/>
      <c r="SMW82"/>
      <c r="SMX82"/>
      <c r="SMY82"/>
      <c r="SMZ82"/>
      <c r="SNA82"/>
      <c r="SNB82"/>
      <c r="SNC82"/>
      <c r="SND82"/>
      <c r="SNE82"/>
      <c r="SNF82"/>
      <c r="SNG82"/>
      <c r="SNH82"/>
      <c r="SNI82"/>
      <c r="SNJ82"/>
      <c r="SNK82"/>
      <c r="SNL82"/>
      <c r="SNM82"/>
      <c r="SNN82"/>
      <c r="SNO82"/>
      <c r="SNP82"/>
      <c r="SNQ82"/>
      <c r="SNR82"/>
      <c r="SNS82"/>
      <c r="SNT82"/>
      <c r="SNU82"/>
      <c r="SNV82"/>
      <c r="SNW82"/>
      <c r="SNX82"/>
      <c r="SNY82"/>
      <c r="SNZ82"/>
      <c r="SOA82"/>
      <c r="SOB82"/>
      <c r="SOC82"/>
      <c r="SOD82"/>
      <c r="SOE82"/>
      <c r="SOF82"/>
      <c r="SOG82"/>
      <c r="SOH82"/>
      <c r="SOI82"/>
      <c r="SOJ82"/>
      <c r="SOK82"/>
      <c r="SOL82"/>
      <c r="SOM82"/>
      <c r="SON82"/>
      <c r="SOO82"/>
      <c r="SOP82"/>
      <c r="SOQ82"/>
      <c r="SOR82"/>
      <c r="SOS82"/>
      <c r="SOT82"/>
      <c r="SOU82"/>
      <c r="SOV82"/>
      <c r="SOW82"/>
      <c r="SOX82"/>
      <c r="SOY82"/>
      <c r="SOZ82"/>
      <c r="SPA82"/>
      <c r="SPB82"/>
      <c r="SPC82"/>
      <c r="SPD82"/>
      <c r="SPE82"/>
      <c r="SPF82"/>
      <c r="SPG82"/>
      <c r="SPH82"/>
      <c r="SPI82"/>
      <c r="SPJ82"/>
      <c r="SPK82"/>
      <c r="SPL82"/>
      <c r="SPM82"/>
      <c r="SPN82"/>
      <c r="SPO82"/>
      <c r="SPP82"/>
      <c r="SPQ82"/>
      <c r="SPR82"/>
      <c r="SPS82"/>
      <c r="SPT82"/>
      <c r="SPU82"/>
      <c r="SPV82"/>
      <c r="SPW82"/>
      <c r="SPX82"/>
      <c r="SPY82"/>
      <c r="SPZ82"/>
      <c r="SQA82"/>
      <c r="SQB82"/>
      <c r="SQC82"/>
      <c r="SQD82"/>
      <c r="SQE82"/>
      <c r="SQF82"/>
      <c r="SQG82"/>
      <c r="SQH82"/>
      <c r="SQI82"/>
      <c r="SQJ82"/>
      <c r="SQK82"/>
      <c r="SQL82"/>
      <c r="SQM82"/>
      <c r="SQN82"/>
      <c r="SQO82"/>
      <c r="SQP82"/>
      <c r="SQQ82"/>
      <c r="SQR82"/>
      <c r="SQS82"/>
      <c r="SQT82"/>
      <c r="SQU82"/>
      <c r="SQV82"/>
      <c r="SQW82"/>
      <c r="SQX82"/>
      <c r="SQY82"/>
      <c r="SQZ82"/>
      <c r="SRA82"/>
      <c r="SRB82"/>
      <c r="SRC82"/>
      <c r="SRD82"/>
      <c r="SRE82"/>
      <c r="SRF82"/>
      <c r="SRG82"/>
      <c r="SRH82"/>
      <c r="SRI82"/>
      <c r="SRJ82"/>
      <c r="SRK82"/>
      <c r="SRL82"/>
      <c r="SRM82"/>
      <c r="SRN82"/>
      <c r="SRO82"/>
      <c r="SRP82"/>
      <c r="SRQ82"/>
      <c r="SRR82"/>
      <c r="SRS82"/>
      <c r="SRT82"/>
      <c r="SRU82"/>
      <c r="SRV82"/>
      <c r="SRW82"/>
      <c r="SRX82"/>
      <c r="SRY82"/>
      <c r="SRZ82"/>
      <c r="SSA82"/>
      <c r="SSB82"/>
      <c r="SSC82"/>
      <c r="SSD82"/>
      <c r="SSE82"/>
      <c r="SSF82"/>
      <c r="SSG82"/>
      <c r="SSH82"/>
      <c r="SSI82"/>
      <c r="SSJ82"/>
      <c r="SSK82"/>
      <c r="SSL82"/>
      <c r="SSM82"/>
      <c r="SSN82"/>
      <c r="SSO82"/>
      <c r="SSP82"/>
      <c r="SSQ82"/>
      <c r="SSR82"/>
      <c r="SSS82"/>
      <c r="SST82"/>
      <c r="SSU82"/>
      <c r="SSV82"/>
      <c r="SSW82"/>
      <c r="SSX82"/>
      <c r="SSY82"/>
      <c r="SSZ82"/>
      <c r="STA82"/>
      <c r="STB82"/>
      <c r="STC82"/>
      <c r="STD82"/>
      <c r="STE82"/>
      <c r="STF82"/>
      <c r="STG82"/>
      <c r="STH82"/>
      <c r="STI82"/>
      <c r="STJ82"/>
      <c r="STK82"/>
      <c r="STL82"/>
      <c r="STM82"/>
      <c r="STN82"/>
      <c r="STO82"/>
      <c r="STP82"/>
      <c r="STQ82"/>
      <c r="STR82"/>
      <c r="STS82"/>
      <c r="STT82"/>
      <c r="STU82"/>
      <c r="STV82"/>
      <c r="STW82"/>
      <c r="STX82"/>
      <c r="STY82"/>
      <c r="STZ82"/>
      <c r="SUA82"/>
      <c r="SUB82"/>
      <c r="SUC82"/>
      <c r="SUD82"/>
      <c r="SUE82"/>
      <c r="SUF82"/>
      <c r="SUG82"/>
      <c r="SUH82"/>
      <c r="SUI82"/>
      <c r="SUJ82"/>
      <c r="SUK82"/>
      <c r="SUL82"/>
      <c r="SUM82"/>
      <c r="SUN82"/>
      <c r="SUO82"/>
      <c r="SUP82"/>
      <c r="SUQ82"/>
      <c r="SUR82"/>
      <c r="SUS82"/>
      <c r="SUT82"/>
      <c r="SUU82"/>
      <c r="SUV82"/>
      <c r="SUW82"/>
      <c r="SUX82"/>
      <c r="SUY82"/>
      <c r="SUZ82"/>
      <c r="SVA82"/>
      <c r="SVB82"/>
      <c r="SVC82"/>
      <c r="SVD82"/>
      <c r="SVE82"/>
      <c r="SVF82"/>
      <c r="SVG82"/>
      <c r="SVH82"/>
      <c r="SVI82"/>
      <c r="SVJ82"/>
      <c r="SVK82"/>
      <c r="SVL82"/>
      <c r="SVM82"/>
      <c r="SVN82"/>
      <c r="SVO82"/>
      <c r="SVP82"/>
      <c r="SVQ82"/>
      <c r="SVR82"/>
      <c r="SVS82"/>
      <c r="SVT82"/>
      <c r="SVU82"/>
      <c r="SVV82"/>
      <c r="SVW82"/>
      <c r="SVX82"/>
      <c r="SVY82"/>
      <c r="SVZ82"/>
      <c r="SWA82"/>
      <c r="SWB82"/>
      <c r="SWC82"/>
      <c r="SWD82"/>
      <c r="SWE82"/>
      <c r="SWF82"/>
      <c r="SWG82"/>
      <c r="SWH82"/>
      <c r="SWI82"/>
      <c r="SWJ82"/>
      <c r="SWK82"/>
      <c r="SWL82"/>
      <c r="SWM82"/>
      <c r="SWN82"/>
      <c r="SWO82"/>
      <c r="SWP82"/>
      <c r="SWQ82"/>
      <c r="SWR82"/>
      <c r="SWS82"/>
      <c r="SWT82"/>
      <c r="SWU82"/>
      <c r="SWV82"/>
      <c r="SWW82"/>
      <c r="SWX82"/>
      <c r="SWY82"/>
      <c r="SWZ82"/>
      <c r="SXA82"/>
      <c r="SXB82"/>
      <c r="SXC82"/>
      <c r="SXD82"/>
      <c r="SXE82"/>
      <c r="SXF82"/>
      <c r="SXG82"/>
      <c r="SXH82"/>
      <c r="SXI82"/>
      <c r="SXJ82"/>
      <c r="SXK82"/>
      <c r="SXL82"/>
      <c r="SXM82"/>
      <c r="SXN82"/>
      <c r="SXO82"/>
      <c r="SXP82"/>
      <c r="SXQ82"/>
      <c r="SXR82"/>
      <c r="SXS82"/>
      <c r="SXT82"/>
      <c r="SXU82"/>
      <c r="SXV82"/>
      <c r="SXW82"/>
      <c r="SXX82"/>
      <c r="SXY82"/>
      <c r="SXZ82"/>
      <c r="SYA82"/>
      <c r="SYB82"/>
      <c r="SYC82"/>
      <c r="SYD82"/>
      <c r="SYE82"/>
      <c r="SYF82"/>
      <c r="SYG82"/>
      <c r="SYH82"/>
      <c r="SYI82"/>
      <c r="SYJ82"/>
      <c r="SYK82"/>
      <c r="SYL82"/>
      <c r="SYM82"/>
      <c r="SYN82"/>
      <c r="SYO82"/>
      <c r="SYP82"/>
      <c r="SYQ82"/>
      <c r="SYR82"/>
      <c r="SYS82"/>
      <c r="SYT82"/>
      <c r="SYU82"/>
      <c r="SYV82"/>
      <c r="SYW82"/>
      <c r="SYX82"/>
      <c r="SYY82"/>
      <c r="SYZ82"/>
      <c r="SZA82"/>
      <c r="SZB82"/>
      <c r="SZC82"/>
      <c r="SZD82"/>
      <c r="SZE82"/>
      <c r="SZF82"/>
      <c r="SZG82"/>
      <c r="SZH82"/>
      <c r="SZI82"/>
      <c r="SZJ82"/>
      <c r="SZK82"/>
      <c r="SZL82"/>
      <c r="SZM82"/>
      <c r="SZN82"/>
      <c r="SZO82"/>
      <c r="SZP82"/>
      <c r="SZQ82"/>
      <c r="SZR82"/>
      <c r="SZS82"/>
      <c r="SZT82"/>
      <c r="SZU82"/>
      <c r="SZV82"/>
      <c r="SZW82"/>
      <c r="SZX82"/>
      <c r="SZY82"/>
      <c r="SZZ82"/>
      <c r="TAA82"/>
      <c r="TAB82"/>
      <c r="TAC82"/>
      <c r="TAD82"/>
      <c r="TAE82"/>
      <c r="TAF82"/>
      <c r="TAG82"/>
      <c r="TAH82"/>
      <c r="TAI82"/>
      <c r="TAJ82"/>
      <c r="TAK82"/>
      <c r="TAL82"/>
      <c r="TAM82"/>
      <c r="TAN82"/>
      <c r="TAO82"/>
      <c r="TAP82"/>
      <c r="TAQ82"/>
      <c r="TAR82"/>
      <c r="TAS82"/>
      <c r="TAT82"/>
      <c r="TAU82"/>
      <c r="TAV82"/>
      <c r="TAW82"/>
      <c r="TAX82"/>
      <c r="TAY82"/>
      <c r="TAZ82"/>
      <c r="TBA82"/>
      <c r="TBB82"/>
      <c r="TBC82"/>
      <c r="TBD82"/>
      <c r="TBE82"/>
      <c r="TBF82"/>
      <c r="TBG82"/>
      <c r="TBH82"/>
      <c r="TBI82"/>
      <c r="TBJ82"/>
      <c r="TBK82"/>
      <c r="TBL82"/>
      <c r="TBM82"/>
      <c r="TBN82"/>
      <c r="TBO82"/>
      <c r="TBP82"/>
      <c r="TBQ82"/>
      <c r="TBR82"/>
      <c r="TBS82"/>
      <c r="TBT82"/>
      <c r="TBU82"/>
      <c r="TBV82"/>
      <c r="TBW82"/>
      <c r="TBX82"/>
      <c r="TBY82"/>
      <c r="TBZ82"/>
      <c r="TCA82"/>
      <c r="TCB82"/>
      <c r="TCC82"/>
      <c r="TCD82"/>
      <c r="TCE82"/>
      <c r="TCF82"/>
      <c r="TCG82"/>
      <c r="TCH82"/>
      <c r="TCI82"/>
      <c r="TCJ82"/>
      <c r="TCK82"/>
      <c r="TCL82"/>
      <c r="TCM82"/>
      <c r="TCN82"/>
      <c r="TCO82"/>
      <c r="TCP82"/>
      <c r="TCQ82"/>
      <c r="TCR82"/>
      <c r="TCS82"/>
      <c r="TCT82"/>
      <c r="TCU82"/>
      <c r="TCV82"/>
      <c r="TCW82"/>
      <c r="TCX82"/>
      <c r="TCY82"/>
      <c r="TCZ82"/>
      <c r="TDA82"/>
      <c r="TDB82"/>
      <c r="TDC82"/>
      <c r="TDD82"/>
      <c r="TDE82"/>
      <c r="TDF82"/>
      <c r="TDG82"/>
      <c r="TDH82"/>
      <c r="TDI82"/>
      <c r="TDJ82"/>
      <c r="TDK82"/>
      <c r="TDL82"/>
      <c r="TDM82"/>
      <c r="TDN82"/>
      <c r="TDO82"/>
      <c r="TDP82"/>
      <c r="TDQ82"/>
      <c r="TDR82"/>
      <c r="TDS82"/>
      <c r="TDT82"/>
      <c r="TDU82"/>
      <c r="TDV82"/>
      <c r="TDW82"/>
      <c r="TDX82"/>
      <c r="TDY82"/>
      <c r="TDZ82"/>
      <c r="TEA82"/>
      <c r="TEB82"/>
      <c r="TEC82"/>
      <c r="TED82"/>
      <c r="TEE82"/>
      <c r="TEF82"/>
      <c r="TEG82"/>
      <c r="TEH82"/>
      <c r="TEI82"/>
      <c r="TEJ82"/>
      <c r="TEK82"/>
      <c r="TEL82"/>
      <c r="TEM82"/>
      <c r="TEN82"/>
      <c r="TEO82"/>
      <c r="TEP82"/>
      <c r="TEQ82"/>
      <c r="TER82"/>
      <c r="TES82"/>
      <c r="TET82"/>
      <c r="TEU82"/>
      <c r="TEV82"/>
      <c r="TEW82"/>
      <c r="TEX82"/>
      <c r="TEY82"/>
      <c r="TEZ82"/>
      <c r="TFA82"/>
      <c r="TFB82"/>
      <c r="TFC82"/>
      <c r="TFD82"/>
      <c r="TFE82"/>
      <c r="TFF82"/>
      <c r="TFG82"/>
      <c r="TFH82"/>
      <c r="TFI82"/>
      <c r="TFJ82"/>
      <c r="TFK82"/>
      <c r="TFL82"/>
      <c r="TFM82"/>
      <c r="TFN82"/>
      <c r="TFO82"/>
      <c r="TFP82"/>
      <c r="TFQ82"/>
      <c r="TFR82"/>
      <c r="TFS82"/>
      <c r="TFT82"/>
      <c r="TFU82"/>
      <c r="TFV82"/>
      <c r="TFW82"/>
      <c r="TFX82"/>
      <c r="TFY82"/>
      <c r="TFZ82"/>
      <c r="TGA82"/>
      <c r="TGB82"/>
      <c r="TGC82"/>
      <c r="TGD82"/>
      <c r="TGE82"/>
      <c r="TGF82"/>
      <c r="TGG82"/>
      <c r="TGH82"/>
      <c r="TGI82"/>
      <c r="TGJ82"/>
      <c r="TGK82"/>
      <c r="TGL82"/>
      <c r="TGM82"/>
      <c r="TGN82"/>
      <c r="TGO82"/>
      <c r="TGP82"/>
      <c r="TGQ82"/>
      <c r="TGR82"/>
      <c r="TGS82"/>
      <c r="TGT82"/>
      <c r="TGU82"/>
      <c r="TGV82"/>
      <c r="TGW82"/>
      <c r="TGX82"/>
      <c r="TGY82"/>
      <c r="TGZ82"/>
      <c r="THA82"/>
      <c r="THB82"/>
      <c r="THC82"/>
      <c r="THD82"/>
      <c r="THE82"/>
      <c r="THF82"/>
      <c r="THG82"/>
      <c r="THH82"/>
      <c r="THI82"/>
      <c r="THJ82"/>
      <c r="THK82"/>
      <c r="THL82"/>
      <c r="THM82"/>
      <c r="THN82"/>
      <c r="THO82"/>
      <c r="THP82"/>
      <c r="THQ82"/>
      <c r="THR82"/>
      <c r="THS82"/>
      <c r="THT82"/>
      <c r="THU82"/>
      <c r="THV82"/>
      <c r="THW82"/>
      <c r="THX82"/>
      <c r="THY82"/>
      <c r="THZ82"/>
      <c r="TIA82"/>
      <c r="TIB82"/>
      <c r="TIC82"/>
      <c r="TID82"/>
      <c r="TIE82"/>
      <c r="TIF82"/>
      <c r="TIG82"/>
      <c r="TIH82"/>
      <c r="TII82"/>
      <c r="TIJ82"/>
      <c r="TIK82"/>
      <c r="TIL82"/>
      <c r="TIM82"/>
      <c r="TIN82"/>
      <c r="TIO82"/>
      <c r="TIP82"/>
      <c r="TIQ82"/>
      <c r="TIR82"/>
      <c r="TIS82"/>
      <c r="TIT82"/>
      <c r="TIU82"/>
      <c r="TIV82"/>
      <c r="TIW82"/>
      <c r="TIX82"/>
      <c r="TIY82"/>
      <c r="TIZ82"/>
      <c r="TJA82"/>
      <c r="TJB82"/>
      <c r="TJC82"/>
      <c r="TJD82"/>
      <c r="TJE82"/>
      <c r="TJF82"/>
      <c r="TJG82"/>
      <c r="TJH82"/>
      <c r="TJI82"/>
      <c r="TJJ82"/>
      <c r="TJK82"/>
      <c r="TJL82"/>
      <c r="TJM82"/>
      <c r="TJN82"/>
      <c r="TJO82"/>
      <c r="TJP82"/>
      <c r="TJQ82"/>
      <c r="TJR82"/>
      <c r="TJS82"/>
      <c r="TJT82"/>
      <c r="TJU82"/>
      <c r="TJV82"/>
      <c r="TJW82"/>
      <c r="TJX82"/>
      <c r="TJY82"/>
      <c r="TJZ82"/>
      <c r="TKA82"/>
      <c r="TKB82"/>
      <c r="TKC82"/>
      <c r="TKD82"/>
      <c r="TKE82"/>
      <c r="TKF82"/>
      <c r="TKG82"/>
      <c r="TKH82"/>
      <c r="TKI82"/>
      <c r="TKJ82"/>
      <c r="TKK82"/>
      <c r="TKL82"/>
      <c r="TKM82"/>
      <c r="TKN82"/>
      <c r="TKO82"/>
      <c r="TKP82"/>
      <c r="TKQ82"/>
      <c r="TKR82"/>
      <c r="TKS82"/>
      <c r="TKT82"/>
      <c r="TKU82"/>
      <c r="TKV82"/>
      <c r="TKW82"/>
      <c r="TKX82"/>
      <c r="TKY82"/>
      <c r="TKZ82"/>
      <c r="TLA82"/>
      <c r="TLB82"/>
      <c r="TLC82"/>
      <c r="TLD82"/>
      <c r="TLE82"/>
      <c r="TLF82"/>
      <c r="TLG82"/>
      <c r="TLH82"/>
      <c r="TLI82"/>
      <c r="TLJ82"/>
      <c r="TLK82"/>
      <c r="TLL82"/>
      <c r="TLM82"/>
      <c r="TLN82"/>
      <c r="TLO82"/>
      <c r="TLP82"/>
      <c r="TLQ82"/>
      <c r="TLR82"/>
      <c r="TLS82"/>
      <c r="TLT82"/>
      <c r="TLU82"/>
      <c r="TLV82"/>
      <c r="TLW82"/>
      <c r="TLX82"/>
      <c r="TLY82"/>
      <c r="TLZ82"/>
      <c r="TMA82"/>
      <c r="TMB82"/>
      <c r="TMC82"/>
      <c r="TMD82"/>
      <c r="TME82"/>
      <c r="TMF82"/>
      <c r="TMG82"/>
      <c r="TMH82"/>
      <c r="TMI82"/>
      <c r="TMJ82"/>
      <c r="TMK82"/>
      <c r="TML82"/>
      <c r="TMM82"/>
      <c r="TMN82"/>
      <c r="TMO82"/>
      <c r="TMP82"/>
      <c r="TMQ82"/>
      <c r="TMR82"/>
      <c r="TMS82"/>
      <c r="TMT82"/>
      <c r="TMU82"/>
      <c r="TMV82"/>
      <c r="TMW82"/>
      <c r="TMX82"/>
      <c r="TMY82"/>
      <c r="TMZ82"/>
      <c r="TNA82"/>
      <c r="TNB82"/>
      <c r="TNC82"/>
      <c r="TND82"/>
      <c r="TNE82"/>
      <c r="TNF82"/>
      <c r="TNG82"/>
      <c r="TNH82"/>
      <c r="TNI82"/>
      <c r="TNJ82"/>
      <c r="TNK82"/>
      <c r="TNL82"/>
      <c r="TNM82"/>
      <c r="TNN82"/>
      <c r="TNO82"/>
      <c r="TNP82"/>
      <c r="TNQ82"/>
      <c r="TNR82"/>
      <c r="TNS82"/>
      <c r="TNT82"/>
      <c r="TNU82"/>
      <c r="TNV82"/>
      <c r="TNW82"/>
      <c r="TNX82"/>
      <c r="TNY82"/>
      <c r="TNZ82"/>
      <c r="TOA82"/>
      <c r="TOB82"/>
      <c r="TOC82"/>
      <c r="TOD82"/>
      <c r="TOE82"/>
      <c r="TOF82"/>
      <c r="TOG82"/>
      <c r="TOH82"/>
      <c r="TOI82"/>
      <c r="TOJ82"/>
      <c r="TOK82"/>
      <c r="TOL82"/>
      <c r="TOM82"/>
      <c r="TON82"/>
      <c r="TOO82"/>
      <c r="TOP82"/>
      <c r="TOQ82"/>
      <c r="TOR82"/>
      <c r="TOS82"/>
      <c r="TOT82"/>
      <c r="TOU82"/>
      <c r="TOV82"/>
      <c r="TOW82"/>
      <c r="TOX82"/>
      <c r="TOY82"/>
      <c r="TOZ82"/>
      <c r="TPA82"/>
      <c r="TPB82"/>
      <c r="TPC82"/>
      <c r="TPD82"/>
      <c r="TPE82"/>
      <c r="TPF82"/>
      <c r="TPG82"/>
      <c r="TPH82"/>
      <c r="TPI82"/>
      <c r="TPJ82"/>
      <c r="TPK82"/>
      <c r="TPL82"/>
      <c r="TPM82"/>
      <c r="TPN82"/>
      <c r="TPO82"/>
      <c r="TPP82"/>
      <c r="TPQ82"/>
      <c r="TPR82"/>
      <c r="TPS82"/>
      <c r="TPT82"/>
      <c r="TPU82"/>
      <c r="TPV82"/>
      <c r="TPW82"/>
      <c r="TPX82"/>
      <c r="TPY82"/>
      <c r="TPZ82"/>
      <c r="TQA82"/>
      <c r="TQB82"/>
      <c r="TQC82"/>
      <c r="TQD82"/>
      <c r="TQE82"/>
      <c r="TQF82"/>
      <c r="TQG82"/>
      <c r="TQH82"/>
      <c r="TQI82"/>
      <c r="TQJ82"/>
      <c r="TQK82"/>
      <c r="TQL82"/>
      <c r="TQM82"/>
      <c r="TQN82"/>
      <c r="TQO82"/>
      <c r="TQP82"/>
      <c r="TQQ82"/>
      <c r="TQR82"/>
      <c r="TQS82"/>
      <c r="TQT82"/>
      <c r="TQU82"/>
      <c r="TQV82"/>
      <c r="TQW82"/>
      <c r="TQX82"/>
      <c r="TQY82"/>
      <c r="TQZ82"/>
      <c r="TRA82"/>
      <c r="TRB82"/>
      <c r="TRC82"/>
      <c r="TRD82"/>
      <c r="TRE82"/>
      <c r="TRF82"/>
      <c r="TRG82"/>
      <c r="TRH82"/>
      <c r="TRI82"/>
      <c r="TRJ82"/>
      <c r="TRK82"/>
      <c r="TRL82"/>
      <c r="TRM82"/>
      <c r="TRN82"/>
      <c r="TRO82"/>
      <c r="TRP82"/>
      <c r="TRQ82"/>
      <c r="TRR82"/>
      <c r="TRS82"/>
      <c r="TRT82"/>
      <c r="TRU82"/>
      <c r="TRV82"/>
      <c r="TRW82"/>
      <c r="TRX82"/>
      <c r="TRY82"/>
      <c r="TRZ82"/>
      <c r="TSA82"/>
      <c r="TSB82"/>
      <c r="TSC82"/>
      <c r="TSD82"/>
      <c r="TSE82"/>
      <c r="TSF82"/>
      <c r="TSG82"/>
      <c r="TSH82"/>
      <c r="TSI82"/>
      <c r="TSJ82"/>
      <c r="TSK82"/>
      <c r="TSL82"/>
      <c r="TSM82"/>
      <c r="TSN82"/>
      <c r="TSO82"/>
      <c r="TSP82"/>
      <c r="TSQ82"/>
      <c r="TSR82"/>
      <c r="TSS82"/>
      <c r="TST82"/>
      <c r="TSU82"/>
      <c r="TSV82"/>
      <c r="TSW82"/>
      <c r="TSX82"/>
      <c r="TSY82"/>
      <c r="TSZ82"/>
      <c r="TTA82"/>
      <c r="TTB82"/>
      <c r="TTC82"/>
      <c r="TTD82"/>
      <c r="TTE82"/>
      <c r="TTF82"/>
      <c r="TTG82"/>
      <c r="TTH82"/>
      <c r="TTI82"/>
      <c r="TTJ82"/>
      <c r="TTK82"/>
      <c r="TTL82"/>
      <c r="TTM82"/>
      <c r="TTN82"/>
      <c r="TTO82"/>
      <c r="TTP82"/>
      <c r="TTQ82"/>
      <c r="TTR82"/>
      <c r="TTS82"/>
      <c r="TTT82"/>
      <c r="TTU82"/>
      <c r="TTV82"/>
      <c r="TTW82"/>
      <c r="TTX82"/>
      <c r="TTY82"/>
      <c r="TTZ82"/>
      <c r="TUA82"/>
      <c r="TUB82"/>
      <c r="TUC82"/>
      <c r="TUD82"/>
      <c r="TUE82"/>
      <c r="TUF82"/>
      <c r="TUG82"/>
      <c r="TUH82"/>
      <c r="TUI82"/>
      <c r="TUJ82"/>
      <c r="TUK82"/>
      <c r="TUL82"/>
      <c r="TUM82"/>
      <c r="TUN82"/>
      <c r="TUO82"/>
      <c r="TUP82"/>
      <c r="TUQ82"/>
      <c r="TUR82"/>
      <c r="TUS82"/>
      <c r="TUT82"/>
      <c r="TUU82"/>
      <c r="TUV82"/>
      <c r="TUW82"/>
      <c r="TUX82"/>
      <c r="TUY82"/>
      <c r="TUZ82"/>
      <c r="TVA82"/>
      <c r="TVB82"/>
      <c r="TVC82"/>
      <c r="TVD82"/>
      <c r="TVE82"/>
      <c r="TVF82"/>
      <c r="TVG82"/>
      <c r="TVH82"/>
      <c r="TVI82"/>
      <c r="TVJ82"/>
      <c r="TVK82"/>
      <c r="TVL82"/>
      <c r="TVM82"/>
      <c r="TVN82"/>
      <c r="TVO82"/>
      <c r="TVP82"/>
      <c r="TVQ82"/>
      <c r="TVR82"/>
      <c r="TVS82"/>
      <c r="TVT82"/>
      <c r="TVU82"/>
      <c r="TVV82"/>
      <c r="TVW82"/>
      <c r="TVX82"/>
      <c r="TVY82"/>
      <c r="TVZ82"/>
      <c r="TWA82"/>
      <c r="TWB82"/>
      <c r="TWC82"/>
      <c r="TWD82"/>
      <c r="TWE82"/>
      <c r="TWF82"/>
      <c r="TWG82"/>
      <c r="TWH82"/>
      <c r="TWI82"/>
      <c r="TWJ82"/>
      <c r="TWK82"/>
      <c r="TWL82"/>
      <c r="TWM82"/>
      <c r="TWN82"/>
      <c r="TWO82"/>
      <c r="TWP82"/>
      <c r="TWQ82"/>
      <c r="TWR82"/>
      <c r="TWS82"/>
      <c r="TWT82"/>
      <c r="TWU82"/>
      <c r="TWV82"/>
      <c r="TWW82"/>
      <c r="TWX82"/>
      <c r="TWY82"/>
      <c r="TWZ82"/>
      <c r="TXA82"/>
      <c r="TXB82"/>
      <c r="TXC82"/>
      <c r="TXD82"/>
      <c r="TXE82"/>
      <c r="TXF82"/>
      <c r="TXG82"/>
      <c r="TXH82"/>
      <c r="TXI82"/>
      <c r="TXJ82"/>
      <c r="TXK82"/>
      <c r="TXL82"/>
      <c r="TXM82"/>
      <c r="TXN82"/>
      <c r="TXO82"/>
      <c r="TXP82"/>
      <c r="TXQ82"/>
      <c r="TXR82"/>
      <c r="TXS82"/>
      <c r="TXT82"/>
      <c r="TXU82"/>
      <c r="TXV82"/>
      <c r="TXW82"/>
      <c r="TXX82"/>
      <c r="TXY82"/>
      <c r="TXZ82"/>
      <c r="TYA82"/>
      <c r="TYB82"/>
      <c r="TYC82"/>
      <c r="TYD82"/>
      <c r="TYE82"/>
      <c r="TYF82"/>
      <c r="TYG82"/>
      <c r="TYH82"/>
      <c r="TYI82"/>
      <c r="TYJ82"/>
      <c r="TYK82"/>
      <c r="TYL82"/>
      <c r="TYM82"/>
      <c r="TYN82"/>
      <c r="TYO82"/>
      <c r="TYP82"/>
      <c r="TYQ82"/>
      <c r="TYR82"/>
      <c r="TYS82"/>
      <c r="TYT82"/>
      <c r="TYU82"/>
      <c r="TYV82"/>
      <c r="TYW82"/>
      <c r="TYX82"/>
      <c r="TYY82"/>
      <c r="TYZ82"/>
      <c r="TZA82"/>
      <c r="TZB82"/>
      <c r="TZC82"/>
      <c r="TZD82"/>
      <c r="TZE82"/>
      <c r="TZF82"/>
      <c r="TZG82"/>
      <c r="TZH82"/>
      <c r="TZI82"/>
      <c r="TZJ82"/>
      <c r="TZK82"/>
      <c r="TZL82"/>
      <c r="TZM82"/>
      <c r="TZN82"/>
      <c r="TZO82"/>
      <c r="TZP82"/>
      <c r="TZQ82"/>
      <c r="TZR82"/>
      <c r="TZS82"/>
      <c r="TZT82"/>
      <c r="TZU82"/>
      <c r="TZV82"/>
      <c r="TZW82"/>
      <c r="TZX82"/>
      <c r="TZY82"/>
      <c r="TZZ82"/>
      <c r="UAA82"/>
      <c r="UAB82"/>
      <c r="UAC82"/>
      <c r="UAD82"/>
      <c r="UAE82"/>
      <c r="UAF82"/>
      <c r="UAG82"/>
      <c r="UAH82"/>
      <c r="UAI82"/>
      <c r="UAJ82"/>
      <c r="UAK82"/>
      <c r="UAL82"/>
      <c r="UAM82"/>
      <c r="UAN82"/>
      <c r="UAO82"/>
      <c r="UAP82"/>
      <c r="UAQ82"/>
      <c r="UAR82"/>
      <c r="UAS82"/>
      <c r="UAT82"/>
      <c r="UAU82"/>
      <c r="UAV82"/>
      <c r="UAW82"/>
      <c r="UAX82"/>
      <c r="UAY82"/>
      <c r="UAZ82"/>
      <c r="UBA82"/>
      <c r="UBB82"/>
      <c r="UBC82"/>
      <c r="UBD82"/>
      <c r="UBE82"/>
      <c r="UBF82"/>
      <c r="UBG82"/>
      <c r="UBH82"/>
      <c r="UBI82"/>
      <c r="UBJ82"/>
      <c r="UBK82"/>
      <c r="UBL82"/>
      <c r="UBM82"/>
      <c r="UBN82"/>
      <c r="UBO82"/>
      <c r="UBP82"/>
      <c r="UBQ82"/>
      <c r="UBR82"/>
      <c r="UBS82"/>
      <c r="UBT82"/>
      <c r="UBU82"/>
      <c r="UBV82"/>
      <c r="UBW82"/>
      <c r="UBX82"/>
      <c r="UBY82"/>
      <c r="UBZ82"/>
      <c r="UCA82"/>
      <c r="UCB82"/>
      <c r="UCC82"/>
      <c r="UCD82"/>
      <c r="UCE82"/>
      <c r="UCF82"/>
      <c r="UCG82"/>
      <c r="UCH82"/>
      <c r="UCI82"/>
      <c r="UCJ82"/>
      <c r="UCK82"/>
      <c r="UCL82"/>
      <c r="UCM82"/>
      <c r="UCN82"/>
      <c r="UCO82"/>
      <c r="UCP82"/>
      <c r="UCQ82"/>
      <c r="UCR82"/>
      <c r="UCS82"/>
      <c r="UCT82"/>
      <c r="UCU82"/>
      <c r="UCV82"/>
      <c r="UCW82"/>
      <c r="UCX82"/>
      <c r="UCY82"/>
      <c r="UCZ82"/>
      <c r="UDA82"/>
      <c r="UDB82"/>
      <c r="UDC82"/>
      <c r="UDD82"/>
      <c r="UDE82"/>
      <c r="UDF82"/>
      <c r="UDG82"/>
      <c r="UDH82"/>
      <c r="UDI82"/>
      <c r="UDJ82"/>
      <c r="UDK82"/>
      <c r="UDL82"/>
      <c r="UDM82"/>
      <c r="UDN82"/>
      <c r="UDO82"/>
      <c r="UDP82"/>
      <c r="UDQ82"/>
      <c r="UDR82"/>
      <c r="UDS82"/>
      <c r="UDT82"/>
      <c r="UDU82"/>
      <c r="UDV82"/>
      <c r="UDW82"/>
      <c r="UDX82"/>
      <c r="UDY82"/>
      <c r="UDZ82"/>
      <c r="UEA82"/>
      <c r="UEB82"/>
      <c r="UEC82"/>
      <c r="UED82"/>
      <c r="UEE82"/>
      <c r="UEF82"/>
      <c r="UEG82"/>
      <c r="UEH82"/>
      <c r="UEI82"/>
      <c r="UEJ82"/>
      <c r="UEK82"/>
      <c r="UEL82"/>
      <c r="UEM82"/>
      <c r="UEN82"/>
      <c r="UEO82"/>
      <c r="UEP82"/>
      <c r="UEQ82"/>
      <c r="UER82"/>
      <c r="UES82"/>
      <c r="UET82"/>
      <c r="UEU82"/>
      <c r="UEV82"/>
      <c r="UEW82"/>
      <c r="UEX82"/>
      <c r="UEY82"/>
      <c r="UEZ82"/>
      <c r="UFA82"/>
      <c r="UFB82"/>
      <c r="UFC82"/>
      <c r="UFD82"/>
      <c r="UFE82"/>
      <c r="UFF82"/>
      <c r="UFG82"/>
      <c r="UFH82"/>
      <c r="UFI82"/>
      <c r="UFJ82"/>
      <c r="UFK82"/>
      <c r="UFL82"/>
      <c r="UFM82"/>
      <c r="UFN82"/>
      <c r="UFO82"/>
      <c r="UFP82"/>
      <c r="UFQ82"/>
      <c r="UFR82"/>
      <c r="UFS82"/>
      <c r="UFT82"/>
      <c r="UFU82"/>
      <c r="UFV82"/>
      <c r="UFW82"/>
      <c r="UFX82"/>
      <c r="UFY82"/>
      <c r="UFZ82"/>
      <c r="UGA82"/>
      <c r="UGB82"/>
      <c r="UGC82"/>
      <c r="UGD82"/>
      <c r="UGE82"/>
      <c r="UGF82"/>
      <c r="UGG82"/>
      <c r="UGH82"/>
      <c r="UGI82"/>
      <c r="UGJ82"/>
      <c r="UGK82"/>
      <c r="UGL82"/>
      <c r="UGM82"/>
      <c r="UGN82"/>
      <c r="UGO82"/>
      <c r="UGP82"/>
      <c r="UGQ82"/>
      <c r="UGR82"/>
      <c r="UGS82"/>
      <c r="UGT82"/>
      <c r="UGU82"/>
      <c r="UGV82"/>
      <c r="UGW82"/>
      <c r="UGX82"/>
      <c r="UGY82"/>
      <c r="UGZ82"/>
      <c r="UHA82"/>
      <c r="UHB82"/>
      <c r="UHC82"/>
      <c r="UHD82"/>
      <c r="UHE82"/>
      <c r="UHF82"/>
      <c r="UHG82"/>
      <c r="UHH82"/>
      <c r="UHI82"/>
      <c r="UHJ82"/>
      <c r="UHK82"/>
      <c r="UHL82"/>
      <c r="UHM82"/>
      <c r="UHN82"/>
      <c r="UHO82"/>
      <c r="UHP82"/>
      <c r="UHQ82"/>
      <c r="UHR82"/>
      <c r="UHS82"/>
      <c r="UHT82"/>
      <c r="UHU82"/>
      <c r="UHV82"/>
      <c r="UHW82"/>
      <c r="UHX82"/>
      <c r="UHY82"/>
      <c r="UHZ82"/>
      <c r="UIA82"/>
      <c r="UIB82"/>
      <c r="UIC82"/>
      <c r="UID82"/>
      <c r="UIE82"/>
      <c r="UIF82"/>
      <c r="UIG82"/>
      <c r="UIH82"/>
      <c r="UII82"/>
      <c r="UIJ82"/>
      <c r="UIK82"/>
      <c r="UIL82"/>
      <c r="UIM82"/>
      <c r="UIN82"/>
      <c r="UIO82"/>
      <c r="UIP82"/>
      <c r="UIQ82"/>
      <c r="UIR82"/>
      <c r="UIS82"/>
      <c r="UIT82"/>
      <c r="UIU82"/>
      <c r="UIV82"/>
      <c r="UIW82"/>
      <c r="UIX82"/>
      <c r="UIY82"/>
      <c r="UIZ82"/>
      <c r="UJA82"/>
      <c r="UJB82"/>
      <c r="UJC82"/>
      <c r="UJD82"/>
      <c r="UJE82"/>
      <c r="UJF82"/>
      <c r="UJG82"/>
      <c r="UJH82"/>
      <c r="UJI82"/>
      <c r="UJJ82"/>
      <c r="UJK82"/>
      <c r="UJL82"/>
      <c r="UJM82"/>
      <c r="UJN82"/>
      <c r="UJO82"/>
      <c r="UJP82"/>
      <c r="UJQ82"/>
      <c r="UJR82"/>
      <c r="UJS82"/>
      <c r="UJT82"/>
      <c r="UJU82"/>
      <c r="UJV82"/>
      <c r="UJW82"/>
      <c r="UJX82"/>
      <c r="UJY82"/>
      <c r="UJZ82"/>
      <c r="UKA82"/>
      <c r="UKB82"/>
      <c r="UKC82"/>
      <c r="UKD82"/>
      <c r="UKE82"/>
      <c r="UKF82"/>
      <c r="UKG82"/>
      <c r="UKH82"/>
      <c r="UKI82"/>
      <c r="UKJ82"/>
      <c r="UKK82"/>
      <c r="UKL82"/>
      <c r="UKM82"/>
      <c r="UKN82"/>
      <c r="UKO82"/>
      <c r="UKP82"/>
      <c r="UKQ82"/>
      <c r="UKR82"/>
      <c r="UKS82"/>
      <c r="UKT82"/>
      <c r="UKU82"/>
      <c r="UKV82"/>
      <c r="UKW82"/>
      <c r="UKX82"/>
      <c r="UKY82"/>
      <c r="UKZ82"/>
      <c r="ULA82"/>
      <c r="ULB82"/>
      <c r="ULC82"/>
      <c r="ULD82"/>
      <c r="ULE82"/>
      <c r="ULF82"/>
      <c r="ULG82"/>
      <c r="ULH82"/>
      <c r="ULI82"/>
      <c r="ULJ82"/>
      <c r="ULK82"/>
      <c r="ULL82"/>
      <c r="ULM82"/>
      <c r="ULN82"/>
      <c r="ULO82"/>
      <c r="ULP82"/>
      <c r="ULQ82"/>
      <c r="ULR82"/>
      <c r="ULS82"/>
      <c r="ULT82"/>
      <c r="ULU82"/>
      <c r="ULV82"/>
      <c r="ULW82"/>
      <c r="ULX82"/>
      <c r="ULY82"/>
      <c r="ULZ82"/>
      <c r="UMA82"/>
      <c r="UMB82"/>
      <c r="UMC82"/>
      <c r="UMD82"/>
      <c r="UME82"/>
      <c r="UMF82"/>
      <c r="UMG82"/>
      <c r="UMH82"/>
      <c r="UMI82"/>
      <c r="UMJ82"/>
      <c r="UMK82"/>
      <c r="UML82"/>
      <c r="UMM82"/>
      <c r="UMN82"/>
      <c r="UMO82"/>
      <c r="UMP82"/>
      <c r="UMQ82"/>
      <c r="UMR82"/>
      <c r="UMS82"/>
      <c r="UMT82"/>
      <c r="UMU82"/>
      <c r="UMV82"/>
      <c r="UMW82"/>
      <c r="UMX82"/>
      <c r="UMY82"/>
      <c r="UMZ82"/>
      <c r="UNA82"/>
      <c r="UNB82"/>
      <c r="UNC82"/>
      <c r="UND82"/>
      <c r="UNE82"/>
      <c r="UNF82"/>
      <c r="UNG82"/>
      <c r="UNH82"/>
      <c r="UNI82"/>
      <c r="UNJ82"/>
      <c r="UNK82"/>
      <c r="UNL82"/>
      <c r="UNM82"/>
      <c r="UNN82"/>
      <c r="UNO82"/>
      <c r="UNP82"/>
      <c r="UNQ82"/>
      <c r="UNR82"/>
      <c r="UNS82"/>
      <c r="UNT82"/>
      <c r="UNU82"/>
      <c r="UNV82"/>
      <c r="UNW82"/>
      <c r="UNX82"/>
      <c r="UNY82"/>
      <c r="UNZ82"/>
      <c r="UOA82"/>
      <c r="UOB82"/>
      <c r="UOC82"/>
      <c r="UOD82"/>
      <c r="UOE82"/>
      <c r="UOF82"/>
      <c r="UOG82"/>
      <c r="UOH82"/>
      <c r="UOI82"/>
      <c r="UOJ82"/>
      <c r="UOK82"/>
      <c r="UOL82"/>
      <c r="UOM82"/>
      <c r="UON82"/>
      <c r="UOO82"/>
      <c r="UOP82"/>
      <c r="UOQ82"/>
      <c r="UOR82"/>
      <c r="UOS82"/>
      <c r="UOT82"/>
      <c r="UOU82"/>
      <c r="UOV82"/>
      <c r="UOW82"/>
      <c r="UOX82"/>
      <c r="UOY82"/>
      <c r="UOZ82"/>
      <c r="UPA82"/>
      <c r="UPB82"/>
      <c r="UPC82"/>
      <c r="UPD82"/>
      <c r="UPE82"/>
      <c r="UPF82"/>
      <c r="UPG82"/>
      <c r="UPH82"/>
      <c r="UPI82"/>
      <c r="UPJ82"/>
      <c r="UPK82"/>
      <c r="UPL82"/>
      <c r="UPM82"/>
      <c r="UPN82"/>
      <c r="UPO82"/>
      <c r="UPP82"/>
      <c r="UPQ82"/>
      <c r="UPR82"/>
      <c r="UPS82"/>
      <c r="UPT82"/>
      <c r="UPU82"/>
      <c r="UPV82"/>
      <c r="UPW82"/>
      <c r="UPX82"/>
      <c r="UPY82"/>
      <c r="UPZ82"/>
      <c r="UQA82"/>
      <c r="UQB82"/>
      <c r="UQC82"/>
      <c r="UQD82"/>
      <c r="UQE82"/>
      <c r="UQF82"/>
      <c r="UQG82"/>
      <c r="UQH82"/>
      <c r="UQI82"/>
      <c r="UQJ82"/>
      <c r="UQK82"/>
      <c r="UQL82"/>
      <c r="UQM82"/>
      <c r="UQN82"/>
      <c r="UQO82"/>
      <c r="UQP82"/>
      <c r="UQQ82"/>
      <c r="UQR82"/>
      <c r="UQS82"/>
      <c r="UQT82"/>
      <c r="UQU82"/>
      <c r="UQV82"/>
      <c r="UQW82"/>
      <c r="UQX82"/>
      <c r="UQY82"/>
      <c r="UQZ82"/>
      <c r="URA82"/>
      <c r="URB82"/>
      <c r="URC82"/>
      <c r="URD82"/>
      <c r="URE82"/>
      <c r="URF82"/>
      <c r="URG82"/>
      <c r="URH82"/>
      <c r="URI82"/>
      <c r="URJ82"/>
      <c r="URK82"/>
      <c r="URL82"/>
      <c r="URM82"/>
      <c r="URN82"/>
      <c r="URO82"/>
      <c r="URP82"/>
      <c r="URQ82"/>
      <c r="URR82"/>
      <c r="URS82"/>
      <c r="URT82"/>
      <c r="URU82"/>
      <c r="URV82"/>
      <c r="URW82"/>
      <c r="URX82"/>
      <c r="URY82"/>
      <c r="URZ82"/>
      <c r="USA82"/>
      <c r="USB82"/>
      <c r="USC82"/>
      <c r="USD82"/>
      <c r="USE82"/>
      <c r="USF82"/>
      <c r="USG82"/>
      <c r="USH82"/>
      <c r="USI82"/>
      <c r="USJ82"/>
      <c r="USK82"/>
      <c r="USL82"/>
      <c r="USM82"/>
      <c r="USN82"/>
      <c r="USO82"/>
      <c r="USP82"/>
      <c r="USQ82"/>
      <c r="USR82"/>
      <c r="USS82"/>
      <c r="UST82"/>
      <c r="USU82"/>
      <c r="USV82"/>
      <c r="USW82"/>
      <c r="USX82"/>
      <c r="USY82"/>
      <c r="USZ82"/>
      <c r="UTA82"/>
      <c r="UTB82"/>
      <c r="UTC82"/>
      <c r="UTD82"/>
      <c r="UTE82"/>
      <c r="UTF82"/>
      <c r="UTG82"/>
      <c r="UTH82"/>
      <c r="UTI82"/>
      <c r="UTJ82"/>
      <c r="UTK82"/>
      <c r="UTL82"/>
      <c r="UTM82"/>
      <c r="UTN82"/>
      <c r="UTO82"/>
      <c r="UTP82"/>
      <c r="UTQ82"/>
      <c r="UTR82"/>
      <c r="UTS82"/>
      <c r="UTT82"/>
      <c r="UTU82"/>
      <c r="UTV82"/>
      <c r="UTW82"/>
      <c r="UTX82"/>
      <c r="UTY82"/>
      <c r="UTZ82"/>
      <c r="UUA82"/>
      <c r="UUB82"/>
      <c r="UUC82"/>
      <c r="UUD82"/>
      <c r="UUE82"/>
      <c r="UUF82"/>
      <c r="UUG82"/>
      <c r="UUH82"/>
      <c r="UUI82"/>
      <c r="UUJ82"/>
      <c r="UUK82"/>
      <c r="UUL82"/>
      <c r="UUM82"/>
      <c r="UUN82"/>
      <c r="UUO82"/>
      <c r="UUP82"/>
      <c r="UUQ82"/>
      <c r="UUR82"/>
      <c r="UUS82"/>
      <c r="UUT82"/>
      <c r="UUU82"/>
      <c r="UUV82"/>
      <c r="UUW82"/>
      <c r="UUX82"/>
      <c r="UUY82"/>
      <c r="UUZ82"/>
      <c r="UVA82"/>
      <c r="UVB82"/>
      <c r="UVC82"/>
      <c r="UVD82"/>
      <c r="UVE82"/>
      <c r="UVF82"/>
      <c r="UVG82"/>
      <c r="UVH82"/>
      <c r="UVI82"/>
      <c r="UVJ82"/>
      <c r="UVK82"/>
      <c r="UVL82"/>
      <c r="UVM82"/>
      <c r="UVN82"/>
      <c r="UVO82"/>
      <c r="UVP82"/>
      <c r="UVQ82"/>
      <c r="UVR82"/>
      <c r="UVS82"/>
      <c r="UVT82"/>
      <c r="UVU82"/>
      <c r="UVV82"/>
      <c r="UVW82"/>
      <c r="UVX82"/>
      <c r="UVY82"/>
      <c r="UVZ82"/>
      <c r="UWA82"/>
      <c r="UWB82"/>
      <c r="UWC82"/>
      <c r="UWD82"/>
      <c r="UWE82"/>
      <c r="UWF82"/>
      <c r="UWG82"/>
      <c r="UWH82"/>
      <c r="UWI82"/>
      <c r="UWJ82"/>
      <c r="UWK82"/>
      <c r="UWL82"/>
      <c r="UWM82"/>
      <c r="UWN82"/>
      <c r="UWO82"/>
      <c r="UWP82"/>
      <c r="UWQ82"/>
      <c r="UWR82"/>
      <c r="UWS82"/>
      <c r="UWT82"/>
      <c r="UWU82"/>
      <c r="UWV82"/>
      <c r="UWW82"/>
      <c r="UWX82"/>
      <c r="UWY82"/>
      <c r="UWZ82"/>
      <c r="UXA82"/>
      <c r="UXB82"/>
      <c r="UXC82"/>
      <c r="UXD82"/>
      <c r="UXE82"/>
      <c r="UXF82"/>
      <c r="UXG82"/>
      <c r="UXH82"/>
      <c r="UXI82"/>
      <c r="UXJ82"/>
      <c r="UXK82"/>
      <c r="UXL82"/>
      <c r="UXM82"/>
      <c r="UXN82"/>
      <c r="UXO82"/>
      <c r="UXP82"/>
      <c r="UXQ82"/>
      <c r="UXR82"/>
      <c r="UXS82"/>
      <c r="UXT82"/>
      <c r="UXU82"/>
      <c r="UXV82"/>
      <c r="UXW82"/>
      <c r="UXX82"/>
      <c r="UXY82"/>
      <c r="UXZ82"/>
      <c r="UYA82"/>
      <c r="UYB82"/>
      <c r="UYC82"/>
      <c r="UYD82"/>
      <c r="UYE82"/>
      <c r="UYF82"/>
      <c r="UYG82"/>
      <c r="UYH82"/>
      <c r="UYI82"/>
      <c r="UYJ82"/>
      <c r="UYK82"/>
      <c r="UYL82"/>
      <c r="UYM82"/>
      <c r="UYN82"/>
      <c r="UYO82"/>
      <c r="UYP82"/>
      <c r="UYQ82"/>
      <c r="UYR82"/>
      <c r="UYS82"/>
      <c r="UYT82"/>
      <c r="UYU82"/>
      <c r="UYV82"/>
      <c r="UYW82"/>
      <c r="UYX82"/>
      <c r="UYY82"/>
      <c r="UYZ82"/>
      <c r="UZA82"/>
      <c r="UZB82"/>
      <c r="UZC82"/>
      <c r="UZD82"/>
      <c r="UZE82"/>
      <c r="UZF82"/>
      <c r="UZG82"/>
      <c r="UZH82"/>
      <c r="UZI82"/>
      <c r="UZJ82"/>
      <c r="UZK82"/>
      <c r="UZL82"/>
      <c r="UZM82"/>
      <c r="UZN82"/>
      <c r="UZO82"/>
      <c r="UZP82"/>
      <c r="UZQ82"/>
      <c r="UZR82"/>
      <c r="UZS82"/>
      <c r="UZT82"/>
      <c r="UZU82"/>
      <c r="UZV82"/>
      <c r="UZW82"/>
      <c r="UZX82"/>
      <c r="UZY82"/>
      <c r="UZZ82"/>
      <c r="VAA82"/>
      <c r="VAB82"/>
      <c r="VAC82"/>
      <c r="VAD82"/>
      <c r="VAE82"/>
      <c r="VAF82"/>
      <c r="VAG82"/>
      <c r="VAH82"/>
      <c r="VAI82"/>
      <c r="VAJ82"/>
      <c r="VAK82"/>
      <c r="VAL82"/>
      <c r="VAM82"/>
      <c r="VAN82"/>
      <c r="VAO82"/>
      <c r="VAP82"/>
      <c r="VAQ82"/>
      <c r="VAR82"/>
      <c r="VAS82"/>
      <c r="VAT82"/>
      <c r="VAU82"/>
      <c r="VAV82"/>
      <c r="VAW82"/>
      <c r="VAX82"/>
      <c r="VAY82"/>
      <c r="VAZ82"/>
      <c r="VBA82"/>
      <c r="VBB82"/>
      <c r="VBC82"/>
      <c r="VBD82"/>
      <c r="VBE82"/>
      <c r="VBF82"/>
      <c r="VBG82"/>
      <c r="VBH82"/>
      <c r="VBI82"/>
      <c r="VBJ82"/>
      <c r="VBK82"/>
      <c r="VBL82"/>
      <c r="VBM82"/>
      <c r="VBN82"/>
      <c r="VBO82"/>
      <c r="VBP82"/>
      <c r="VBQ82"/>
      <c r="VBR82"/>
      <c r="VBS82"/>
      <c r="VBT82"/>
      <c r="VBU82"/>
      <c r="VBV82"/>
      <c r="VBW82"/>
      <c r="VBX82"/>
      <c r="VBY82"/>
      <c r="VBZ82"/>
      <c r="VCA82"/>
      <c r="VCB82"/>
      <c r="VCC82"/>
      <c r="VCD82"/>
      <c r="VCE82"/>
      <c r="VCF82"/>
      <c r="VCG82"/>
      <c r="VCH82"/>
      <c r="VCI82"/>
      <c r="VCJ82"/>
      <c r="VCK82"/>
      <c r="VCL82"/>
      <c r="VCM82"/>
      <c r="VCN82"/>
      <c r="VCO82"/>
      <c r="VCP82"/>
      <c r="VCQ82"/>
      <c r="VCR82"/>
      <c r="VCS82"/>
      <c r="VCT82"/>
      <c r="VCU82"/>
      <c r="VCV82"/>
      <c r="VCW82"/>
      <c r="VCX82"/>
      <c r="VCY82"/>
      <c r="VCZ82"/>
      <c r="VDA82"/>
      <c r="VDB82"/>
      <c r="VDC82"/>
      <c r="VDD82"/>
      <c r="VDE82"/>
      <c r="VDF82"/>
      <c r="VDG82"/>
      <c r="VDH82"/>
      <c r="VDI82"/>
      <c r="VDJ82"/>
      <c r="VDK82"/>
      <c r="VDL82"/>
      <c r="VDM82"/>
      <c r="VDN82"/>
      <c r="VDO82"/>
      <c r="VDP82"/>
      <c r="VDQ82"/>
      <c r="VDR82"/>
      <c r="VDS82"/>
      <c r="VDT82"/>
      <c r="VDU82"/>
      <c r="VDV82"/>
      <c r="VDW82"/>
      <c r="VDX82"/>
      <c r="VDY82"/>
      <c r="VDZ82"/>
      <c r="VEA82"/>
      <c r="VEB82"/>
      <c r="VEC82"/>
      <c r="VED82"/>
      <c r="VEE82"/>
      <c r="VEF82"/>
      <c r="VEG82"/>
      <c r="VEH82"/>
      <c r="VEI82"/>
      <c r="VEJ82"/>
      <c r="VEK82"/>
      <c r="VEL82"/>
      <c r="VEM82"/>
      <c r="VEN82"/>
      <c r="VEO82"/>
      <c r="VEP82"/>
      <c r="VEQ82"/>
      <c r="VER82"/>
      <c r="VES82"/>
      <c r="VET82"/>
      <c r="VEU82"/>
      <c r="VEV82"/>
      <c r="VEW82"/>
      <c r="VEX82"/>
      <c r="VEY82"/>
      <c r="VEZ82"/>
      <c r="VFA82"/>
      <c r="VFB82"/>
      <c r="VFC82"/>
      <c r="VFD82"/>
      <c r="VFE82"/>
      <c r="VFF82"/>
      <c r="VFG82"/>
      <c r="VFH82"/>
      <c r="VFI82"/>
      <c r="VFJ82"/>
      <c r="VFK82"/>
      <c r="VFL82"/>
      <c r="VFM82"/>
      <c r="VFN82"/>
      <c r="VFO82"/>
      <c r="VFP82"/>
      <c r="VFQ82"/>
      <c r="VFR82"/>
      <c r="VFS82"/>
      <c r="VFT82"/>
      <c r="VFU82"/>
      <c r="VFV82"/>
      <c r="VFW82"/>
      <c r="VFX82"/>
      <c r="VFY82"/>
      <c r="VFZ82"/>
      <c r="VGA82"/>
      <c r="VGB82"/>
      <c r="VGC82"/>
      <c r="VGD82"/>
      <c r="VGE82"/>
      <c r="VGF82"/>
      <c r="VGG82"/>
      <c r="VGH82"/>
      <c r="VGI82"/>
      <c r="VGJ82"/>
      <c r="VGK82"/>
      <c r="VGL82"/>
      <c r="VGM82"/>
      <c r="VGN82"/>
      <c r="VGO82"/>
      <c r="VGP82"/>
      <c r="VGQ82"/>
      <c r="VGR82"/>
      <c r="VGS82"/>
      <c r="VGT82"/>
      <c r="VGU82"/>
      <c r="VGV82"/>
      <c r="VGW82"/>
      <c r="VGX82"/>
      <c r="VGY82"/>
      <c r="VGZ82"/>
      <c r="VHA82"/>
      <c r="VHB82"/>
      <c r="VHC82"/>
      <c r="VHD82"/>
      <c r="VHE82"/>
      <c r="VHF82"/>
      <c r="VHG82"/>
      <c r="VHH82"/>
      <c r="VHI82"/>
      <c r="VHJ82"/>
      <c r="VHK82"/>
      <c r="VHL82"/>
      <c r="VHM82"/>
      <c r="VHN82"/>
      <c r="VHO82"/>
      <c r="VHP82"/>
      <c r="VHQ82"/>
      <c r="VHR82"/>
      <c r="VHS82"/>
      <c r="VHT82"/>
      <c r="VHU82"/>
      <c r="VHV82"/>
      <c r="VHW82"/>
      <c r="VHX82"/>
      <c r="VHY82"/>
      <c r="VHZ82"/>
      <c r="VIA82"/>
      <c r="VIB82"/>
      <c r="VIC82"/>
      <c r="VID82"/>
      <c r="VIE82"/>
      <c r="VIF82"/>
      <c r="VIG82"/>
      <c r="VIH82"/>
      <c r="VII82"/>
      <c r="VIJ82"/>
      <c r="VIK82"/>
      <c r="VIL82"/>
      <c r="VIM82"/>
      <c r="VIN82"/>
      <c r="VIO82"/>
      <c r="VIP82"/>
      <c r="VIQ82"/>
      <c r="VIR82"/>
      <c r="VIS82"/>
      <c r="VIT82"/>
      <c r="VIU82"/>
      <c r="VIV82"/>
      <c r="VIW82"/>
      <c r="VIX82"/>
      <c r="VIY82"/>
      <c r="VIZ82"/>
      <c r="VJA82"/>
      <c r="VJB82"/>
      <c r="VJC82"/>
      <c r="VJD82"/>
      <c r="VJE82"/>
      <c r="VJF82"/>
      <c r="VJG82"/>
      <c r="VJH82"/>
      <c r="VJI82"/>
      <c r="VJJ82"/>
      <c r="VJK82"/>
      <c r="VJL82"/>
      <c r="VJM82"/>
      <c r="VJN82"/>
      <c r="VJO82"/>
      <c r="VJP82"/>
      <c r="VJQ82"/>
      <c r="VJR82"/>
      <c r="VJS82"/>
      <c r="VJT82"/>
      <c r="VJU82"/>
      <c r="VJV82"/>
      <c r="VJW82"/>
      <c r="VJX82"/>
      <c r="VJY82"/>
      <c r="VJZ82"/>
      <c r="VKA82"/>
      <c r="VKB82"/>
      <c r="VKC82"/>
      <c r="VKD82"/>
      <c r="VKE82"/>
      <c r="VKF82"/>
      <c r="VKG82"/>
      <c r="VKH82"/>
      <c r="VKI82"/>
      <c r="VKJ82"/>
      <c r="VKK82"/>
      <c r="VKL82"/>
      <c r="VKM82"/>
      <c r="VKN82"/>
      <c r="VKO82"/>
      <c r="VKP82"/>
      <c r="VKQ82"/>
      <c r="VKR82"/>
      <c r="VKS82"/>
      <c r="VKT82"/>
      <c r="VKU82"/>
      <c r="VKV82"/>
      <c r="VKW82"/>
      <c r="VKX82"/>
      <c r="VKY82"/>
      <c r="VKZ82"/>
      <c r="VLA82"/>
      <c r="VLB82"/>
      <c r="VLC82"/>
      <c r="VLD82"/>
      <c r="VLE82"/>
      <c r="VLF82"/>
      <c r="VLG82"/>
      <c r="VLH82"/>
      <c r="VLI82"/>
      <c r="VLJ82"/>
      <c r="VLK82"/>
      <c r="VLL82"/>
      <c r="VLM82"/>
      <c r="VLN82"/>
      <c r="VLO82"/>
      <c r="VLP82"/>
      <c r="VLQ82"/>
      <c r="VLR82"/>
      <c r="VLS82"/>
      <c r="VLT82"/>
      <c r="VLU82"/>
      <c r="VLV82"/>
      <c r="VLW82"/>
      <c r="VLX82"/>
      <c r="VLY82"/>
      <c r="VLZ82"/>
      <c r="VMA82"/>
      <c r="VMB82"/>
      <c r="VMC82"/>
      <c r="VMD82"/>
      <c r="VME82"/>
      <c r="VMF82"/>
      <c r="VMG82"/>
      <c r="VMH82"/>
      <c r="VMI82"/>
      <c r="VMJ82"/>
      <c r="VMK82"/>
      <c r="VML82"/>
      <c r="VMM82"/>
      <c r="VMN82"/>
      <c r="VMO82"/>
      <c r="VMP82"/>
      <c r="VMQ82"/>
      <c r="VMR82"/>
      <c r="VMS82"/>
      <c r="VMT82"/>
      <c r="VMU82"/>
      <c r="VMV82"/>
      <c r="VMW82"/>
      <c r="VMX82"/>
      <c r="VMY82"/>
      <c r="VMZ82"/>
      <c r="VNA82"/>
      <c r="VNB82"/>
      <c r="VNC82"/>
      <c r="VND82"/>
      <c r="VNE82"/>
      <c r="VNF82"/>
      <c r="VNG82"/>
      <c r="VNH82"/>
      <c r="VNI82"/>
      <c r="VNJ82"/>
      <c r="VNK82"/>
      <c r="VNL82"/>
      <c r="VNM82"/>
      <c r="VNN82"/>
      <c r="VNO82"/>
      <c r="VNP82"/>
      <c r="VNQ82"/>
      <c r="VNR82"/>
      <c r="VNS82"/>
      <c r="VNT82"/>
      <c r="VNU82"/>
      <c r="VNV82"/>
      <c r="VNW82"/>
      <c r="VNX82"/>
      <c r="VNY82"/>
      <c r="VNZ82"/>
      <c r="VOA82"/>
      <c r="VOB82"/>
      <c r="VOC82"/>
      <c r="VOD82"/>
      <c r="VOE82"/>
      <c r="VOF82"/>
      <c r="VOG82"/>
      <c r="VOH82"/>
      <c r="VOI82"/>
      <c r="VOJ82"/>
      <c r="VOK82"/>
      <c r="VOL82"/>
      <c r="VOM82"/>
      <c r="VON82"/>
      <c r="VOO82"/>
      <c r="VOP82"/>
      <c r="VOQ82"/>
      <c r="VOR82"/>
      <c r="VOS82"/>
      <c r="VOT82"/>
      <c r="VOU82"/>
      <c r="VOV82"/>
      <c r="VOW82"/>
      <c r="VOX82"/>
      <c r="VOY82"/>
      <c r="VOZ82"/>
      <c r="VPA82"/>
      <c r="VPB82"/>
      <c r="VPC82"/>
      <c r="VPD82"/>
      <c r="VPE82"/>
      <c r="VPF82"/>
      <c r="VPG82"/>
      <c r="VPH82"/>
      <c r="VPI82"/>
      <c r="VPJ82"/>
      <c r="VPK82"/>
      <c r="VPL82"/>
      <c r="VPM82"/>
      <c r="VPN82"/>
      <c r="VPO82"/>
      <c r="VPP82"/>
      <c r="VPQ82"/>
      <c r="VPR82"/>
      <c r="VPS82"/>
      <c r="VPT82"/>
      <c r="VPU82"/>
      <c r="VPV82"/>
      <c r="VPW82"/>
      <c r="VPX82"/>
      <c r="VPY82"/>
      <c r="VPZ82"/>
      <c r="VQA82"/>
      <c r="VQB82"/>
      <c r="VQC82"/>
      <c r="VQD82"/>
      <c r="VQE82"/>
      <c r="VQF82"/>
      <c r="VQG82"/>
      <c r="VQH82"/>
      <c r="VQI82"/>
      <c r="VQJ82"/>
      <c r="VQK82"/>
      <c r="VQL82"/>
      <c r="VQM82"/>
      <c r="VQN82"/>
      <c r="VQO82"/>
      <c r="VQP82"/>
      <c r="VQQ82"/>
      <c r="VQR82"/>
      <c r="VQS82"/>
      <c r="VQT82"/>
      <c r="VQU82"/>
      <c r="VQV82"/>
      <c r="VQW82"/>
      <c r="VQX82"/>
      <c r="VQY82"/>
      <c r="VQZ82"/>
      <c r="VRA82"/>
      <c r="VRB82"/>
      <c r="VRC82"/>
      <c r="VRD82"/>
      <c r="VRE82"/>
      <c r="VRF82"/>
      <c r="VRG82"/>
      <c r="VRH82"/>
      <c r="VRI82"/>
      <c r="VRJ82"/>
      <c r="VRK82"/>
      <c r="VRL82"/>
      <c r="VRM82"/>
      <c r="VRN82"/>
      <c r="VRO82"/>
      <c r="VRP82"/>
      <c r="VRQ82"/>
      <c r="VRR82"/>
      <c r="VRS82"/>
      <c r="VRT82"/>
      <c r="VRU82"/>
      <c r="VRV82"/>
      <c r="VRW82"/>
      <c r="VRX82"/>
      <c r="VRY82"/>
      <c r="VRZ82"/>
      <c r="VSA82"/>
      <c r="VSB82"/>
      <c r="VSC82"/>
      <c r="VSD82"/>
      <c r="VSE82"/>
      <c r="VSF82"/>
      <c r="VSG82"/>
      <c r="VSH82"/>
      <c r="VSI82"/>
      <c r="VSJ82"/>
      <c r="VSK82"/>
      <c r="VSL82"/>
      <c r="VSM82"/>
      <c r="VSN82"/>
      <c r="VSO82"/>
      <c r="VSP82"/>
      <c r="VSQ82"/>
      <c r="VSR82"/>
      <c r="VSS82"/>
      <c r="VST82"/>
      <c r="VSU82"/>
      <c r="VSV82"/>
      <c r="VSW82"/>
      <c r="VSX82"/>
      <c r="VSY82"/>
      <c r="VSZ82"/>
      <c r="VTA82"/>
      <c r="VTB82"/>
      <c r="VTC82"/>
      <c r="VTD82"/>
      <c r="VTE82"/>
      <c r="VTF82"/>
      <c r="VTG82"/>
      <c r="VTH82"/>
      <c r="VTI82"/>
      <c r="VTJ82"/>
      <c r="VTK82"/>
      <c r="VTL82"/>
      <c r="VTM82"/>
      <c r="VTN82"/>
      <c r="VTO82"/>
      <c r="VTP82"/>
      <c r="VTQ82"/>
      <c r="VTR82"/>
      <c r="VTS82"/>
      <c r="VTT82"/>
      <c r="VTU82"/>
      <c r="VTV82"/>
      <c r="VTW82"/>
      <c r="VTX82"/>
      <c r="VTY82"/>
      <c r="VTZ82"/>
      <c r="VUA82"/>
      <c r="VUB82"/>
      <c r="VUC82"/>
      <c r="VUD82"/>
      <c r="VUE82"/>
      <c r="VUF82"/>
      <c r="VUG82"/>
      <c r="VUH82"/>
      <c r="VUI82"/>
      <c r="VUJ82"/>
      <c r="VUK82"/>
      <c r="VUL82"/>
      <c r="VUM82"/>
      <c r="VUN82"/>
      <c r="VUO82"/>
      <c r="VUP82"/>
      <c r="VUQ82"/>
      <c r="VUR82"/>
      <c r="VUS82"/>
      <c r="VUT82"/>
      <c r="VUU82"/>
      <c r="VUV82"/>
      <c r="VUW82"/>
      <c r="VUX82"/>
      <c r="VUY82"/>
      <c r="VUZ82"/>
      <c r="VVA82"/>
      <c r="VVB82"/>
      <c r="VVC82"/>
      <c r="VVD82"/>
      <c r="VVE82"/>
      <c r="VVF82"/>
      <c r="VVG82"/>
      <c r="VVH82"/>
      <c r="VVI82"/>
      <c r="VVJ82"/>
      <c r="VVK82"/>
      <c r="VVL82"/>
      <c r="VVM82"/>
      <c r="VVN82"/>
      <c r="VVO82"/>
      <c r="VVP82"/>
      <c r="VVQ82"/>
      <c r="VVR82"/>
      <c r="VVS82"/>
      <c r="VVT82"/>
      <c r="VVU82"/>
      <c r="VVV82"/>
      <c r="VVW82"/>
      <c r="VVX82"/>
      <c r="VVY82"/>
      <c r="VVZ82"/>
      <c r="VWA82"/>
      <c r="VWB82"/>
      <c r="VWC82"/>
      <c r="VWD82"/>
      <c r="VWE82"/>
      <c r="VWF82"/>
      <c r="VWG82"/>
      <c r="VWH82"/>
      <c r="VWI82"/>
      <c r="VWJ82"/>
      <c r="VWK82"/>
      <c r="VWL82"/>
      <c r="VWM82"/>
      <c r="VWN82"/>
      <c r="VWO82"/>
      <c r="VWP82"/>
      <c r="VWQ82"/>
      <c r="VWR82"/>
      <c r="VWS82"/>
      <c r="VWT82"/>
      <c r="VWU82"/>
      <c r="VWV82"/>
      <c r="VWW82"/>
      <c r="VWX82"/>
      <c r="VWY82"/>
      <c r="VWZ82"/>
      <c r="VXA82"/>
      <c r="VXB82"/>
      <c r="VXC82"/>
      <c r="VXD82"/>
      <c r="VXE82"/>
      <c r="VXF82"/>
      <c r="VXG82"/>
      <c r="VXH82"/>
      <c r="VXI82"/>
      <c r="VXJ82"/>
      <c r="VXK82"/>
      <c r="VXL82"/>
      <c r="VXM82"/>
      <c r="VXN82"/>
      <c r="VXO82"/>
      <c r="VXP82"/>
      <c r="VXQ82"/>
      <c r="VXR82"/>
      <c r="VXS82"/>
      <c r="VXT82"/>
      <c r="VXU82"/>
      <c r="VXV82"/>
      <c r="VXW82"/>
      <c r="VXX82"/>
      <c r="VXY82"/>
      <c r="VXZ82"/>
      <c r="VYA82"/>
      <c r="VYB82"/>
      <c r="VYC82"/>
      <c r="VYD82"/>
      <c r="VYE82"/>
      <c r="VYF82"/>
      <c r="VYG82"/>
      <c r="VYH82"/>
      <c r="VYI82"/>
      <c r="VYJ82"/>
      <c r="VYK82"/>
      <c r="VYL82"/>
      <c r="VYM82"/>
      <c r="VYN82"/>
      <c r="VYO82"/>
      <c r="VYP82"/>
      <c r="VYQ82"/>
      <c r="VYR82"/>
      <c r="VYS82"/>
      <c r="VYT82"/>
      <c r="VYU82"/>
      <c r="VYV82"/>
      <c r="VYW82"/>
      <c r="VYX82"/>
      <c r="VYY82"/>
      <c r="VYZ82"/>
      <c r="VZA82"/>
      <c r="VZB82"/>
      <c r="VZC82"/>
      <c r="VZD82"/>
      <c r="VZE82"/>
      <c r="VZF82"/>
      <c r="VZG82"/>
      <c r="VZH82"/>
      <c r="VZI82"/>
      <c r="VZJ82"/>
      <c r="VZK82"/>
      <c r="VZL82"/>
      <c r="VZM82"/>
      <c r="VZN82"/>
      <c r="VZO82"/>
      <c r="VZP82"/>
      <c r="VZQ82"/>
      <c r="VZR82"/>
      <c r="VZS82"/>
      <c r="VZT82"/>
      <c r="VZU82"/>
      <c r="VZV82"/>
      <c r="VZW82"/>
      <c r="VZX82"/>
      <c r="VZY82"/>
      <c r="VZZ82"/>
      <c r="WAA82"/>
      <c r="WAB82"/>
      <c r="WAC82"/>
      <c r="WAD82"/>
      <c r="WAE82"/>
      <c r="WAF82"/>
      <c r="WAG82"/>
      <c r="WAH82"/>
      <c r="WAI82"/>
      <c r="WAJ82"/>
      <c r="WAK82"/>
      <c r="WAL82"/>
      <c r="WAM82"/>
      <c r="WAN82"/>
      <c r="WAO82"/>
      <c r="WAP82"/>
      <c r="WAQ82"/>
      <c r="WAR82"/>
      <c r="WAS82"/>
      <c r="WAT82"/>
      <c r="WAU82"/>
      <c r="WAV82"/>
      <c r="WAW82"/>
      <c r="WAX82"/>
      <c r="WAY82"/>
      <c r="WAZ82"/>
      <c r="WBA82"/>
      <c r="WBB82"/>
      <c r="WBC82"/>
      <c r="WBD82"/>
      <c r="WBE82"/>
      <c r="WBF82"/>
      <c r="WBG82"/>
      <c r="WBH82"/>
      <c r="WBI82"/>
      <c r="WBJ82"/>
      <c r="WBK82"/>
      <c r="WBL82"/>
      <c r="WBM82"/>
      <c r="WBN82"/>
      <c r="WBO82"/>
      <c r="WBP82"/>
      <c r="WBQ82"/>
      <c r="WBR82"/>
      <c r="WBS82"/>
      <c r="WBT82"/>
      <c r="WBU82"/>
      <c r="WBV82"/>
      <c r="WBW82"/>
      <c r="WBX82"/>
      <c r="WBY82"/>
      <c r="WBZ82"/>
      <c r="WCA82"/>
      <c r="WCB82"/>
      <c r="WCC82"/>
      <c r="WCD82"/>
      <c r="WCE82"/>
      <c r="WCF82"/>
      <c r="WCG82"/>
      <c r="WCH82"/>
      <c r="WCI82"/>
      <c r="WCJ82"/>
      <c r="WCK82"/>
      <c r="WCL82"/>
      <c r="WCM82"/>
      <c r="WCN82"/>
      <c r="WCO82"/>
      <c r="WCP82"/>
      <c r="WCQ82"/>
      <c r="WCR82"/>
      <c r="WCS82"/>
      <c r="WCT82"/>
      <c r="WCU82"/>
      <c r="WCV82"/>
      <c r="WCW82"/>
      <c r="WCX82"/>
      <c r="WCY82"/>
      <c r="WCZ82"/>
      <c r="WDA82"/>
      <c r="WDB82"/>
      <c r="WDC82"/>
      <c r="WDD82"/>
      <c r="WDE82"/>
      <c r="WDF82"/>
      <c r="WDG82"/>
      <c r="WDH82"/>
      <c r="WDI82"/>
      <c r="WDJ82"/>
      <c r="WDK82"/>
      <c r="WDL82"/>
      <c r="WDM82"/>
      <c r="WDN82"/>
      <c r="WDO82"/>
      <c r="WDP82"/>
      <c r="WDQ82"/>
      <c r="WDR82"/>
      <c r="WDS82"/>
      <c r="WDT82"/>
      <c r="WDU82"/>
      <c r="WDV82"/>
      <c r="WDW82"/>
      <c r="WDX82"/>
      <c r="WDY82"/>
      <c r="WDZ82"/>
      <c r="WEA82"/>
      <c r="WEB82"/>
      <c r="WEC82"/>
      <c r="WED82"/>
      <c r="WEE82"/>
      <c r="WEF82"/>
      <c r="WEG82"/>
      <c r="WEH82"/>
      <c r="WEI82"/>
      <c r="WEJ82"/>
      <c r="WEK82"/>
      <c r="WEL82"/>
      <c r="WEM82"/>
      <c r="WEN82"/>
      <c r="WEO82"/>
      <c r="WEP82"/>
      <c r="WEQ82"/>
      <c r="WER82"/>
      <c r="WES82"/>
      <c r="WET82"/>
      <c r="WEU82"/>
      <c r="WEV82"/>
      <c r="WEW82"/>
      <c r="WEX82"/>
      <c r="WEY82"/>
      <c r="WEZ82"/>
      <c r="WFA82"/>
      <c r="WFB82"/>
      <c r="WFC82"/>
      <c r="WFD82"/>
      <c r="WFE82"/>
      <c r="WFF82"/>
      <c r="WFG82"/>
      <c r="WFH82"/>
      <c r="WFI82"/>
      <c r="WFJ82"/>
      <c r="WFK82"/>
      <c r="WFL82"/>
      <c r="WFM82"/>
      <c r="WFN82"/>
      <c r="WFO82"/>
      <c r="WFP82"/>
      <c r="WFQ82"/>
      <c r="WFR82"/>
      <c r="WFS82"/>
      <c r="WFT82"/>
      <c r="WFU82"/>
      <c r="WFV82"/>
      <c r="WFW82"/>
      <c r="WFX82"/>
      <c r="WFY82"/>
      <c r="WFZ82"/>
      <c r="WGA82"/>
      <c r="WGB82"/>
      <c r="WGC82"/>
      <c r="WGD82"/>
      <c r="WGE82"/>
      <c r="WGF82"/>
      <c r="WGG82"/>
      <c r="WGH82"/>
      <c r="WGI82"/>
      <c r="WGJ82"/>
      <c r="WGK82"/>
      <c r="WGL82"/>
      <c r="WGM82"/>
      <c r="WGN82"/>
      <c r="WGO82"/>
      <c r="WGP82"/>
      <c r="WGQ82"/>
      <c r="WGR82"/>
      <c r="WGS82"/>
      <c r="WGT82"/>
      <c r="WGU82"/>
      <c r="WGV82"/>
      <c r="WGW82"/>
      <c r="WGX82"/>
      <c r="WGY82"/>
      <c r="WGZ82"/>
      <c r="WHA82"/>
      <c r="WHB82"/>
      <c r="WHC82"/>
      <c r="WHD82"/>
      <c r="WHE82"/>
      <c r="WHF82"/>
      <c r="WHG82"/>
      <c r="WHH82"/>
      <c r="WHI82"/>
      <c r="WHJ82"/>
      <c r="WHK82"/>
      <c r="WHL82"/>
      <c r="WHM82"/>
      <c r="WHN82"/>
      <c r="WHO82"/>
      <c r="WHP82"/>
      <c r="WHQ82"/>
      <c r="WHR82"/>
      <c r="WHS82"/>
      <c r="WHT82"/>
      <c r="WHU82"/>
      <c r="WHV82"/>
      <c r="WHW82"/>
      <c r="WHX82"/>
      <c r="WHY82"/>
      <c r="WHZ82"/>
      <c r="WIA82"/>
      <c r="WIB82"/>
      <c r="WIC82"/>
      <c r="WID82"/>
      <c r="WIE82"/>
      <c r="WIF82"/>
      <c r="WIG82"/>
      <c r="WIH82"/>
      <c r="WII82"/>
      <c r="WIJ82"/>
      <c r="WIK82"/>
      <c r="WIL82"/>
      <c r="WIM82"/>
      <c r="WIN82"/>
      <c r="WIO82"/>
      <c r="WIP82"/>
      <c r="WIQ82"/>
      <c r="WIR82"/>
      <c r="WIS82"/>
      <c r="WIT82"/>
      <c r="WIU82"/>
      <c r="WIV82"/>
      <c r="WIW82"/>
      <c r="WIX82"/>
      <c r="WIY82"/>
      <c r="WIZ82"/>
      <c r="WJA82"/>
      <c r="WJB82"/>
      <c r="WJC82"/>
      <c r="WJD82"/>
      <c r="WJE82"/>
      <c r="WJF82"/>
      <c r="WJG82"/>
      <c r="WJH82"/>
      <c r="WJI82"/>
      <c r="WJJ82"/>
      <c r="WJK82"/>
      <c r="WJL82"/>
      <c r="WJM82"/>
      <c r="WJN82"/>
      <c r="WJO82"/>
      <c r="WJP82"/>
      <c r="WJQ82"/>
      <c r="WJR82"/>
      <c r="WJS82"/>
      <c r="WJT82"/>
      <c r="WJU82"/>
      <c r="WJV82"/>
      <c r="WJW82"/>
      <c r="WJX82"/>
      <c r="WJY82"/>
      <c r="WJZ82"/>
      <c r="WKA82"/>
      <c r="WKB82"/>
      <c r="WKC82"/>
      <c r="WKD82"/>
      <c r="WKE82"/>
      <c r="WKF82"/>
      <c r="WKG82"/>
      <c r="WKH82"/>
      <c r="WKI82"/>
      <c r="WKJ82"/>
      <c r="WKK82"/>
      <c r="WKL82"/>
      <c r="WKM82"/>
      <c r="WKN82"/>
      <c r="WKO82"/>
      <c r="WKP82"/>
      <c r="WKQ82"/>
      <c r="WKR82"/>
      <c r="WKS82"/>
      <c r="WKT82"/>
      <c r="WKU82"/>
      <c r="WKV82"/>
      <c r="WKW82"/>
      <c r="WKX82"/>
      <c r="WKY82"/>
      <c r="WKZ82"/>
      <c r="WLA82"/>
      <c r="WLB82"/>
      <c r="WLC82"/>
      <c r="WLD82"/>
      <c r="WLE82"/>
      <c r="WLF82"/>
      <c r="WLG82"/>
      <c r="WLH82"/>
      <c r="WLI82"/>
      <c r="WLJ82"/>
      <c r="WLK82"/>
      <c r="WLL82"/>
      <c r="WLM82"/>
      <c r="WLN82"/>
      <c r="WLO82"/>
      <c r="WLP82"/>
      <c r="WLQ82"/>
      <c r="WLR82"/>
      <c r="WLS82"/>
      <c r="WLT82"/>
      <c r="WLU82"/>
      <c r="WLV82"/>
      <c r="WLW82"/>
      <c r="WLX82"/>
      <c r="WLY82"/>
      <c r="WLZ82"/>
      <c r="WMA82"/>
      <c r="WMB82"/>
      <c r="WMC82"/>
      <c r="WMD82"/>
      <c r="WME82"/>
      <c r="WMF82"/>
      <c r="WMG82"/>
      <c r="WMH82"/>
      <c r="WMI82"/>
      <c r="WMJ82"/>
      <c r="WMK82"/>
      <c r="WML82"/>
      <c r="WMM82"/>
      <c r="WMN82"/>
      <c r="WMO82"/>
      <c r="WMP82"/>
      <c r="WMQ82"/>
      <c r="WMR82"/>
      <c r="WMS82"/>
      <c r="WMT82"/>
      <c r="WMU82"/>
      <c r="WMV82"/>
      <c r="WMW82"/>
      <c r="WMX82"/>
      <c r="WMY82"/>
      <c r="WMZ82"/>
      <c r="WNA82"/>
      <c r="WNB82"/>
      <c r="WNC82"/>
      <c r="WND82"/>
      <c r="WNE82"/>
      <c r="WNF82"/>
      <c r="WNG82"/>
      <c r="WNH82"/>
      <c r="WNI82"/>
      <c r="WNJ82"/>
      <c r="WNK82"/>
      <c r="WNL82"/>
      <c r="WNM82"/>
      <c r="WNN82"/>
      <c r="WNO82"/>
      <c r="WNP82"/>
      <c r="WNQ82"/>
      <c r="WNR82"/>
      <c r="WNS82"/>
      <c r="WNT82"/>
      <c r="WNU82"/>
      <c r="WNV82"/>
      <c r="WNW82"/>
      <c r="WNX82"/>
      <c r="WNY82"/>
      <c r="WNZ82"/>
      <c r="WOA82"/>
      <c r="WOB82"/>
      <c r="WOC82"/>
      <c r="WOD82"/>
      <c r="WOE82"/>
      <c r="WOF82"/>
      <c r="WOG82"/>
      <c r="WOH82"/>
      <c r="WOI82"/>
      <c r="WOJ82"/>
      <c r="WOK82"/>
      <c r="WOL82"/>
      <c r="WOM82"/>
      <c r="WON82"/>
      <c r="WOO82"/>
      <c r="WOP82"/>
      <c r="WOQ82"/>
      <c r="WOR82"/>
      <c r="WOS82"/>
      <c r="WOT82"/>
      <c r="WOU82"/>
      <c r="WOV82"/>
      <c r="WOW82"/>
      <c r="WOX82"/>
      <c r="WOY82"/>
      <c r="WOZ82"/>
      <c r="WPA82"/>
      <c r="WPB82"/>
      <c r="WPC82"/>
      <c r="WPD82"/>
      <c r="WPE82"/>
      <c r="WPF82"/>
      <c r="WPG82"/>
      <c r="WPH82"/>
      <c r="WPI82"/>
      <c r="WPJ82"/>
      <c r="WPK82"/>
      <c r="WPL82"/>
      <c r="WPM82"/>
      <c r="WPN82"/>
      <c r="WPO82"/>
      <c r="WPP82"/>
      <c r="WPQ82"/>
      <c r="WPR82"/>
      <c r="WPS82"/>
      <c r="WPT82"/>
      <c r="WPU82"/>
      <c r="WPV82"/>
      <c r="WPW82"/>
      <c r="WPX82"/>
      <c r="WPY82"/>
      <c r="WPZ82"/>
      <c r="WQA82"/>
      <c r="WQB82"/>
      <c r="WQC82"/>
      <c r="WQD82"/>
      <c r="WQE82"/>
      <c r="WQF82"/>
      <c r="WQG82"/>
      <c r="WQH82"/>
      <c r="WQI82"/>
      <c r="WQJ82"/>
      <c r="WQK82"/>
      <c r="WQL82"/>
      <c r="WQM82"/>
      <c r="WQN82"/>
      <c r="WQO82"/>
      <c r="WQP82"/>
      <c r="WQQ82"/>
      <c r="WQR82"/>
      <c r="WQS82"/>
      <c r="WQT82"/>
      <c r="WQU82"/>
      <c r="WQV82"/>
      <c r="WQW82"/>
      <c r="WQX82"/>
      <c r="WQY82"/>
      <c r="WQZ82"/>
      <c r="WRA82"/>
      <c r="WRB82"/>
      <c r="WRC82"/>
      <c r="WRD82"/>
      <c r="WRE82"/>
      <c r="WRF82"/>
      <c r="WRG82"/>
      <c r="WRH82"/>
      <c r="WRI82"/>
      <c r="WRJ82"/>
      <c r="WRK82"/>
      <c r="WRL82"/>
      <c r="WRM82"/>
      <c r="WRN82"/>
      <c r="WRO82"/>
      <c r="WRP82"/>
      <c r="WRQ82"/>
      <c r="WRR82"/>
      <c r="WRS82"/>
      <c r="WRT82"/>
      <c r="WRU82"/>
      <c r="WRV82"/>
      <c r="WRW82"/>
      <c r="WRX82"/>
      <c r="WRY82"/>
      <c r="WRZ82"/>
      <c r="WSA82"/>
      <c r="WSB82"/>
      <c r="WSC82"/>
      <c r="WSD82"/>
      <c r="WSE82"/>
      <c r="WSF82"/>
      <c r="WSG82"/>
      <c r="WSH82"/>
      <c r="WSI82"/>
      <c r="WSJ82"/>
      <c r="WSK82"/>
      <c r="WSL82"/>
      <c r="WSM82"/>
      <c r="WSN82"/>
      <c r="WSO82"/>
      <c r="WSP82"/>
      <c r="WSQ82"/>
      <c r="WSR82"/>
      <c r="WSS82"/>
      <c r="WST82"/>
      <c r="WSU82"/>
      <c r="WSV82"/>
      <c r="WSW82"/>
      <c r="WSX82"/>
      <c r="WSY82"/>
      <c r="WSZ82"/>
      <c r="WTA82"/>
      <c r="WTB82"/>
      <c r="WTC82"/>
      <c r="WTD82"/>
      <c r="WTE82"/>
      <c r="WTF82"/>
      <c r="WTG82"/>
      <c r="WTH82"/>
      <c r="WTI82"/>
      <c r="WTJ82"/>
      <c r="WTK82"/>
      <c r="WTL82"/>
      <c r="WTM82"/>
      <c r="WTN82"/>
      <c r="WTO82"/>
      <c r="WTP82"/>
      <c r="WTQ82"/>
      <c r="WTR82"/>
      <c r="WTS82"/>
      <c r="WTT82"/>
      <c r="WTU82"/>
      <c r="WTV82"/>
      <c r="WTW82"/>
      <c r="WTX82"/>
      <c r="WTY82"/>
      <c r="WTZ82"/>
      <c r="WUA82"/>
      <c r="WUB82"/>
      <c r="WUC82"/>
      <c r="WUD82"/>
      <c r="WUE82"/>
      <c r="WUF82"/>
      <c r="WUG82"/>
      <c r="WUH82"/>
      <c r="WUI82"/>
      <c r="WUJ82"/>
      <c r="WUK82"/>
      <c r="WUL82"/>
      <c r="WUM82"/>
      <c r="WUN82"/>
      <c r="WUO82"/>
      <c r="WUP82"/>
      <c r="WUQ82"/>
      <c r="WUR82"/>
      <c r="WUS82"/>
      <c r="WUT82"/>
      <c r="WUU82"/>
      <c r="WUV82"/>
      <c r="WUW82"/>
      <c r="WUX82"/>
      <c r="WUY82"/>
      <c r="WUZ82"/>
      <c r="WVA82"/>
      <c r="WVB82"/>
      <c r="WVC82"/>
      <c r="WVD82"/>
      <c r="WVE82"/>
      <c r="WVF82"/>
      <c r="WVG82"/>
      <c r="WVH82"/>
      <c r="WVI82"/>
      <c r="WVJ82"/>
      <c r="WVK82"/>
      <c r="WVL82"/>
      <c r="WVM82"/>
      <c r="WVN82"/>
      <c r="WVO82"/>
      <c r="WVP82"/>
    </row>
    <row r="83" spans="1:16136"/>
    <row r="84" spans="1:16136"/>
    <row r="85" spans="1:16136"/>
    <row r="86" spans="1:16136"/>
    <row r="87" spans="1:16136"/>
    <row r="88" spans="1:16136"/>
    <row r="89" spans="1:16136"/>
    <row r="90" spans="1:16136"/>
    <row r="91" spans="1:16136"/>
    <row r="92" spans="1:16136"/>
    <row r="93" spans="1:16136"/>
    <row r="94" spans="1:16136"/>
    <row r="95" spans="1:16136"/>
    <row r="96" spans="1:16136"/>
    <row r="1048574" hidden="1" collapsed="1"/>
  </sheetData>
  <mergeCells count="5">
    <mergeCell ref="C79:J81"/>
    <mergeCell ref="I72:K74"/>
    <mergeCell ref="C16:I16"/>
    <mergeCell ref="B1:G5"/>
    <mergeCell ref="G7:H8"/>
  </mergeCells>
  <phoneticPr fontId="24" type="noConversion"/>
  <conditionalFormatting sqref="B1:B1048576">
    <cfRule type="cellIs" dxfId="45" priority="2" operator="equal">
      <formula>0</formula>
    </cfRule>
  </conditionalFormatting>
  <conditionalFormatting sqref="K1:K1048576 C78:J78">
    <cfRule type="cellIs" dxfId="44" priority="9904" operator="equal">
      <formula>0</formula>
    </cfRule>
  </conditionalFormatting>
  <dataValidations count="9">
    <dataValidation type="decimal" allowBlank="1" showErrorMessage="1" errorTitle="Unit Price" error="You must enter a number into this cell." promptTitle="Unit Price" sqref="WVN983076:WVN983107 JB65572:JB65603 SX65572:SX65603 ACT65572:ACT65603 AMP65572:AMP65603 AWL65572:AWL65603 BGH65572:BGH65603 BQD65572:BQD65603 BZZ65572:BZZ65603 CJV65572:CJV65603 CTR65572:CTR65603 DDN65572:DDN65603 DNJ65572:DNJ65603 DXF65572:DXF65603 EHB65572:EHB65603 EQX65572:EQX65603 FAT65572:FAT65603 FKP65572:FKP65603 FUL65572:FUL65603 GEH65572:GEH65603 GOD65572:GOD65603 GXZ65572:GXZ65603 HHV65572:HHV65603 HRR65572:HRR65603 IBN65572:IBN65603 ILJ65572:ILJ65603 IVF65572:IVF65603 JFB65572:JFB65603 JOX65572:JOX65603 JYT65572:JYT65603 KIP65572:KIP65603 KSL65572:KSL65603 LCH65572:LCH65603 LMD65572:LMD65603 LVZ65572:LVZ65603 MFV65572:MFV65603 MPR65572:MPR65603 MZN65572:MZN65603 NJJ65572:NJJ65603 NTF65572:NTF65603 ODB65572:ODB65603 OMX65572:OMX65603 OWT65572:OWT65603 PGP65572:PGP65603 PQL65572:PQL65603 QAH65572:QAH65603 QKD65572:QKD65603 QTZ65572:QTZ65603 RDV65572:RDV65603 RNR65572:RNR65603 RXN65572:RXN65603 SHJ65572:SHJ65603 SRF65572:SRF65603 TBB65572:TBB65603 TKX65572:TKX65603 TUT65572:TUT65603 UEP65572:UEP65603 UOL65572:UOL65603 UYH65572:UYH65603 VID65572:VID65603 VRZ65572:VRZ65603 WBV65572:WBV65603 WLR65572:WLR65603 WVN65572:WVN65603 JB131108:JB131139 SX131108:SX131139 ACT131108:ACT131139 AMP131108:AMP131139 AWL131108:AWL131139 BGH131108:BGH131139 BQD131108:BQD131139 BZZ131108:BZZ131139 CJV131108:CJV131139 CTR131108:CTR131139 DDN131108:DDN131139 DNJ131108:DNJ131139 DXF131108:DXF131139 EHB131108:EHB131139 EQX131108:EQX131139 FAT131108:FAT131139 FKP131108:FKP131139 FUL131108:FUL131139 GEH131108:GEH131139 GOD131108:GOD131139 GXZ131108:GXZ131139 HHV131108:HHV131139 HRR131108:HRR131139 IBN131108:IBN131139 ILJ131108:ILJ131139 IVF131108:IVF131139 JFB131108:JFB131139 JOX131108:JOX131139 JYT131108:JYT131139 KIP131108:KIP131139 KSL131108:KSL131139 LCH131108:LCH131139 LMD131108:LMD131139 LVZ131108:LVZ131139 MFV131108:MFV131139 MPR131108:MPR131139 MZN131108:MZN131139 NJJ131108:NJJ131139 NTF131108:NTF131139 ODB131108:ODB131139 OMX131108:OMX131139 OWT131108:OWT131139 PGP131108:PGP131139 PQL131108:PQL131139 QAH131108:QAH131139 QKD131108:QKD131139 QTZ131108:QTZ131139 RDV131108:RDV131139 RNR131108:RNR131139 RXN131108:RXN131139 SHJ131108:SHJ131139 SRF131108:SRF131139 TBB131108:TBB131139 TKX131108:TKX131139 TUT131108:TUT131139 UEP131108:UEP131139 UOL131108:UOL131139 UYH131108:UYH131139 VID131108:VID131139 VRZ131108:VRZ131139 WBV131108:WBV131139 WLR131108:WLR131139 WVN131108:WVN131139 JB196644:JB196675 SX196644:SX196675 ACT196644:ACT196675 AMP196644:AMP196675 AWL196644:AWL196675 BGH196644:BGH196675 BQD196644:BQD196675 BZZ196644:BZZ196675 CJV196644:CJV196675 CTR196644:CTR196675 DDN196644:DDN196675 DNJ196644:DNJ196675 DXF196644:DXF196675 EHB196644:EHB196675 EQX196644:EQX196675 FAT196644:FAT196675 FKP196644:FKP196675 FUL196644:FUL196675 GEH196644:GEH196675 GOD196644:GOD196675 GXZ196644:GXZ196675 HHV196644:HHV196675 HRR196644:HRR196675 IBN196644:IBN196675 ILJ196644:ILJ196675 IVF196644:IVF196675 JFB196644:JFB196675 JOX196644:JOX196675 JYT196644:JYT196675 KIP196644:KIP196675 KSL196644:KSL196675 LCH196644:LCH196675 LMD196644:LMD196675 LVZ196644:LVZ196675 MFV196644:MFV196675 MPR196644:MPR196675 MZN196644:MZN196675 NJJ196644:NJJ196675 NTF196644:NTF196675 ODB196644:ODB196675 OMX196644:OMX196675 OWT196644:OWT196675 PGP196644:PGP196675 PQL196644:PQL196675 QAH196644:QAH196675 QKD196644:QKD196675 QTZ196644:QTZ196675 RDV196644:RDV196675 RNR196644:RNR196675 RXN196644:RXN196675 SHJ196644:SHJ196675 SRF196644:SRF196675 TBB196644:TBB196675 TKX196644:TKX196675 TUT196644:TUT196675 UEP196644:UEP196675 UOL196644:UOL196675 UYH196644:UYH196675 VID196644:VID196675 VRZ196644:VRZ196675 WBV196644:WBV196675 WLR196644:WLR196675 WVN196644:WVN196675 JB262180:JB262211 SX262180:SX262211 ACT262180:ACT262211 AMP262180:AMP262211 AWL262180:AWL262211 BGH262180:BGH262211 BQD262180:BQD262211 BZZ262180:BZZ262211 CJV262180:CJV262211 CTR262180:CTR262211 DDN262180:DDN262211 DNJ262180:DNJ262211 DXF262180:DXF262211 EHB262180:EHB262211 EQX262180:EQX262211 FAT262180:FAT262211 FKP262180:FKP262211 FUL262180:FUL262211 GEH262180:GEH262211 GOD262180:GOD262211 GXZ262180:GXZ262211 HHV262180:HHV262211 HRR262180:HRR262211 IBN262180:IBN262211 ILJ262180:ILJ262211 IVF262180:IVF262211 JFB262180:JFB262211 JOX262180:JOX262211 JYT262180:JYT262211 KIP262180:KIP262211 KSL262180:KSL262211 LCH262180:LCH262211 LMD262180:LMD262211 LVZ262180:LVZ262211 MFV262180:MFV262211 MPR262180:MPR262211 MZN262180:MZN262211 NJJ262180:NJJ262211 NTF262180:NTF262211 ODB262180:ODB262211 OMX262180:OMX262211 OWT262180:OWT262211 PGP262180:PGP262211 PQL262180:PQL262211 QAH262180:QAH262211 QKD262180:QKD262211 QTZ262180:QTZ262211 RDV262180:RDV262211 RNR262180:RNR262211 RXN262180:RXN262211 SHJ262180:SHJ262211 SRF262180:SRF262211 TBB262180:TBB262211 TKX262180:TKX262211 TUT262180:TUT262211 UEP262180:UEP262211 UOL262180:UOL262211 UYH262180:UYH262211 VID262180:VID262211 VRZ262180:VRZ262211 WBV262180:WBV262211 WLR262180:WLR262211 WVN262180:WVN262211 JB327716:JB327747 SX327716:SX327747 ACT327716:ACT327747 AMP327716:AMP327747 AWL327716:AWL327747 BGH327716:BGH327747 BQD327716:BQD327747 BZZ327716:BZZ327747 CJV327716:CJV327747 CTR327716:CTR327747 DDN327716:DDN327747 DNJ327716:DNJ327747 DXF327716:DXF327747 EHB327716:EHB327747 EQX327716:EQX327747 FAT327716:FAT327747 FKP327716:FKP327747 FUL327716:FUL327747 GEH327716:GEH327747 GOD327716:GOD327747 GXZ327716:GXZ327747 HHV327716:HHV327747 HRR327716:HRR327747 IBN327716:IBN327747 ILJ327716:ILJ327747 IVF327716:IVF327747 JFB327716:JFB327747 JOX327716:JOX327747 JYT327716:JYT327747 KIP327716:KIP327747 KSL327716:KSL327747 LCH327716:LCH327747 LMD327716:LMD327747 LVZ327716:LVZ327747 MFV327716:MFV327747 MPR327716:MPR327747 MZN327716:MZN327747 NJJ327716:NJJ327747 NTF327716:NTF327747 ODB327716:ODB327747 OMX327716:OMX327747 OWT327716:OWT327747 PGP327716:PGP327747 PQL327716:PQL327747 QAH327716:QAH327747 QKD327716:QKD327747 QTZ327716:QTZ327747 RDV327716:RDV327747 RNR327716:RNR327747 RXN327716:RXN327747 SHJ327716:SHJ327747 SRF327716:SRF327747 TBB327716:TBB327747 TKX327716:TKX327747 TUT327716:TUT327747 UEP327716:UEP327747 UOL327716:UOL327747 UYH327716:UYH327747 VID327716:VID327747 VRZ327716:VRZ327747 WBV327716:WBV327747 WLR327716:WLR327747 WVN327716:WVN327747 JB393252:JB393283 SX393252:SX393283 ACT393252:ACT393283 AMP393252:AMP393283 AWL393252:AWL393283 BGH393252:BGH393283 BQD393252:BQD393283 BZZ393252:BZZ393283 CJV393252:CJV393283 CTR393252:CTR393283 DDN393252:DDN393283 DNJ393252:DNJ393283 DXF393252:DXF393283 EHB393252:EHB393283 EQX393252:EQX393283 FAT393252:FAT393283 FKP393252:FKP393283 FUL393252:FUL393283 GEH393252:GEH393283 GOD393252:GOD393283 GXZ393252:GXZ393283 HHV393252:HHV393283 HRR393252:HRR393283 IBN393252:IBN393283 ILJ393252:ILJ393283 IVF393252:IVF393283 JFB393252:JFB393283 JOX393252:JOX393283 JYT393252:JYT393283 KIP393252:KIP393283 KSL393252:KSL393283 LCH393252:LCH393283 LMD393252:LMD393283 LVZ393252:LVZ393283 MFV393252:MFV393283 MPR393252:MPR393283 MZN393252:MZN393283 NJJ393252:NJJ393283 NTF393252:NTF393283 ODB393252:ODB393283 OMX393252:OMX393283 OWT393252:OWT393283 PGP393252:PGP393283 PQL393252:PQL393283 QAH393252:QAH393283 QKD393252:QKD393283 QTZ393252:QTZ393283 RDV393252:RDV393283 RNR393252:RNR393283 RXN393252:RXN393283 SHJ393252:SHJ393283 SRF393252:SRF393283 TBB393252:TBB393283 TKX393252:TKX393283 TUT393252:TUT393283 UEP393252:UEP393283 UOL393252:UOL393283 UYH393252:UYH393283 VID393252:VID393283 VRZ393252:VRZ393283 WBV393252:WBV393283 WLR393252:WLR393283 WVN393252:WVN393283 JB458788:JB458819 SX458788:SX458819 ACT458788:ACT458819 AMP458788:AMP458819 AWL458788:AWL458819 BGH458788:BGH458819 BQD458788:BQD458819 BZZ458788:BZZ458819 CJV458788:CJV458819 CTR458788:CTR458819 DDN458788:DDN458819 DNJ458788:DNJ458819 DXF458788:DXF458819 EHB458788:EHB458819 EQX458788:EQX458819 FAT458788:FAT458819 FKP458788:FKP458819 FUL458788:FUL458819 GEH458788:GEH458819 GOD458788:GOD458819 GXZ458788:GXZ458819 HHV458788:HHV458819 HRR458788:HRR458819 IBN458788:IBN458819 ILJ458788:ILJ458819 IVF458788:IVF458819 JFB458788:JFB458819 JOX458788:JOX458819 JYT458788:JYT458819 KIP458788:KIP458819 KSL458788:KSL458819 LCH458788:LCH458819 LMD458788:LMD458819 LVZ458788:LVZ458819 MFV458788:MFV458819 MPR458788:MPR458819 MZN458788:MZN458819 NJJ458788:NJJ458819 NTF458788:NTF458819 ODB458788:ODB458819 OMX458788:OMX458819 OWT458788:OWT458819 PGP458788:PGP458819 PQL458788:PQL458819 QAH458788:QAH458819 QKD458788:QKD458819 QTZ458788:QTZ458819 RDV458788:RDV458819 RNR458788:RNR458819 RXN458788:RXN458819 SHJ458788:SHJ458819 SRF458788:SRF458819 TBB458788:TBB458819 TKX458788:TKX458819 TUT458788:TUT458819 UEP458788:UEP458819 UOL458788:UOL458819 UYH458788:UYH458819 VID458788:VID458819 VRZ458788:VRZ458819 WBV458788:WBV458819 WLR458788:WLR458819 WVN458788:WVN458819 JB524324:JB524355 SX524324:SX524355 ACT524324:ACT524355 AMP524324:AMP524355 AWL524324:AWL524355 BGH524324:BGH524355 BQD524324:BQD524355 BZZ524324:BZZ524355 CJV524324:CJV524355 CTR524324:CTR524355 DDN524324:DDN524355 DNJ524324:DNJ524355 DXF524324:DXF524355 EHB524324:EHB524355 EQX524324:EQX524355 FAT524324:FAT524355 FKP524324:FKP524355 FUL524324:FUL524355 GEH524324:GEH524355 GOD524324:GOD524355 GXZ524324:GXZ524355 HHV524324:HHV524355 HRR524324:HRR524355 IBN524324:IBN524355 ILJ524324:ILJ524355 IVF524324:IVF524355 JFB524324:JFB524355 JOX524324:JOX524355 JYT524324:JYT524355 KIP524324:KIP524355 KSL524324:KSL524355 LCH524324:LCH524355 LMD524324:LMD524355 LVZ524324:LVZ524355 MFV524324:MFV524355 MPR524324:MPR524355 MZN524324:MZN524355 NJJ524324:NJJ524355 NTF524324:NTF524355 ODB524324:ODB524355 OMX524324:OMX524355 OWT524324:OWT524355 PGP524324:PGP524355 PQL524324:PQL524355 QAH524324:QAH524355 QKD524324:QKD524355 QTZ524324:QTZ524355 RDV524324:RDV524355 RNR524324:RNR524355 RXN524324:RXN524355 SHJ524324:SHJ524355 SRF524324:SRF524355 TBB524324:TBB524355 TKX524324:TKX524355 TUT524324:TUT524355 UEP524324:UEP524355 UOL524324:UOL524355 UYH524324:UYH524355 VID524324:VID524355 VRZ524324:VRZ524355 WBV524324:WBV524355 WLR524324:WLR524355 WVN524324:WVN524355 JB589860:JB589891 SX589860:SX589891 ACT589860:ACT589891 AMP589860:AMP589891 AWL589860:AWL589891 BGH589860:BGH589891 BQD589860:BQD589891 BZZ589860:BZZ589891 CJV589860:CJV589891 CTR589860:CTR589891 DDN589860:DDN589891 DNJ589860:DNJ589891 DXF589860:DXF589891 EHB589860:EHB589891 EQX589860:EQX589891 FAT589860:FAT589891 FKP589860:FKP589891 FUL589860:FUL589891 GEH589860:GEH589891 GOD589860:GOD589891 GXZ589860:GXZ589891 HHV589860:HHV589891 HRR589860:HRR589891 IBN589860:IBN589891 ILJ589860:ILJ589891 IVF589860:IVF589891 JFB589860:JFB589891 JOX589860:JOX589891 JYT589860:JYT589891 KIP589860:KIP589891 KSL589860:KSL589891 LCH589860:LCH589891 LMD589860:LMD589891 LVZ589860:LVZ589891 MFV589860:MFV589891 MPR589860:MPR589891 MZN589860:MZN589891 NJJ589860:NJJ589891 NTF589860:NTF589891 ODB589860:ODB589891 OMX589860:OMX589891 OWT589860:OWT589891 PGP589860:PGP589891 PQL589860:PQL589891 QAH589860:QAH589891 QKD589860:QKD589891 QTZ589860:QTZ589891 RDV589860:RDV589891 RNR589860:RNR589891 RXN589860:RXN589891 SHJ589860:SHJ589891 SRF589860:SRF589891 TBB589860:TBB589891 TKX589860:TKX589891 TUT589860:TUT589891 UEP589860:UEP589891 UOL589860:UOL589891 UYH589860:UYH589891 VID589860:VID589891 VRZ589860:VRZ589891 WBV589860:WBV589891 WLR589860:WLR589891 WVN589860:WVN589891 JB655396:JB655427 SX655396:SX655427 ACT655396:ACT655427 AMP655396:AMP655427 AWL655396:AWL655427 BGH655396:BGH655427 BQD655396:BQD655427 BZZ655396:BZZ655427 CJV655396:CJV655427 CTR655396:CTR655427 DDN655396:DDN655427 DNJ655396:DNJ655427 DXF655396:DXF655427 EHB655396:EHB655427 EQX655396:EQX655427 FAT655396:FAT655427 FKP655396:FKP655427 FUL655396:FUL655427 GEH655396:GEH655427 GOD655396:GOD655427 GXZ655396:GXZ655427 HHV655396:HHV655427 HRR655396:HRR655427 IBN655396:IBN655427 ILJ655396:ILJ655427 IVF655396:IVF655427 JFB655396:JFB655427 JOX655396:JOX655427 JYT655396:JYT655427 KIP655396:KIP655427 KSL655396:KSL655427 LCH655396:LCH655427 LMD655396:LMD655427 LVZ655396:LVZ655427 MFV655396:MFV655427 MPR655396:MPR655427 MZN655396:MZN655427 NJJ655396:NJJ655427 NTF655396:NTF655427 ODB655396:ODB655427 OMX655396:OMX655427 OWT655396:OWT655427 PGP655396:PGP655427 PQL655396:PQL655427 QAH655396:QAH655427 QKD655396:QKD655427 QTZ655396:QTZ655427 RDV655396:RDV655427 RNR655396:RNR655427 RXN655396:RXN655427 SHJ655396:SHJ655427 SRF655396:SRF655427 TBB655396:TBB655427 TKX655396:TKX655427 TUT655396:TUT655427 UEP655396:UEP655427 UOL655396:UOL655427 UYH655396:UYH655427 VID655396:VID655427 VRZ655396:VRZ655427 WBV655396:WBV655427 WLR655396:WLR655427 WVN655396:WVN655427 JB720932:JB720963 SX720932:SX720963 ACT720932:ACT720963 AMP720932:AMP720963 AWL720932:AWL720963 BGH720932:BGH720963 BQD720932:BQD720963 BZZ720932:BZZ720963 CJV720932:CJV720963 CTR720932:CTR720963 DDN720932:DDN720963 DNJ720932:DNJ720963 DXF720932:DXF720963 EHB720932:EHB720963 EQX720932:EQX720963 FAT720932:FAT720963 FKP720932:FKP720963 FUL720932:FUL720963 GEH720932:GEH720963 GOD720932:GOD720963 GXZ720932:GXZ720963 HHV720932:HHV720963 HRR720932:HRR720963 IBN720932:IBN720963 ILJ720932:ILJ720963 IVF720932:IVF720963 JFB720932:JFB720963 JOX720932:JOX720963 JYT720932:JYT720963 KIP720932:KIP720963 KSL720932:KSL720963 LCH720932:LCH720963 LMD720932:LMD720963 LVZ720932:LVZ720963 MFV720932:MFV720963 MPR720932:MPR720963 MZN720932:MZN720963 NJJ720932:NJJ720963 NTF720932:NTF720963 ODB720932:ODB720963 OMX720932:OMX720963 OWT720932:OWT720963 PGP720932:PGP720963 PQL720932:PQL720963 QAH720932:QAH720963 QKD720932:QKD720963 QTZ720932:QTZ720963 RDV720932:RDV720963 RNR720932:RNR720963 RXN720932:RXN720963 SHJ720932:SHJ720963 SRF720932:SRF720963 TBB720932:TBB720963 TKX720932:TKX720963 TUT720932:TUT720963 UEP720932:UEP720963 UOL720932:UOL720963 UYH720932:UYH720963 VID720932:VID720963 VRZ720932:VRZ720963 WBV720932:WBV720963 WLR720932:WLR720963 WVN720932:WVN720963 JB786468:JB786499 SX786468:SX786499 ACT786468:ACT786499 AMP786468:AMP786499 AWL786468:AWL786499 BGH786468:BGH786499 BQD786468:BQD786499 BZZ786468:BZZ786499 CJV786468:CJV786499 CTR786468:CTR786499 DDN786468:DDN786499 DNJ786468:DNJ786499 DXF786468:DXF786499 EHB786468:EHB786499 EQX786468:EQX786499 FAT786468:FAT786499 FKP786468:FKP786499 FUL786468:FUL786499 GEH786468:GEH786499 GOD786468:GOD786499 GXZ786468:GXZ786499 HHV786468:HHV786499 HRR786468:HRR786499 IBN786468:IBN786499 ILJ786468:ILJ786499 IVF786468:IVF786499 JFB786468:JFB786499 JOX786468:JOX786499 JYT786468:JYT786499 KIP786468:KIP786499 KSL786468:KSL786499 LCH786468:LCH786499 LMD786468:LMD786499 LVZ786468:LVZ786499 MFV786468:MFV786499 MPR786468:MPR786499 MZN786468:MZN786499 NJJ786468:NJJ786499 NTF786468:NTF786499 ODB786468:ODB786499 OMX786468:OMX786499 OWT786468:OWT786499 PGP786468:PGP786499 PQL786468:PQL786499 QAH786468:QAH786499 QKD786468:QKD786499 QTZ786468:QTZ786499 RDV786468:RDV786499 RNR786468:RNR786499 RXN786468:RXN786499 SHJ786468:SHJ786499 SRF786468:SRF786499 TBB786468:TBB786499 TKX786468:TKX786499 TUT786468:TUT786499 UEP786468:UEP786499 UOL786468:UOL786499 UYH786468:UYH786499 VID786468:VID786499 VRZ786468:VRZ786499 WBV786468:WBV786499 WLR786468:WLR786499 WVN786468:WVN786499 JB852004:JB852035 SX852004:SX852035 ACT852004:ACT852035 AMP852004:AMP852035 AWL852004:AWL852035 BGH852004:BGH852035 BQD852004:BQD852035 BZZ852004:BZZ852035 CJV852004:CJV852035 CTR852004:CTR852035 DDN852004:DDN852035 DNJ852004:DNJ852035 DXF852004:DXF852035 EHB852004:EHB852035 EQX852004:EQX852035 FAT852004:FAT852035 FKP852004:FKP852035 FUL852004:FUL852035 GEH852004:GEH852035 GOD852004:GOD852035 GXZ852004:GXZ852035 HHV852004:HHV852035 HRR852004:HRR852035 IBN852004:IBN852035 ILJ852004:ILJ852035 IVF852004:IVF852035 JFB852004:JFB852035 JOX852004:JOX852035 JYT852004:JYT852035 KIP852004:KIP852035 KSL852004:KSL852035 LCH852004:LCH852035 LMD852004:LMD852035 LVZ852004:LVZ852035 MFV852004:MFV852035 MPR852004:MPR852035 MZN852004:MZN852035 NJJ852004:NJJ852035 NTF852004:NTF852035 ODB852004:ODB852035 OMX852004:OMX852035 OWT852004:OWT852035 PGP852004:PGP852035 PQL852004:PQL852035 QAH852004:QAH852035 QKD852004:QKD852035 QTZ852004:QTZ852035 RDV852004:RDV852035 RNR852004:RNR852035 RXN852004:RXN852035 SHJ852004:SHJ852035 SRF852004:SRF852035 TBB852004:TBB852035 TKX852004:TKX852035 TUT852004:TUT852035 UEP852004:UEP852035 UOL852004:UOL852035 UYH852004:UYH852035 VID852004:VID852035 VRZ852004:VRZ852035 WBV852004:WBV852035 WLR852004:WLR852035 WVN852004:WVN852035 JB917540:JB917571 SX917540:SX917571 ACT917540:ACT917571 AMP917540:AMP917571 AWL917540:AWL917571 BGH917540:BGH917571 BQD917540:BQD917571 BZZ917540:BZZ917571 CJV917540:CJV917571 CTR917540:CTR917571 DDN917540:DDN917571 DNJ917540:DNJ917571 DXF917540:DXF917571 EHB917540:EHB917571 EQX917540:EQX917571 FAT917540:FAT917571 FKP917540:FKP917571 FUL917540:FUL917571 GEH917540:GEH917571 GOD917540:GOD917571 GXZ917540:GXZ917571 HHV917540:HHV917571 HRR917540:HRR917571 IBN917540:IBN917571 ILJ917540:ILJ917571 IVF917540:IVF917571 JFB917540:JFB917571 JOX917540:JOX917571 JYT917540:JYT917571 KIP917540:KIP917571 KSL917540:KSL917571 LCH917540:LCH917571 LMD917540:LMD917571 LVZ917540:LVZ917571 MFV917540:MFV917571 MPR917540:MPR917571 MZN917540:MZN917571 NJJ917540:NJJ917571 NTF917540:NTF917571 ODB917540:ODB917571 OMX917540:OMX917571 OWT917540:OWT917571 PGP917540:PGP917571 PQL917540:PQL917571 QAH917540:QAH917571 QKD917540:QKD917571 QTZ917540:QTZ917571 RDV917540:RDV917571 RNR917540:RNR917571 RXN917540:RXN917571 SHJ917540:SHJ917571 SRF917540:SRF917571 TBB917540:TBB917571 TKX917540:TKX917571 TUT917540:TUT917571 UEP917540:UEP917571 UOL917540:UOL917571 UYH917540:UYH917571 VID917540:VID917571 VRZ917540:VRZ917571 WBV917540:WBV917571 WLR917540:WLR917571 WVN917540:WVN917571 JB983076:JB983107 SX983076:SX983107 ACT983076:ACT983107 AMP983076:AMP983107 AWL983076:AWL983107 BGH983076:BGH983107 BQD983076:BQD983107 BZZ983076:BZZ983107 CJV983076:CJV983107 CTR983076:CTR983107 DDN983076:DDN983107 DNJ983076:DNJ983107 DXF983076:DXF983107 EHB983076:EHB983107 EQX983076:EQX983107 FAT983076:FAT983107 FKP983076:FKP983107 FUL983076:FUL983107 GEH983076:GEH983107 GOD983076:GOD983107 GXZ983076:GXZ983107 HHV983076:HHV983107 HRR983076:HRR983107 IBN983076:IBN983107 ILJ983076:ILJ983107 IVF983076:IVF983107 JFB983076:JFB983107 JOX983076:JOX983107 JYT983076:JYT983107 KIP983076:KIP983107 KSL983076:KSL983107 LCH983076:LCH983107 LMD983076:LMD983107 LVZ983076:LVZ983107 MFV983076:MFV983107 MPR983076:MPR983107 MZN983076:MZN983107 NJJ983076:NJJ983107 NTF983076:NTF983107 ODB983076:ODB983107 OMX983076:OMX983107 OWT983076:OWT983107 PGP983076:PGP983107 PQL983076:PQL983107 QAH983076:QAH983107 QKD983076:QKD983107 QTZ983076:QTZ983107 RDV983076:RDV983107 RNR983076:RNR983107 RXN983076:RXN983107 SHJ983076:SHJ983107 SRF983076:SRF983107 TBB983076:TBB983107 TKX983076:TKX983107 TUT983076:TUT983107 UEP983076:UEP983107 UOL983076:UOL983107 UYH983076:UYH983107 VID983076:VID983107 VRZ983076:VRZ983107 WBV983076:WBV983107 WLR983076:WLR983107 FKJ21:FKJ31 FKP17:FKP20 FKP32:FKP65 FAN21:FAN31 FAT17:FAT20 FAT32:FAT65 EQR21:EQR31 EQX17:EQX20 EQX32:EQX65 EGV21:EGV31 EHB17:EHB20 EHB32:EHB65 DWZ21:DWZ31 DXF17:DXF20 DXF32:DXF65 DND21:DND31 DNJ17:DNJ20 DNJ32:DNJ65 DDH21:DDH31 DDN17:DDN20 DDN32:DDN65 CTL21:CTL31 CTR17:CTR20 CTR32:CTR65 CJP21:CJP31 CJV17:CJV20 CJV32:CJV65 BZT21:BZT31 BZZ17:BZZ20 BZZ32:BZZ65 BPX21:BPX31 BQD17:BQD20 BQD32:BQD65 BGB21:BGB31 BGH17:BGH20 BGH32:BGH65 AWF21:AWF31 AWL17:AWL20 AWL32:AWL65 AMJ21:AMJ31 AMP17:AMP20 AMP32:AMP65 ACN21:ACN31 ACT17:ACT20 ACT32:ACT65 SR21:SR31 SX17:SX20 SX32:SX65 IV21:IV31 JB17:JB20 JB32:JB65 WVH21:WVH31 WVN17:WVN20 WVN32:WVN65 WLL21:WLL31 WLR17:WLR20 WLR32:WLR65 WBP21:WBP31 WBV17:WBV20 WBV32:WBV65 VRT21:VRT31 VRZ17:VRZ20 VRZ32:VRZ65 VHX21:VHX31 VID17:VID20 VID32:VID65 UYB21:UYB31 UYH17:UYH20 UYH32:UYH65 UOF21:UOF31 UOL17:UOL20 UOL32:UOL65 UEJ21:UEJ31 UEP17:UEP20 UEP32:UEP65 TUN21:TUN31 TUT17:TUT20 TUT32:TUT65 TKR21:TKR31 TKX17:TKX20 TKX32:TKX65 TAV21:TAV31 TBB17:TBB20 TBB32:TBB65 SQZ21:SQZ31 SRF17:SRF20 SRF32:SRF65 SHD21:SHD31 SHJ17:SHJ20 SHJ32:SHJ65 RXH21:RXH31 RXN17:RXN20 RXN32:RXN65 RNL21:RNL31 RNR17:RNR20 RNR32:RNR65 RDP21:RDP31 RDV17:RDV20 RDV32:RDV65 QTT21:QTT31 QTZ17:QTZ20 QTZ32:QTZ65 QJX21:QJX31 QKD17:QKD20 QKD32:QKD65 QAB21:QAB31 QAH17:QAH20 QAH32:QAH65 PQF21:PQF31 PQL17:PQL20 PQL32:PQL65 PGJ21:PGJ31 PGP17:PGP20 PGP32:PGP65 OWN21:OWN31 OWT17:OWT20 OWT32:OWT65 OMR21:OMR31 OMX17:OMX20 OMX32:OMX65 OCV21:OCV31 ODB17:ODB20 ODB32:ODB65 NSZ21:NSZ31 NTF17:NTF20 NTF32:NTF65 NJD21:NJD31 NJJ17:NJJ20 NJJ32:NJJ65 MZH21:MZH31 MZN17:MZN20 MZN32:MZN65 MPL21:MPL31 MPR17:MPR20 MPR32:MPR65 MFP21:MFP31 MFV17:MFV20 MFV32:MFV65 LVT21:LVT31 LVZ17:LVZ20 LVZ32:LVZ65 LLX21:LLX31 LMD17:LMD20 LMD32:LMD65 LCB21:LCB31 LCH17:LCH20 LCH32:LCH65 KSF21:KSF31 KSL17:KSL20 KSL32:KSL65 KIJ21:KIJ31 KIP17:KIP20 KIP32:KIP65 JYN21:JYN31 JYT17:JYT20 JYT32:JYT65 JOR21:JOR31 JOX17:JOX20 JOX32:JOX65 JEV21:JEV31 JFB17:JFB20 JFB32:JFB65 IUZ21:IUZ31 IVF17:IVF20 IVF32:IVF65 ILD21:ILD31 ILJ17:ILJ20 ILJ32:ILJ65 IBH21:IBH31 IBN17:IBN20 IBN32:IBN65 HRL21:HRL31 HRR17:HRR20 HRR32:HRR65 HHP21:HHP31 HHV17:HHV20 HHV32:HHV65 GXT21:GXT31 GXZ17:GXZ20 GXZ32:GXZ65 GNX21:GNX31 GOD17:GOD20 GOD32:GOD65 GEB21:GEB31 GEH17:GEH20 GEH32:GEH65 FUF21:FUF31 FUL17:FUL20 FUL32:FUL65" xr:uid="{00000000-0002-0000-0000-000000000000}">
      <formula1>0</formula1>
      <formula2>1000000000</formula2>
    </dataValidation>
    <dataValidation type="whole" errorStyle="warning" allowBlank="1" showErrorMessage="1" errorTitle="Quantity" error="You must enter a number in this cell." promptTitle="Quantity" sqref="WVE983076:WVE983107 B65572:B65603 IS65572:IS65603 SO65572:SO65603 ACK65572:ACK65603 AMG65572:AMG65603 AWC65572:AWC65603 BFY65572:BFY65603 BPU65572:BPU65603 BZQ65572:BZQ65603 CJM65572:CJM65603 CTI65572:CTI65603 DDE65572:DDE65603 DNA65572:DNA65603 DWW65572:DWW65603 EGS65572:EGS65603 EQO65572:EQO65603 FAK65572:FAK65603 FKG65572:FKG65603 FUC65572:FUC65603 GDY65572:GDY65603 GNU65572:GNU65603 GXQ65572:GXQ65603 HHM65572:HHM65603 HRI65572:HRI65603 IBE65572:IBE65603 ILA65572:ILA65603 IUW65572:IUW65603 JES65572:JES65603 JOO65572:JOO65603 JYK65572:JYK65603 KIG65572:KIG65603 KSC65572:KSC65603 LBY65572:LBY65603 LLU65572:LLU65603 LVQ65572:LVQ65603 MFM65572:MFM65603 MPI65572:MPI65603 MZE65572:MZE65603 NJA65572:NJA65603 NSW65572:NSW65603 OCS65572:OCS65603 OMO65572:OMO65603 OWK65572:OWK65603 PGG65572:PGG65603 PQC65572:PQC65603 PZY65572:PZY65603 QJU65572:QJU65603 QTQ65572:QTQ65603 RDM65572:RDM65603 RNI65572:RNI65603 RXE65572:RXE65603 SHA65572:SHA65603 SQW65572:SQW65603 TAS65572:TAS65603 TKO65572:TKO65603 TUK65572:TUK65603 UEG65572:UEG65603 UOC65572:UOC65603 UXY65572:UXY65603 VHU65572:VHU65603 VRQ65572:VRQ65603 WBM65572:WBM65603 WLI65572:WLI65603 WVE65572:WVE65603 B131108:B131139 IS131108:IS131139 SO131108:SO131139 ACK131108:ACK131139 AMG131108:AMG131139 AWC131108:AWC131139 BFY131108:BFY131139 BPU131108:BPU131139 BZQ131108:BZQ131139 CJM131108:CJM131139 CTI131108:CTI131139 DDE131108:DDE131139 DNA131108:DNA131139 DWW131108:DWW131139 EGS131108:EGS131139 EQO131108:EQO131139 FAK131108:FAK131139 FKG131108:FKG131139 FUC131108:FUC131139 GDY131108:GDY131139 GNU131108:GNU131139 GXQ131108:GXQ131139 HHM131108:HHM131139 HRI131108:HRI131139 IBE131108:IBE131139 ILA131108:ILA131139 IUW131108:IUW131139 JES131108:JES131139 JOO131108:JOO131139 JYK131108:JYK131139 KIG131108:KIG131139 KSC131108:KSC131139 LBY131108:LBY131139 LLU131108:LLU131139 LVQ131108:LVQ131139 MFM131108:MFM131139 MPI131108:MPI131139 MZE131108:MZE131139 NJA131108:NJA131139 NSW131108:NSW131139 OCS131108:OCS131139 OMO131108:OMO131139 OWK131108:OWK131139 PGG131108:PGG131139 PQC131108:PQC131139 PZY131108:PZY131139 QJU131108:QJU131139 QTQ131108:QTQ131139 RDM131108:RDM131139 RNI131108:RNI131139 RXE131108:RXE131139 SHA131108:SHA131139 SQW131108:SQW131139 TAS131108:TAS131139 TKO131108:TKO131139 TUK131108:TUK131139 UEG131108:UEG131139 UOC131108:UOC131139 UXY131108:UXY131139 VHU131108:VHU131139 VRQ131108:VRQ131139 WBM131108:WBM131139 WLI131108:WLI131139 WVE131108:WVE131139 B196644:B196675 IS196644:IS196675 SO196644:SO196675 ACK196644:ACK196675 AMG196644:AMG196675 AWC196644:AWC196675 BFY196644:BFY196675 BPU196644:BPU196675 BZQ196644:BZQ196675 CJM196644:CJM196675 CTI196644:CTI196675 DDE196644:DDE196675 DNA196644:DNA196675 DWW196644:DWW196675 EGS196644:EGS196675 EQO196644:EQO196675 FAK196644:FAK196675 FKG196644:FKG196675 FUC196644:FUC196675 GDY196644:GDY196675 GNU196644:GNU196675 GXQ196644:GXQ196675 HHM196644:HHM196675 HRI196644:HRI196675 IBE196644:IBE196675 ILA196644:ILA196675 IUW196644:IUW196675 JES196644:JES196675 JOO196644:JOO196675 JYK196644:JYK196675 KIG196644:KIG196675 KSC196644:KSC196675 LBY196644:LBY196675 LLU196644:LLU196675 LVQ196644:LVQ196675 MFM196644:MFM196675 MPI196644:MPI196675 MZE196644:MZE196675 NJA196644:NJA196675 NSW196644:NSW196675 OCS196644:OCS196675 OMO196644:OMO196675 OWK196644:OWK196675 PGG196644:PGG196675 PQC196644:PQC196675 PZY196644:PZY196675 QJU196644:QJU196675 QTQ196644:QTQ196675 RDM196644:RDM196675 RNI196644:RNI196675 RXE196644:RXE196675 SHA196644:SHA196675 SQW196644:SQW196675 TAS196644:TAS196675 TKO196644:TKO196675 TUK196644:TUK196675 UEG196644:UEG196675 UOC196644:UOC196675 UXY196644:UXY196675 VHU196644:VHU196675 VRQ196644:VRQ196675 WBM196644:WBM196675 WLI196644:WLI196675 WVE196644:WVE196675 B262180:B262211 IS262180:IS262211 SO262180:SO262211 ACK262180:ACK262211 AMG262180:AMG262211 AWC262180:AWC262211 BFY262180:BFY262211 BPU262180:BPU262211 BZQ262180:BZQ262211 CJM262180:CJM262211 CTI262180:CTI262211 DDE262180:DDE262211 DNA262180:DNA262211 DWW262180:DWW262211 EGS262180:EGS262211 EQO262180:EQO262211 FAK262180:FAK262211 FKG262180:FKG262211 FUC262180:FUC262211 GDY262180:GDY262211 GNU262180:GNU262211 GXQ262180:GXQ262211 HHM262180:HHM262211 HRI262180:HRI262211 IBE262180:IBE262211 ILA262180:ILA262211 IUW262180:IUW262211 JES262180:JES262211 JOO262180:JOO262211 JYK262180:JYK262211 KIG262180:KIG262211 KSC262180:KSC262211 LBY262180:LBY262211 LLU262180:LLU262211 LVQ262180:LVQ262211 MFM262180:MFM262211 MPI262180:MPI262211 MZE262180:MZE262211 NJA262180:NJA262211 NSW262180:NSW262211 OCS262180:OCS262211 OMO262180:OMO262211 OWK262180:OWK262211 PGG262180:PGG262211 PQC262180:PQC262211 PZY262180:PZY262211 QJU262180:QJU262211 QTQ262180:QTQ262211 RDM262180:RDM262211 RNI262180:RNI262211 RXE262180:RXE262211 SHA262180:SHA262211 SQW262180:SQW262211 TAS262180:TAS262211 TKO262180:TKO262211 TUK262180:TUK262211 UEG262180:UEG262211 UOC262180:UOC262211 UXY262180:UXY262211 VHU262180:VHU262211 VRQ262180:VRQ262211 WBM262180:WBM262211 WLI262180:WLI262211 WVE262180:WVE262211 B327716:B327747 IS327716:IS327747 SO327716:SO327747 ACK327716:ACK327747 AMG327716:AMG327747 AWC327716:AWC327747 BFY327716:BFY327747 BPU327716:BPU327747 BZQ327716:BZQ327747 CJM327716:CJM327747 CTI327716:CTI327747 DDE327716:DDE327747 DNA327716:DNA327747 DWW327716:DWW327747 EGS327716:EGS327747 EQO327716:EQO327747 FAK327716:FAK327747 FKG327716:FKG327747 FUC327716:FUC327747 GDY327716:GDY327747 GNU327716:GNU327747 GXQ327716:GXQ327747 HHM327716:HHM327747 HRI327716:HRI327747 IBE327716:IBE327747 ILA327716:ILA327747 IUW327716:IUW327747 JES327716:JES327747 JOO327716:JOO327747 JYK327716:JYK327747 KIG327716:KIG327747 KSC327716:KSC327747 LBY327716:LBY327747 LLU327716:LLU327747 LVQ327716:LVQ327747 MFM327716:MFM327747 MPI327716:MPI327747 MZE327716:MZE327747 NJA327716:NJA327747 NSW327716:NSW327747 OCS327716:OCS327747 OMO327716:OMO327747 OWK327716:OWK327747 PGG327716:PGG327747 PQC327716:PQC327747 PZY327716:PZY327747 QJU327716:QJU327747 QTQ327716:QTQ327747 RDM327716:RDM327747 RNI327716:RNI327747 RXE327716:RXE327747 SHA327716:SHA327747 SQW327716:SQW327747 TAS327716:TAS327747 TKO327716:TKO327747 TUK327716:TUK327747 UEG327716:UEG327747 UOC327716:UOC327747 UXY327716:UXY327747 VHU327716:VHU327747 VRQ327716:VRQ327747 WBM327716:WBM327747 WLI327716:WLI327747 WVE327716:WVE327747 B393252:B393283 IS393252:IS393283 SO393252:SO393283 ACK393252:ACK393283 AMG393252:AMG393283 AWC393252:AWC393283 BFY393252:BFY393283 BPU393252:BPU393283 BZQ393252:BZQ393283 CJM393252:CJM393283 CTI393252:CTI393283 DDE393252:DDE393283 DNA393252:DNA393283 DWW393252:DWW393283 EGS393252:EGS393283 EQO393252:EQO393283 FAK393252:FAK393283 FKG393252:FKG393283 FUC393252:FUC393283 GDY393252:GDY393283 GNU393252:GNU393283 GXQ393252:GXQ393283 HHM393252:HHM393283 HRI393252:HRI393283 IBE393252:IBE393283 ILA393252:ILA393283 IUW393252:IUW393283 JES393252:JES393283 JOO393252:JOO393283 JYK393252:JYK393283 KIG393252:KIG393283 KSC393252:KSC393283 LBY393252:LBY393283 LLU393252:LLU393283 LVQ393252:LVQ393283 MFM393252:MFM393283 MPI393252:MPI393283 MZE393252:MZE393283 NJA393252:NJA393283 NSW393252:NSW393283 OCS393252:OCS393283 OMO393252:OMO393283 OWK393252:OWK393283 PGG393252:PGG393283 PQC393252:PQC393283 PZY393252:PZY393283 QJU393252:QJU393283 QTQ393252:QTQ393283 RDM393252:RDM393283 RNI393252:RNI393283 RXE393252:RXE393283 SHA393252:SHA393283 SQW393252:SQW393283 TAS393252:TAS393283 TKO393252:TKO393283 TUK393252:TUK393283 UEG393252:UEG393283 UOC393252:UOC393283 UXY393252:UXY393283 VHU393252:VHU393283 VRQ393252:VRQ393283 WBM393252:WBM393283 WLI393252:WLI393283 WVE393252:WVE393283 B458788:B458819 IS458788:IS458819 SO458788:SO458819 ACK458788:ACK458819 AMG458788:AMG458819 AWC458788:AWC458819 BFY458788:BFY458819 BPU458788:BPU458819 BZQ458788:BZQ458819 CJM458788:CJM458819 CTI458788:CTI458819 DDE458788:DDE458819 DNA458788:DNA458819 DWW458788:DWW458819 EGS458788:EGS458819 EQO458788:EQO458819 FAK458788:FAK458819 FKG458788:FKG458819 FUC458788:FUC458819 GDY458788:GDY458819 GNU458788:GNU458819 GXQ458788:GXQ458819 HHM458788:HHM458819 HRI458788:HRI458819 IBE458788:IBE458819 ILA458788:ILA458819 IUW458788:IUW458819 JES458788:JES458819 JOO458788:JOO458819 JYK458788:JYK458819 KIG458788:KIG458819 KSC458788:KSC458819 LBY458788:LBY458819 LLU458788:LLU458819 LVQ458788:LVQ458819 MFM458788:MFM458819 MPI458788:MPI458819 MZE458788:MZE458819 NJA458788:NJA458819 NSW458788:NSW458819 OCS458788:OCS458819 OMO458788:OMO458819 OWK458788:OWK458819 PGG458788:PGG458819 PQC458788:PQC458819 PZY458788:PZY458819 QJU458788:QJU458819 QTQ458788:QTQ458819 RDM458788:RDM458819 RNI458788:RNI458819 RXE458788:RXE458819 SHA458788:SHA458819 SQW458788:SQW458819 TAS458788:TAS458819 TKO458788:TKO458819 TUK458788:TUK458819 UEG458788:UEG458819 UOC458788:UOC458819 UXY458788:UXY458819 VHU458788:VHU458819 VRQ458788:VRQ458819 WBM458788:WBM458819 WLI458788:WLI458819 WVE458788:WVE458819 B524324:B524355 IS524324:IS524355 SO524324:SO524355 ACK524324:ACK524355 AMG524324:AMG524355 AWC524324:AWC524355 BFY524324:BFY524355 BPU524324:BPU524355 BZQ524324:BZQ524355 CJM524324:CJM524355 CTI524324:CTI524355 DDE524324:DDE524355 DNA524324:DNA524355 DWW524324:DWW524355 EGS524324:EGS524355 EQO524324:EQO524355 FAK524324:FAK524355 FKG524324:FKG524355 FUC524324:FUC524355 GDY524324:GDY524355 GNU524324:GNU524355 GXQ524324:GXQ524355 HHM524324:HHM524355 HRI524324:HRI524355 IBE524324:IBE524355 ILA524324:ILA524355 IUW524324:IUW524355 JES524324:JES524355 JOO524324:JOO524355 JYK524324:JYK524355 KIG524324:KIG524355 KSC524324:KSC524355 LBY524324:LBY524355 LLU524324:LLU524355 LVQ524324:LVQ524355 MFM524324:MFM524355 MPI524324:MPI524355 MZE524324:MZE524355 NJA524324:NJA524355 NSW524324:NSW524355 OCS524324:OCS524355 OMO524324:OMO524355 OWK524324:OWK524355 PGG524324:PGG524355 PQC524324:PQC524355 PZY524324:PZY524355 QJU524324:QJU524355 QTQ524324:QTQ524355 RDM524324:RDM524355 RNI524324:RNI524355 RXE524324:RXE524355 SHA524324:SHA524355 SQW524324:SQW524355 TAS524324:TAS524355 TKO524324:TKO524355 TUK524324:TUK524355 UEG524324:UEG524355 UOC524324:UOC524355 UXY524324:UXY524355 VHU524324:VHU524355 VRQ524324:VRQ524355 WBM524324:WBM524355 WLI524324:WLI524355 WVE524324:WVE524355 B589860:B589891 IS589860:IS589891 SO589860:SO589891 ACK589860:ACK589891 AMG589860:AMG589891 AWC589860:AWC589891 BFY589860:BFY589891 BPU589860:BPU589891 BZQ589860:BZQ589891 CJM589860:CJM589891 CTI589860:CTI589891 DDE589860:DDE589891 DNA589860:DNA589891 DWW589860:DWW589891 EGS589860:EGS589891 EQO589860:EQO589891 FAK589860:FAK589891 FKG589860:FKG589891 FUC589860:FUC589891 GDY589860:GDY589891 GNU589860:GNU589891 GXQ589860:GXQ589891 HHM589860:HHM589891 HRI589860:HRI589891 IBE589860:IBE589891 ILA589860:ILA589891 IUW589860:IUW589891 JES589860:JES589891 JOO589860:JOO589891 JYK589860:JYK589891 KIG589860:KIG589891 KSC589860:KSC589891 LBY589860:LBY589891 LLU589860:LLU589891 LVQ589860:LVQ589891 MFM589860:MFM589891 MPI589860:MPI589891 MZE589860:MZE589891 NJA589860:NJA589891 NSW589860:NSW589891 OCS589860:OCS589891 OMO589860:OMO589891 OWK589860:OWK589891 PGG589860:PGG589891 PQC589860:PQC589891 PZY589860:PZY589891 QJU589860:QJU589891 QTQ589860:QTQ589891 RDM589860:RDM589891 RNI589860:RNI589891 RXE589860:RXE589891 SHA589860:SHA589891 SQW589860:SQW589891 TAS589860:TAS589891 TKO589860:TKO589891 TUK589860:TUK589891 UEG589860:UEG589891 UOC589860:UOC589891 UXY589860:UXY589891 VHU589860:VHU589891 VRQ589860:VRQ589891 WBM589860:WBM589891 WLI589860:WLI589891 WVE589860:WVE589891 B655396:B655427 IS655396:IS655427 SO655396:SO655427 ACK655396:ACK655427 AMG655396:AMG655427 AWC655396:AWC655427 BFY655396:BFY655427 BPU655396:BPU655427 BZQ655396:BZQ655427 CJM655396:CJM655427 CTI655396:CTI655427 DDE655396:DDE655427 DNA655396:DNA655427 DWW655396:DWW655427 EGS655396:EGS655427 EQO655396:EQO655427 FAK655396:FAK655427 FKG655396:FKG655427 FUC655396:FUC655427 GDY655396:GDY655427 GNU655396:GNU655427 GXQ655396:GXQ655427 HHM655396:HHM655427 HRI655396:HRI655427 IBE655396:IBE655427 ILA655396:ILA655427 IUW655396:IUW655427 JES655396:JES655427 JOO655396:JOO655427 JYK655396:JYK655427 KIG655396:KIG655427 KSC655396:KSC655427 LBY655396:LBY655427 LLU655396:LLU655427 LVQ655396:LVQ655427 MFM655396:MFM655427 MPI655396:MPI655427 MZE655396:MZE655427 NJA655396:NJA655427 NSW655396:NSW655427 OCS655396:OCS655427 OMO655396:OMO655427 OWK655396:OWK655427 PGG655396:PGG655427 PQC655396:PQC655427 PZY655396:PZY655427 QJU655396:QJU655427 QTQ655396:QTQ655427 RDM655396:RDM655427 RNI655396:RNI655427 RXE655396:RXE655427 SHA655396:SHA655427 SQW655396:SQW655427 TAS655396:TAS655427 TKO655396:TKO655427 TUK655396:TUK655427 UEG655396:UEG655427 UOC655396:UOC655427 UXY655396:UXY655427 VHU655396:VHU655427 VRQ655396:VRQ655427 WBM655396:WBM655427 WLI655396:WLI655427 WVE655396:WVE655427 B720932:B720963 IS720932:IS720963 SO720932:SO720963 ACK720932:ACK720963 AMG720932:AMG720963 AWC720932:AWC720963 BFY720932:BFY720963 BPU720932:BPU720963 BZQ720932:BZQ720963 CJM720932:CJM720963 CTI720932:CTI720963 DDE720932:DDE720963 DNA720932:DNA720963 DWW720932:DWW720963 EGS720932:EGS720963 EQO720932:EQO720963 FAK720932:FAK720963 FKG720932:FKG720963 FUC720932:FUC720963 GDY720932:GDY720963 GNU720932:GNU720963 GXQ720932:GXQ720963 HHM720932:HHM720963 HRI720932:HRI720963 IBE720932:IBE720963 ILA720932:ILA720963 IUW720932:IUW720963 JES720932:JES720963 JOO720932:JOO720963 JYK720932:JYK720963 KIG720932:KIG720963 KSC720932:KSC720963 LBY720932:LBY720963 LLU720932:LLU720963 LVQ720932:LVQ720963 MFM720932:MFM720963 MPI720932:MPI720963 MZE720932:MZE720963 NJA720932:NJA720963 NSW720932:NSW720963 OCS720932:OCS720963 OMO720932:OMO720963 OWK720932:OWK720963 PGG720932:PGG720963 PQC720932:PQC720963 PZY720932:PZY720963 QJU720932:QJU720963 QTQ720932:QTQ720963 RDM720932:RDM720963 RNI720932:RNI720963 RXE720932:RXE720963 SHA720932:SHA720963 SQW720932:SQW720963 TAS720932:TAS720963 TKO720932:TKO720963 TUK720932:TUK720963 UEG720932:UEG720963 UOC720932:UOC720963 UXY720932:UXY720963 VHU720932:VHU720963 VRQ720932:VRQ720963 WBM720932:WBM720963 WLI720932:WLI720963 WVE720932:WVE720963 B786468:B786499 IS786468:IS786499 SO786468:SO786499 ACK786468:ACK786499 AMG786468:AMG786499 AWC786468:AWC786499 BFY786468:BFY786499 BPU786468:BPU786499 BZQ786468:BZQ786499 CJM786468:CJM786499 CTI786468:CTI786499 DDE786468:DDE786499 DNA786468:DNA786499 DWW786468:DWW786499 EGS786468:EGS786499 EQO786468:EQO786499 FAK786468:FAK786499 FKG786468:FKG786499 FUC786468:FUC786499 GDY786468:GDY786499 GNU786468:GNU786499 GXQ786468:GXQ786499 HHM786468:HHM786499 HRI786468:HRI786499 IBE786468:IBE786499 ILA786468:ILA786499 IUW786468:IUW786499 JES786468:JES786499 JOO786468:JOO786499 JYK786468:JYK786499 KIG786468:KIG786499 KSC786468:KSC786499 LBY786468:LBY786499 LLU786468:LLU786499 LVQ786468:LVQ786499 MFM786468:MFM786499 MPI786468:MPI786499 MZE786468:MZE786499 NJA786468:NJA786499 NSW786468:NSW786499 OCS786468:OCS786499 OMO786468:OMO786499 OWK786468:OWK786499 PGG786468:PGG786499 PQC786468:PQC786499 PZY786468:PZY786499 QJU786468:QJU786499 QTQ786468:QTQ786499 RDM786468:RDM786499 RNI786468:RNI786499 RXE786468:RXE786499 SHA786468:SHA786499 SQW786468:SQW786499 TAS786468:TAS786499 TKO786468:TKO786499 TUK786468:TUK786499 UEG786468:UEG786499 UOC786468:UOC786499 UXY786468:UXY786499 VHU786468:VHU786499 VRQ786468:VRQ786499 WBM786468:WBM786499 WLI786468:WLI786499 WVE786468:WVE786499 B852004:B852035 IS852004:IS852035 SO852004:SO852035 ACK852004:ACK852035 AMG852004:AMG852035 AWC852004:AWC852035 BFY852004:BFY852035 BPU852004:BPU852035 BZQ852004:BZQ852035 CJM852004:CJM852035 CTI852004:CTI852035 DDE852004:DDE852035 DNA852004:DNA852035 DWW852004:DWW852035 EGS852004:EGS852035 EQO852004:EQO852035 FAK852004:FAK852035 FKG852004:FKG852035 FUC852004:FUC852035 GDY852004:GDY852035 GNU852004:GNU852035 GXQ852004:GXQ852035 HHM852004:HHM852035 HRI852004:HRI852035 IBE852004:IBE852035 ILA852004:ILA852035 IUW852004:IUW852035 JES852004:JES852035 JOO852004:JOO852035 JYK852004:JYK852035 KIG852004:KIG852035 KSC852004:KSC852035 LBY852004:LBY852035 LLU852004:LLU852035 LVQ852004:LVQ852035 MFM852004:MFM852035 MPI852004:MPI852035 MZE852004:MZE852035 NJA852004:NJA852035 NSW852004:NSW852035 OCS852004:OCS852035 OMO852004:OMO852035 OWK852004:OWK852035 PGG852004:PGG852035 PQC852004:PQC852035 PZY852004:PZY852035 QJU852004:QJU852035 QTQ852004:QTQ852035 RDM852004:RDM852035 RNI852004:RNI852035 RXE852004:RXE852035 SHA852004:SHA852035 SQW852004:SQW852035 TAS852004:TAS852035 TKO852004:TKO852035 TUK852004:TUK852035 UEG852004:UEG852035 UOC852004:UOC852035 UXY852004:UXY852035 VHU852004:VHU852035 VRQ852004:VRQ852035 WBM852004:WBM852035 WLI852004:WLI852035 WVE852004:WVE852035 B917540:B917571 IS917540:IS917571 SO917540:SO917571 ACK917540:ACK917571 AMG917540:AMG917571 AWC917540:AWC917571 BFY917540:BFY917571 BPU917540:BPU917571 BZQ917540:BZQ917571 CJM917540:CJM917571 CTI917540:CTI917571 DDE917540:DDE917571 DNA917540:DNA917571 DWW917540:DWW917571 EGS917540:EGS917571 EQO917540:EQO917571 FAK917540:FAK917571 FKG917540:FKG917571 FUC917540:FUC917571 GDY917540:GDY917571 GNU917540:GNU917571 GXQ917540:GXQ917571 HHM917540:HHM917571 HRI917540:HRI917571 IBE917540:IBE917571 ILA917540:ILA917571 IUW917540:IUW917571 JES917540:JES917571 JOO917540:JOO917571 JYK917540:JYK917571 KIG917540:KIG917571 KSC917540:KSC917571 LBY917540:LBY917571 LLU917540:LLU917571 LVQ917540:LVQ917571 MFM917540:MFM917571 MPI917540:MPI917571 MZE917540:MZE917571 NJA917540:NJA917571 NSW917540:NSW917571 OCS917540:OCS917571 OMO917540:OMO917571 OWK917540:OWK917571 PGG917540:PGG917571 PQC917540:PQC917571 PZY917540:PZY917571 QJU917540:QJU917571 QTQ917540:QTQ917571 RDM917540:RDM917571 RNI917540:RNI917571 RXE917540:RXE917571 SHA917540:SHA917571 SQW917540:SQW917571 TAS917540:TAS917571 TKO917540:TKO917571 TUK917540:TUK917571 UEG917540:UEG917571 UOC917540:UOC917571 UXY917540:UXY917571 VHU917540:VHU917571 VRQ917540:VRQ917571 WBM917540:WBM917571 WLI917540:WLI917571 WVE917540:WVE917571 B983076:B983107 IS983076:IS983107 SO983076:SO983107 ACK983076:ACK983107 AMG983076:AMG983107 AWC983076:AWC983107 BFY983076:BFY983107 BPU983076:BPU983107 BZQ983076:BZQ983107 CJM983076:CJM983107 CTI983076:CTI983107 DDE983076:DDE983107 DNA983076:DNA983107 DWW983076:DWW983107 EGS983076:EGS983107 EQO983076:EQO983107 FAK983076:FAK983107 FKG983076:FKG983107 FUC983076:FUC983107 GDY983076:GDY983107 GNU983076:GNU983107 GXQ983076:GXQ983107 HHM983076:HHM983107 HRI983076:HRI983107 IBE983076:IBE983107 ILA983076:ILA983107 IUW983076:IUW983107 JES983076:JES983107 JOO983076:JOO983107 JYK983076:JYK983107 KIG983076:KIG983107 KSC983076:KSC983107 LBY983076:LBY983107 LLU983076:LLU983107 LVQ983076:LVQ983107 MFM983076:MFM983107 MPI983076:MPI983107 MZE983076:MZE983107 NJA983076:NJA983107 NSW983076:NSW983107 OCS983076:OCS983107 OMO983076:OMO983107 OWK983076:OWK983107 PGG983076:PGG983107 PQC983076:PQC983107 PZY983076:PZY983107 QJU983076:QJU983107 QTQ983076:QTQ983107 RDM983076:RDM983107 RNI983076:RNI983107 RXE983076:RXE983107 SHA983076:SHA983107 SQW983076:SQW983107 TAS983076:TAS983107 TKO983076:TKO983107 TUK983076:TUK983107 UEG983076:UEG983107 UOC983076:UOC983107 UXY983076:UXY983107 VHU983076:VHU983107 VRQ983076:VRQ983107 WBM983076:WBM983107 WLI983076:WLI983107 B63:B65 WLC21:WLC31 WLI17:WLI20 WLI32:WLI65 WBG21:WBG31 WBM17:WBM20 WBM32:WBM65 VRK21:VRK31 VRQ17:VRQ20 VRQ32:VRQ65 VHO21:VHO31 VHU17:VHU20 VHU32:VHU65 UXS21:UXS31 UXY17:UXY20 UXY32:UXY65 UNW21:UNW31 UOC17:UOC20 UOC32:UOC65 UEA21:UEA31 UEG17:UEG20 UEG32:UEG65 TUE21:TUE31 TUK17:TUK20 TUK32:TUK65 TKI21:TKI31 TKO17:TKO20 TKO32:TKO65 TAM21:TAM31 TAS17:TAS20 TAS32:TAS65 SQQ21:SQQ31 SQW17:SQW20 SQW32:SQW65 SGU21:SGU31 SHA17:SHA20 SHA32:SHA65 RWY21:RWY31 RXE17:RXE20 RXE32:RXE65 RNC21:RNC31 RNI17:RNI20 RNI32:RNI65 RDG21:RDG31 RDM17:RDM20 RDM32:RDM65 QTK21:QTK31 QTQ17:QTQ20 QTQ32:QTQ65 QJO21:QJO31 QJU17:QJU20 QJU32:QJU65 PZS21:PZS31 PZY17:PZY20 PZY32:PZY65 PPW21:PPW31 PQC17:PQC20 PQC32:PQC65 PGA21:PGA31 PGG17:PGG20 PGG32:PGG65 OWE21:OWE31 OWK17:OWK20 OWK32:OWK65 OMI21:OMI31 OMO17:OMO20 OMO32:OMO65 OCM21:OCM31 OCS17:OCS20 OCS32:OCS65 NSQ21:NSQ31 NSW17:NSW20 NSW32:NSW65 NIU21:NIU31 NJA17:NJA20 NJA32:NJA65 MYY21:MYY31 MZE17:MZE20 MZE32:MZE65 MPC21:MPC31 MPI17:MPI20 MPI32:MPI65 MFG21:MFG31 MFM17:MFM20 MFM32:MFM65 LVK21:LVK31 LVQ17:LVQ20 LVQ32:LVQ65 LLO21:LLO31 LLU17:LLU20 LLU32:LLU65 LBS21:LBS31 LBY17:LBY20 LBY32:LBY65 KRW21:KRW31 KSC17:KSC20 KSC32:KSC65 KIA21:KIA31 KIG17:KIG20 KIG32:KIG65 JYE21:JYE31 JYK17:JYK20 JYK32:JYK65 JOI21:JOI31 JOO17:JOO20 JOO32:JOO65 JEM21:JEM31 JES17:JES20 JES32:JES65 IUQ21:IUQ31 IUW17:IUW20 IUW32:IUW65 IKU21:IKU31 ILA17:ILA20 ILA32:ILA65 IAY21:IAY31 IBE17:IBE20 IBE32:IBE65 HRC21:HRC31 HRI17:HRI20 HRI32:HRI65 HHG21:HHG31 HHM17:HHM20 HHM32:HHM65 GXK21:GXK31 GXQ17:GXQ20 GXQ32:GXQ65 GNO21:GNO31 GNU17:GNU20 GNU32:GNU65 GDS21:GDS31 GDY17:GDY20 GDY32:GDY65 FTW21:FTW31 FUC17:FUC20 FUC32:FUC65 FKA21:FKA31 FKG17:FKG20 FKG32:FKG65 FAE21:FAE31 FAK17:FAK20 FAK32:FAK65 EQI21:EQI31 EQO17:EQO20 EQO32:EQO65 EGM21:EGM31 EGS17:EGS20 EGS32:EGS65 DWQ21:DWQ31 DWW17:DWW20 DWW32:DWW65 DMU21:DMU31 DNA17:DNA20 DNA32:DNA65 DCY21:DCY31 DDE17:DDE20 DDE32:DDE65 CTC21:CTC31 CTI17:CTI20 CTI32:CTI65 CJG21:CJG31 CJM17:CJM20 CJM32:CJM65 BZK21:BZK31 BZQ17:BZQ20 BZQ32:BZQ65 BPO21:BPO31 BPU17:BPU20 BPU32:BPU65 BFS21:BFS31 BFY17:BFY20 BFY32:BFY65 AVW21:AVW31 AWC17:AWC20 AWC32:AWC65 AMA21:AMA31 AMG17:AMG20 AMG32:AMG65 ACE21:ACE31 ACK17:ACK20 ACK32:ACK65 SI21:SI31 SO17:SO20 SO32:SO65 IM21:IM31 IS17:IS20 IS32:IS65 WUY21:WUY31 WVE17:WVE20 WVE32:WVE65" xr:uid="{00000000-0002-0000-0000-000001000000}">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IZ3:IZ4 SV3:SV4 ACR3:ACR4 AMN3:AMN4 AWJ3:AWJ4 BGF3:BGF4 BQB3:BQB4 BZX3:BZX4 CJT3:CJT4 CTP3:CTP4 DDL3:DDL4 DNH3:DNH4 DXD3:DXD4 EGZ3:EGZ4 EQV3:EQV4 FAR3:FAR4 FKN3:FKN4 FUJ3:FUJ4 GEF3:GEF4 GOB3:GOB4 GXX3:GXX4 HHT3:HHT4 HRP3:HRP4 IBL3:IBL4 ILH3:ILH4 IVD3:IVD4 JEZ3:JEZ4 JOV3:JOV4 JYR3:JYR4 KIN3:KIN4 KSJ3:KSJ4 LCF3:LCF4 LMB3:LMB4 LVX3:LVX4 MFT3:MFT4 MPP3:MPP4 MZL3:MZL4 NJH3:NJH4 NTD3:NTD4 OCZ3:OCZ4 OMV3:OMV4 OWR3:OWR4 PGN3:PGN4 PQJ3:PQJ4 QAF3:QAF4 QKB3:QKB4 QTX3:QTX4 RDT3:RDT4 RNP3:RNP4 RXL3:RXL4 SHH3:SHH4 SRD3:SRD4 TAZ3:TAZ4 TKV3:TKV4 TUR3:TUR4 UEN3:UEN4 UOJ3:UOJ4 UYF3:UYF4 VIB3:VIB4 VRX3:VRX4 WBT3:WBT4 WLP3:WLP4 WVL3:WVL4 IZ65558:IZ65559 SV65558:SV65559 ACR65558:ACR65559 AMN65558:AMN65559 AWJ65558:AWJ65559 BGF65558:BGF65559 BQB65558:BQB65559 BZX65558:BZX65559 CJT65558:CJT65559 CTP65558:CTP65559 DDL65558:DDL65559 DNH65558:DNH65559 DXD65558:DXD65559 EGZ65558:EGZ65559 EQV65558:EQV65559 FAR65558:FAR65559 FKN65558:FKN65559 FUJ65558:FUJ65559 GEF65558:GEF65559 GOB65558:GOB65559 GXX65558:GXX65559 HHT65558:HHT65559 HRP65558:HRP65559 IBL65558:IBL65559 ILH65558:ILH65559 IVD65558:IVD65559 JEZ65558:JEZ65559 JOV65558:JOV65559 JYR65558:JYR65559 KIN65558:KIN65559 KSJ65558:KSJ65559 LCF65558:LCF65559 LMB65558:LMB65559 LVX65558:LVX65559 MFT65558:MFT65559 MPP65558:MPP65559 MZL65558:MZL65559 NJH65558:NJH65559 NTD65558:NTD65559 OCZ65558:OCZ65559 OMV65558:OMV65559 OWR65558:OWR65559 PGN65558:PGN65559 PQJ65558:PQJ65559 QAF65558:QAF65559 QKB65558:QKB65559 QTX65558:QTX65559 RDT65558:RDT65559 RNP65558:RNP65559 RXL65558:RXL65559 SHH65558:SHH65559 SRD65558:SRD65559 TAZ65558:TAZ65559 TKV65558:TKV65559 TUR65558:TUR65559 UEN65558:UEN65559 UOJ65558:UOJ65559 UYF65558:UYF65559 VIB65558:VIB65559 VRX65558:VRX65559 WBT65558:WBT65559 WLP65558:WLP65559 WVL65558:WVL65559 IZ131094:IZ131095 SV131094:SV131095 ACR131094:ACR131095 AMN131094:AMN131095 AWJ131094:AWJ131095 BGF131094:BGF131095 BQB131094:BQB131095 BZX131094:BZX131095 CJT131094:CJT131095 CTP131094:CTP131095 DDL131094:DDL131095 DNH131094:DNH131095 DXD131094:DXD131095 EGZ131094:EGZ131095 EQV131094:EQV131095 FAR131094:FAR131095 FKN131094:FKN131095 FUJ131094:FUJ131095 GEF131094:GEF131095 GOB131094:GOB131095 GXX131094:GXX131095 HHT131094:HHT131095 HRP131094:HRP131095 IBL131094:IBL131095 ILH131094:ILH131095 IVD131094:IVD131095 JEZ131094:JEZ131095 JOV131094:JOV131095 JYR131094:JYR131095 KIN131094:KIN131095 KSJ131094:KSJ131095 LCF131094:LCF131095 LMB131094:LMB131095 LVX131094:LVX131095 MFT131094:MFT131095 MPP131094:MPP131095 MZL131094:MZL131095 NJH131094:NJH131095 NTD131094:NTD131095 OCZ131094:OCZ131095 OMV131094:OMV131095 OWR131094:OWR131095 PGN131094:PGN131095 PQJ131094:PQJ131095 QAF131094:QAF131095 QKB131094:QKB131095 QTX131094:QTX131095 RDT131094:RDT131095 RNP131094:RNP131095 RXL131094:RXL131095 SHH131094:SHH131095 SRD131094:SRD131095 TAZ131094:TAZ131095 TKV131094:TKV131095 TUR131094:TUR131095 UEN131094:UEN131095 UOJ131094:UOJ131095 UYF131094:UYF131095 VIB131094:VIB131095 VRX131094:VRX131095 WBT131094:WBT131095 WLP131094:WLP131095 WVL131094:WVL131095 IZ196630:IZ196631 SV196630:SV196631 ACR196630:ACR196631 AMN196630:AMN196631 AWJ196630:AWJ196631 BGF196630:BGF196631 BQB196630:BQB196631 BZX196630:BZX196631 CJT196630:CJT196631 CTP196630:CTP196631 DDL196630:DDL196631 DNH196630:DNH196631 DXD196630:DXD196631 EGZ196630:EGZ196631 EQV196630:EQV196631 FAR196630:FAR196631 FKN196630:FKN196631 FUJ196630:FUJ196631 GEF196630:GEF196631 GOB196630:GOB196631 GXX196630:GXX196631 HHT196630:HHT196631 HRP196630:HRP196631 IBL196630:IBL196631 ILH196630:ILH196631 IVD196630:IVD196631 JEZ196630:JEZ196631 JOV196630:JOV196631 JYR196630:JYR196631 KIN196630:KIN196631 KSJ196630:KSJ196631 LCF196630:LCF196631 LMB196630:LMB196631 LVX196630:LVX196631 MFT196630:MFT196631 MPP196630:MPP196631 MZL196630:MZL196631 NJH196630:NJH196631 NTD196630:NTD196631 OCZ196630:OCZ196631 OMV196630:OMV196631 OWR196630:OWR196631 PGN196630:PGN196631 PQJ196630:PQJ196631 QAF196630:QAF196631 QKB196630:QKB196631 QTX196630:QTX196631 RDT196630:RDT196631 RNP196630:RNP196631 RXL196630:RXL196631 SHH196630:SHH196631 SRD196630:SRD196631 TAZ196630:TAZ196631 TKV196630:TKV196631 TUR196630:TUR196631 UEN196630:UEN196631 UOJ196630:UOJ196631 UYF196630:UYF196631 VIB196630:VIB196631 VRX196630:VRX196631 WBT196630:WBT196631 WLP196630:WLP196631 WVL196630:WVL196631 IZ262166:IZ262167 SV262166:SV262167 ACR262166:ACR262167 AMN262166:AMN262167 AWJ262166:AWJ262167 BGF262166:BGF262167 BQB262166:BQB262167 BZX262166:BZX262167 CJT262166:CJT262167 CTP262166:CTP262167 DDL262166:DDL262167 DNH262166:DNH262167 DXD262166:DXD262167 EGZ262166:EGZ262167 EQV262166:EQV262167 FAR262166:FAR262167 FKN262166:FKN262167 FUJ262166:FUJ262167 GEF262166:GEF262167 GOB262166:GOB262167 GXX262166:GXX262167 HHT262166:HHT262167 HRP262166:HRP262167 IBL262166:IBL262167 ILH262166:ILH262167 IVD262166:IVD262167 JEZ262166:JEZ262167 JOV262166:JOV262167 JYR262166:JYR262167 KIN262166:KIN262167 KSJ262166:KSJ262167 LCF262166:LCF262167 LMB262166:LMB262167 LVX262166:LVX262167 MFT262166:MFT262167 MPP262166:MPP262167 MZL262166:MZL262167 NJH262166:NJH262167 NTD262166:NTD262167 OCZ262166:OCZ262167 OMV262166:OMV262167 OWR262166:OWR262167 PGN262166:PGN262167 PQJ262166:PQJ262167 QAF262166:QAF262167 QKB262166:QKB262167 QTX262166:QTX262167 RDT262166:RDT262167 RNP262166:RNP262167 RXL262166:RXL262167 SHH262166:SHH262167 SRD262166:SRD262167 TAZ262166:TAZ262167 TKV262166:TKV262167 TUR262166:TUR262167 UEN262166:UEN262167 UOJ262166:UOJ262167 UYF262166:UYF262167 VIB262166:VIB262167 VRX262166:VRX262167 WBT262166:WBT262167 WLP262166:WLP262167 WVL262166:WVL262167 IZ327702:IZ327703 SV327702:SV327703 ACR327702:ACR327703 AMN327702:AMN327703 AWJ327702:AWJ327703 BGF327702:BGF327703 BQB327702:BQB327703 BZX327702:BZX327703 CJT327702:CJT327703 CTP327702:CTP327703 DDL327702:DDL327703 DNH327702:DNH327703 DXD327702:DXD327703 EGZ327702:EGZ327703 EQV327702:EQV327703 FAR327702:FAR327703 FKN327702:FKN327703 FUJ327702:FUJ327703 GEF327702:GEF327703 GOB327702:GOB327703 GXX327702:GXX327703 HHT327702:HHT327703 HRP327702:HRP327703 IBL327702:IBL327703 ILH327702:ILH327703 IVD327702:IVD327703 JEZ327702:JEZ327703 JOV327702:JOV327703 JYR327702:JYR327703 KIN327702:KIN327703 KSJ327702:KSJ327703 LCF327702:LCF327703 LMB327702:LMB327703 LVX327702:LVX327703 MFT327702:MFT327703 MPP327702:MPP327703 MZL327702:MZL327703 NJH327702:NJH327703 NTD327702:NTD327703 OCZ327702:OCZ327703 OMV327702:OMV327703 OWR327702:OWR327703 PGN327702:PGN327703 PQJ327702:PQJ327703 QAF327702:QAF327703 QKB327702:QKB327703 QTX327702:QTX327703 RDT327702:RDT327703 RNP327702:RNP327703 RXL327702:RXL327703 SHH327702:SHH327703 SRD327702:SRD327703 TAZ327702:TAZ327703 TKV327702:TKV327703 TUR327702:TUR327703 UEN327702:UEN327703 UOJ327702:UOJ327703 UYF327702:UYF327703 VIB327702:VIB327703 VRX327702:VRX327703 WBT327702:WBT327703 WLP327702:WLP327703 WVL327702:WVL327703 IZ393238:IZ393239 SV393238:SV393239 ACR393238:ACR393239 AMN393238:AMN393239 AWJ393238:AWJ393239 BGF393238:BGF393239 BQB393238:BQB393239 BZX393238:BZX393239 CJT393238:CJT393239 CTP393238:CTP393239 DDL393238:DDL393239 DNH393238:DNH393239 DXD393238:DXD393239 EGZ393238:EGZ393239 EQV393238:EQV393239 FAR393238:FAR393239 FKN393238:FKN393239 FUJ393238:FUJ393239 GEF393238:GEF393239 GOB393238:GOB393239 GXX393238:GXX393239 HHT393238:HHT393239 HRP393238:HRP393239 IBL393238:IBL393239 ILH393238:ILH393239 IVD393238:IVD393239 JEZ393238:JEZ393239 JOV393238:JOV393239 JYR393238:JYR393239 KIN393238:KIN393239 KSJ393238:KSJ393239 LCF393238:LCF393239 LMB393238:LMB393239 LVX393238:LVX393239 MFT393238:MFT393239 MPP393238:MPP393239 MZL393238:MZL393239 NJH393238:NJH393239 NTD393238:NTD393239 OCZ393238:OCZ393239 OMV393238:OMV393239 OWR393238:OWR393239 PGN393238:PGN393239 PQJ393238:PQJ393239 QAF393238:QAF393239 QKB393238:QKB393239 QTX393238:QTX393239 RDT393238:RDT393239 RNP393238:RNP393239 RXL393238:RXL393239 SHH393238:SHH393239 SRD393238:SRD393239 TAZ393238:TAZ393239 TKV393238:TKV393239 TUR393238:TUR393239 UEN393238:UEN393239 UOJ393238:UOJ393239 UYF393238:UYF393239 VIB393238:VIB393239 VRX393238:VRX393239 WBT393238:WBT393239 WLP393238:WLP393239 WVL393238:WVL393239 IZ458774:IZ458775 SV458774:SV458775 ACR458774:ACR458775 AMN458774:AMN458775 AWJ458774:AWJ458775 BGF458774:BGF458775 BQB458774:BQB458775 BZX458774:BZX458775 CJT458774:CJT458775 CTP458774:CTP458775 DDL458774:DDL458775 DNH458774:DNH458775 DXD458774:DXD458775 EGZ458774:EGZ458775 EQV458774:EQV458775 FAR458774:FAR458775 FKN458774:FKN458775 FUJ458774:FUJ458775 GEF458774:GEF458775 GOB458774:GOB458775 GXX458774:GXX458775 HHT458774:HHT458775 HRP458774:HRP458775 IBL458774:IBL458775 ILH458774:ILH458775 IVD458774:IVD458775 JEZ458774:JEZ458775 JOV458774:JOV458775 JYR458774:JYR458775 KIN458774:KIN458775 KSJ458774:KSJ458775 LCF458774:LCF458775 LMB458774:LMB458775 LVX458774:LVX458775 MFT458774:MFT458775 MPP458774:MPP458775 MZL458774:MZL458775 NJH458774:NJH458775 NTD458774:NTD458775 OCZ458774:OCZ458775 OMV458774:OMV458775 OWR458774:OWR458775 PGN458774:PGN458775 PQJ458774:PQJ458775 QAF458774:QAF458775 QKB458774:QKB458775 QTX458774:QTX458775 RDT458774:RDT458775 RNP458774:RNP458775 RXL458774:RXL458775 SHH458774:SHH458775 SRD458774:SRD458775 TAZ458774:TAZ458775 TKV458774:TKV458775 TUR458774:TUR458775 UEN458774:UEN458775 UOJ458774:UOJ458775 UYF458774:UYF458775 VIB458774:VIB458775 VRX458774:VRX458775 WBT458774:WBT458775 WLP458774:WLP458775 WVL458774:WVL458775 IZ524310:IZ524311 SV524310:SV524311 ACR524310:ACR524311 AMN524310:AMN524311 AWJ524310:AWJ524311 BGF524310:BGF524311 BQB524310:BQB524311 BZX524310:BZX524311 CJT524310:CJT524311 CTP524310:CTP524311 DDL524310:DDL524311 DNH524310:DNH524311 DXD524310:DXD524311 EGZ524310:EGZ524311 EQV524310:EQV524311 FAR524310:FAR524311 FKN524310:FKN524311 FUJ524310:FUJ524311 GEF524310:GEF524311 GOB524310:GOB524311 GXX524310:GXX524311 HHT524310:HHT524311 HRP524310:HRP524311 IBL524310:IBL524311 ILH524310:ILH524311 IVD524310:IVD524311 JEZ524310:JEZ524311 JOV524310:JOV524311 JYR524310:JYR524311 KIN524310:KIN524311 KSJ524310:KSJ524311 LCF524310:LCF524311 LMB524310:LMB524311 LVX524310:LVX524311 MFT524310:MFT524311 MPP524310:MPP524311 MZL524310:MZL524311 NJH524310:NJH524311 NTD524310:NTD524311 OCZ524310:OCZ524311 OMV524310:OMV524311 OWR524310:OWR524311 PGN524310:PGN524311 PQJ524310:PQJ524311 QAF524310:QAF524311 QKB524310:QKB524311 QTX524310:QTX524311 RDT524310:RDT524311 RNP524310:RNP524311 RXL524310:RXL524311 SHH524310:SHH524311 SRD524310:SRD524311 TAZ524310:TAZ524311 TKV524310:TKV524311 TUR524310:TUR524311 UEN524310:UEN524311 UOJ524310:UOJ524311 UYF524310:UYF524311 VIB524310:VIB524311 VRX524310:VRX524311 WBT524310:WBT524311 WLP524310:WLP524311 WVL524310:WVL524311 IZ589846:IZ589847 SV589846:SV589847 ACR589846:ACR589847 AMN589846:AMN589847 AWJ589846:AWJ589847 BGF589846:BGF589847 BQB589846:BQB589847 BZX589846:BZX589847 CJT589846:CJT589847 CTP589846:CTP589847 DDL589846:DDL589847 DNH589846:DNH589847 DXD589846:DXD589847 EGZ589846:EGZ589847 EQV589846:EQV589847 FAR589846:FAR589847 FKN589846:FKN589847 FUJ589846:FUJ589847 GEF589846:GEF589847 GOB589846:GOB589847 GXX589846:GXX589847 HHT589846:HHT589847 HRP589846:HRP589847 IBL589846:IBL589847 ILH589846:ILH589847 IVD589846:IVD589847 JEZ589846:JEZ589847 JOV589846:JOV589847 JYR589846:JYR589847 KIN589846:KIN589847 KSJ589846:KSJ589847 LCF589846:LCF589847 LMB589846:LMB589847 LVX589846:LVX589847 MFT589846:MFT589847 MPP589846:MPP589847 MZL589846:MZL589847 NJH589846:NJH589847 NTD589846:NTD589847 OCZ589846:OCZ589847 OMV589846:OMV589847 OWR589846:OWR589847 PGN589846:PGN589847 PQJ589846:PQJ589847 QAF589846:QAF589847 QKB589846:QKB589847 QTX589846:QTX589847 RDT589846:RDT589847 RNP589846:RNP589847 RXL589846:RXL589847 SHH589846:SHH589847 SRD589846:SRD589847 TAZ589846:TAZ589847 TKV589846:TKV589847 TUR589846:TUR589847 UEN589846:UEN589847 UOJ589846:UOJ589847 UYF589846:UYF589847 VIB589846:VIB589847 VRX589846:VRX589847 WBT589846:WBT589847 WLP589846:WLP589847 WVL589846:WVL589847 IZ655382:IZ655383 SV655382:SV655383 ACR655382:ACR655383 AMN655382:AMN655383 AWJ655382:AWJ655383 BGF655382:BGF655383 BQB655382:BQB655383 BZX655382:BZX655383 CJT655382:CJT655383 CTP655382:CTP655383 DDL655382:DDL655383 DNH655382:DNH655383 DXD655382:DXD655383 EGZ655382:EGZ655383 EQV655382:EQV655383 FAR655382:FAR655383 FKN655382:FKN655383 FUJ655382:FUJ655383 GEF655382:GEF655383 GOB655382:GOB655383 GXX655382:GXX655383 HHT655382:HHT655383 HRP655382:HRP655383 IBL655382:IBL655383 ILH655382:ILH655383 IVD655382:IVD655383 JEZ655382:JEZ655383 JOV655382:JOV655383 JYR655382:JYR655383 KIN655382:KIN655383 KSJ655382:KSJ655383 LCF655382:LCF655383 LMB655382:LMB655383 LVX655382:LVX655383 MFT655382:MFT655383 MPP655382:MPP655383 MZL655382:MZL655383 NJH655382:NJH655383 NTD655382:NTD655383 OCZ655382:OCZ655383 OMV655382:OMV655383 OWR655382:OWR655383 PGN655382:PGN655383 PQJ655382:PQJ655383 QAF655382:QAF655383 QKB655382:QKB655383 QTX655382:QTX655383 RDT655382:RDT655383 RNP655382:RNP655383 RXL655382:RXL655383 SHH655382:SHH655383 SRD655382:SRD655383 TAZ655382:TAZ655383 TKV655382:TKV655383 TUR655382:TUR655383 UEN655382:UEN655383 UOJ655382:UOJ655383 UYF655382:UYF655383 VIB655382:VIB655383 VRX655382:VRX655383 WBT655382:WBT655383 WLP655382:WLP655383 WVL655382:WVL655383 IZ720918:IZ720919 SV720918:SV720919 ACR720918:ACR720919 AMN720918:AMN720919 AWJ720918:AWJ720919 BGF720918:BGF720919 BQB720918:BQB720919 BZX720918:BZX720919 CJT720918:CJT720919 CTP720918:CTP720919 DDL720918:DDL720919 DNH720918:DNH720919 DXD720918:DXD720919 EGZ720918:EGZ720919 EQV720918:EQV720919 FAR720918:FAR720919 FKN720918:FKN720919 FUJ720918:FUJ720919 GEF720918:GEF720919 GOB720918:GOB720919 GXX720918:GXX720919 HHT720918:HHT720919 HRP720918:HRP720919 IBL720918:IBL720919 ILH720918:ILH720919 IVD720918:IVD720919 JEZ720918:JEZ720919 JOV720918:JOV720919 JYR720918:JYR720919 KIN720918:KIN720919 KSJ720918:KSJ720919 LCF720918:LCF720919 LMB720918:LMB720919 LVX720918:LVX720919 MFT720918:MFT720919 MPP720918:MPP720919 MZL720918:MZL720919 NJH720918:NJH720919 NTD720918:NTD720919 OCZ720918:OCZ720919 OMV720918:OMV720919 OWR720918:OWR720919 PGN720918:PGN720919 PQJ720918:PQJ720919 QAF720918:QAF720919 QKB720918:QKB720919 QTX720918:QTX720919 RDT720918:RDT720919 RNP720918:RNP720919 RXL720918:RXL720919 SHH720918:SHH720919 SRD720918:SRD720919 TAZ720918:TAZ720919 TKV720918:TKV720919 TUR720918:TUR720919 UEN720918:UEN720919 UOJ720918:UOJ720919 UYF720918:UYF720919 VIB720918:VIB720919 VRX720918:VRX720919 WBT720918:WBT720919 WLP720918:WLP720919 WVL720918:WVL720919 IZ786454:IZ786455 SV786454:SV786455 ACR786454:ACR786455 AMN786454:AMN786455 AWJ786454:AWJ786455 BGF786454:BGF786455 BQB786454:BQB786455 BZX786454:BZX786455 CJT786454:CJT786455 CTP786454:CTP786455 DDL786454:DDL786455 DNH786454:DNH786455 DXD786454:DXD786455 EGZ786454:EGZ786455 EQV786454:EQV786455 FAR786454:FAR786455 FKN786454:FKN786455 FUJ786454:FUJ786455 GEF786454:GEF786455 GOB786454:GOB786455 GXX786454:GXX786455 HHT786454:HHT786455 HRP786454:HRP786455 IBL786454:IBL786455 ILH786454:ILH786455 IVD786454:IVD786455 JEZ786454:JEZ786455 JOV786454:JOV786455 JYR786454:JYR786455 KIN786454:KIN786455 KSJ786454:KSJ786455 LCF786454:LCF786455 LMB786454:LMB786455 LVX786454:LVX786455 MFT786454:MFT786455 MPP786454:MPP786455 MZL786454:MZL786455 NJH786454:NJH786455 NTD786454:NTD786455 OCZ786454:OCZ786455 OMV786454:OMV786455 OWR786454:OWR786455 PGN786454:PGN786455 PQJ786454:PQJ786455 QAF786454:QAF786455 QKB786454:QKB786455 QTX786454:QTX786455 RDT786454:RDT786455 RNP786454:RNP786455 RXL786454:RXL786455 SHH786454:SHH786455 SRD786454:SRD786455 TAZ786454:TAZ786455 TKV786454:TKV786455 TUR786454:TUR786455 UEN786454:UEN786455 UOJ786454:UOJ786455 UYF786454:UYF786455 VIB786454:VIB786455 VRX786454:VRX786455 WBT786454:WBT786455 WLP786454:WLP786455 WVL786454:WVL786455 IZ851990:IZ851991 SV851990:SV851991 ACR851990:ACR851991 AMN851990:AMN851991 AWJ851990:AWJ851991 BGF851990:BGF851991 BQB851990:BQB851991 BZX851990:BZX851991 CJT851990:CJT851991 CTP851990:CTP851991 DDL851990:DDL851991 DNH851990:DNH851991 DXD851990:DXD851991 EGZ851990:EGZ851991 EQV851990:EQV851991 FAR851990:FAR851991 FKN851990:FKN851991 FUJ851990:FUJ851991 GEF851990:GEF851991 GOB851990:GOB851991 GXX851990:GXX851991 HHT851990:HHT851991 HRP851990:HRP851991 IBL851990:IBL851991 ILH851990:ILH851991 IVD851990:IVD851991 JEZ851990:JEZ851991 JOV851990:JOV851991 JYR851990:JYR851991 KIN851990:KIN851991 KSJ851990:KSJ851991 LCF851990:LCF851991 LMB851990:LMB851991 LVX851990:LVX851991 MFT851990:MFT851991 MPP851990:MPP851991 MZL851990:MZL851991 NJH851990:NJH851991 NTD851990:NTD851991 OCZ851990:OCZ851991 OMV851990:OMV851991 OWR851990:OWR851991 PGN851990:PGN851991 PQJ851990:PQJ851991 QAF851990:QAF851991 QKB851990:QKB851991 QTX851990:QTX851991 RDT851990:RDT851991 RNP851990:RNP851991 RXL851990:RXL851991 SHH851990:SHH851991 SRD851990:SRD851991 TAZ851990:TAZ851991 TKV851990:TKV851991 TUR851990:TUR851991 UEN851990:UEN851991 UOJ851990:UOJ851991 UYF851990:UYF851991 VIB851990:VIB851991 VRX851990:VRX851991 WBT851990:WBT851991 WLP851990:WLP851991 WVL851990:WVL851991 IZ917526:IZ917527 SV917526:SV917527 ACR917526:ACR917527 AMN917526:AMN917527 AWJ917526:AWJ917527 BGF917526:BGF917527 BQB917526:BQB917527 BZX917526:BZX917527 CJT917526:CJT917527 CTP917526:CTP917527 DDL917526:DDL917527 DNH917526:DNH917527 DXD917526:DXD917527 EGZ917526:EGZ917527 EQV917526:EQV917527 FAR917526:FAR917527 FKN917526:FKN917527 FUJ917526:FUJ917527 GEF917526:GEF917527 GOB917526:GOB917527 GXX917526:GXX917527 HHT917526:HHT917527 HRP917526:HRP917527 IBL917526:IBL917527 ILH917526:ILH917527 IVD917526:IVD917527 JEZ917526:JEZ917527 JOV917526:JOV917527 JYR917526:JYR917527 KIN917526:KIN917527 KSJ917526:KSJ917527 LCF917526:LCF917527 LMB917526:LMB917527 LVX917526:LVX917527 MFT917526:MFT917527 MPP917526:MPP917527 MZL917526:MZL917527 NJH917526:NJH917527 NTD917526:NTD917527 OCZ917526:OCZ917527 OMV917526:OMV917527 OWR917526:OWR917527 PGN917526:PGN917527 PQJ917526:PQJ917527 QAF917526:QAF917527 QKB917526:QKB917527 QTX917526:QTX917527 RDT917526:RDT917527 RNP917526:RNP917527 RXL917526:RXL917527 SHH917526:SHH917527 SRD917526:SRD917527 TAZ917526:TAZ917527 TKV917526:TKV917527 TUR917526:TUR917527 UEN917526:UEN917527 UOJ917526:UOJ917527 UYF917526:UYF917527 VIB917526:VIB917527 VRX917526:VRX917527 WBT917526:WBT917527 WLP917526:WLP917527 WVL917526:WVL917527 IZ983062:IZ983063 SV983062:SV983063 ACR983062:ACR983063 AMN983062:AMN983063 AWJ983062:AWJ983063 BGF983062:BGF983063 BQB983062:BQB983063 BZX983062:BZX983063 CJT983062:CJT983063 CTP983062:CTP983063 DDL983062:DDL983063 DNH983062:DNH983063 DXD983062:DXD983063 EGZ983062:EGZ983063 EQV983062:EQV983063 FAR983062:FAR983063 FKN983062:FKN983063 FUJ983062:FUJ983063 GEF983062:GEF983063 GOB983062:GOB983063 GXX983062:GXX983063 HHT983062:HHT983063 HRP983062:HRP983063 IBL983062:IBL983063 ILH983062:ILH983063 IVD983062:IVD983063 JEZ983062:JEZ983063 JOV983062:JOV983063 JYR983062:JYR983063 KIN983062:KIN983063 KSJ983062:KSJ983063 LCF983062:LCF983063 LMB983062:LMB983063 LVX983062:LVX983063 MFT983062:MFT983063 MPP983062:MPP983063 MZL983062:MZL983063 NJH983062:NJH983063 NTD983062:NTD983063 OCZ983062:OCZ983063 OMV983062:OMV983063 OWR983062:OWR983063 PGN983062:PGN983063 PQJ983062:PQJ983063 QAF983062:QAF983063 QKB983062:QKB983063 QTX983062:QTX983063 RDT983062:RDT983063 RNP983062:RNP983063 RXL983062:RXL983063 SHH983062:SHH983063 SRD983062:SRD983063 TAZ983062:TAZ983063 TKV983062:TKV983063 TUR983062:TUR983063 UEN983062:UEN983063 UOJ983062:UOJ983063 UYF983062:UYF983063 VIB983062:VIB983063 VRX983062:VRX983063 WBT983062:WBT983063 WLP983062:WLP983063 WVL983062:WVL983063 B1:B4 IS1:IS4 SO1:SO4 ACK1:ACK4 AMG1:AMG4 AWC1:AWC4 BFY1:BFY4 BPU1:BPU4 BZQ1:BZQ4 CJM1:CJM4 CTI1:CTI4 DDE1:DDE4 DNA1:DNA4 DWW1:DWW4 EGS1:EGS4 EQO1:EQO4 FAK1:FAK4 FKG1:FKG4 FUC1:FUC4 GDY1:GDY4 GNU1:GNU4 GXQ1:GXQ4 HHM1:HHM4 HRI1:HRI4 IBE1:IBE4 ILA1:ILA4 IUW1:IUW4 JES1:JES4 JOO1:JOO4 JYK1:JYK4 KIG1:KIG4 KSC1:KSC4 LBY1:LBY4 LLU1:LLU4 LVQ1:LVQ4 MFM1:MFM4 MPI1:MPI4 MZE1:MZE4 NJA1:NJA4 NSW1:NSW4 OCS1:OCS4 OMO1:OMO4 OWK1:OWK4 PGG1:PGG4 PQC1:PQC4 PZY1:PZY4 QJU1:QJU4 QTQ1:QTQ4 RDM1:RDM4 RNI1:RNI4 RXE1:RXE4 SHA1:SHA4 SQW1:SQW4 TAS1:TAS4 TKO1:TKO4 TUK1:TUK4 UEG1:UEG4 UOC1:UOC4 UXY1:UXY4 VHU1:VHU4 VRQ1:VRQ4 WBM1:WBM4 WLI1:WLI4 WVE1:WVE4 B65556:B65559 IS65556:IS65559 SO65556:SO65559 ACK65556:ACK65559 AMG65556:AMG65559 AWC65556:AWC65559 BFY65556:BFY65559 BPU65556:BPU65559 BZQ65556:BZQ65559 CJM65556:CJM65559 CTI65556:CTI65559 DDE65556:DDE65559 DNA65556:DNA65559 DWW65556:DWW65559 EGS65556:EGS65559 EQO65556:EQO65559 FAK65556:FAK65559 FKG65556:FKG65559 FUC65556:FUC65559 GDY65556:GDY65559 GNU65556:GNU65559 GXQ65556:GXQ65559 HHM65556:HHM65559 HRI65556:HRI65559 IBE65556:IBE65559 ILA65556:ILA65559 IUW65556:IUW65559 JES65556:JES65559 JOO65556:JOO65559 JYK65556:JYK65559 KIG65556:KIG65559 KSC65556:KSC65559 LBY65556:LBY65559 LLU65556:LLU65559 LVQ65556:LVQ65559 MFM65556:MFM65559 MPI65556:MPI65559 MZE65556:MZE65559 NJA65556:NJA65559 NSW65556:NSW65559 OCS65556:OCS65559 OMO65556:OMO65559 OWK65556:OWK65559 PGG65556:PGG65559 PQC65556:PQC65559 PZY65556:PZY65559 QJU65556:QJU65559 QTQ65556:QTQ65559 RDM65556:RDM65559 RNI65556:RNI65559 RXE65556:RXE65559 SHA65556:SHA65559 SQW65556:SQW65559 TAS65556:TAS65559 TKO65556:TKO65559 TUK65556:TUK65559 UEG65556:UEG65559 UOC65556:UOC65559 UXY65556:UXY65559 VHU65556:VHU65559 VRQ65556:VRQ65559 WBM65556:WBM65559 WLI65556:WLI65559 WVE65556:WVE65559 B131092:B131095 IS131092:IS131095 SO131092:SO131095 ACK131092:ACK131095 AMG131092:AMG131095 AWC131092:AWC131095 BFY131092:BFY131095 BPU131092:BPU131095 BZQ131092:BZQ131095 CJM131092:CJM131095 CTI131092:CTI131095 DDE131092:DDE131095 DNA131092:DNA131095 DWW131092:DWW131095 EGS131092:EGS131095 EQO131092:EQO131095 FAK131092:FAK131095 FKG131092:FKG131095 FUC131092:FUC131095 GDY131092:GDY131095 GNU131092:GNU131095 GXQ131092:GXQ131095 HHM131092:HHM131095 HRI131092:HRI131095 IBE131092:IBE131095 ILA131092:ILA131095 IUW131092:IUW131095 JES131092:JES131095 JOO131092:JOO131095 JYK131092:JYK131095 KIG131092:KIG131095 KSC131092:KSC131095 LBY131092:LBY131095 LLU131092:LLU131095 LVQ131092:LVQ131095 MFM131092:MFM131095 MPI131092:MPI131095 MZE131092:MZE131095 NJA131092:NJA131095 NSW131092:NSW131095 OCS131092:OCS131095 OMO131092:OMO131095 OWK131092:OWK131095 PGG131092:PGG131095 PQC131092:PQC131095 PZY131092:PZY131095 QJU131092:QJU131095 QTQ131092:QTQ131095 RDM131092:RDM131095 RNI131092:RNI131095 RXE131092:RXE131095 SHA131092:SHA131095 SQW131092:SQW131095 TAS131092:TAS131095 TKO131092:TKO131095 TUK131092:TUK131095 UEG131092:UEG131095 UOC131092:UOC131095 UXY131092:UXY131095 VHU131092:VHU131095 VRQ131092:VRQ131095 WBM131092:WBM131095 WLI131092:WLI131095 WVE131092:WVE131095 B196628:B196631 IS196628:IS196631 SO196628:SO196631 ACK196628:ACK196631 AMG196628:AMG196631 AWC196628:AWC196631 BFY196628:BFY196631 BPU196628:BPU196631 BZQ196628:BZQ196631 CJM196628:CJM196631 CTI196628:CTI196631 DDE196628:DDE196631 DNA196628:DNA196631 DWW196628:DWW196631 EGS196628:EGS196631 EQO196628:EQO196631 FAK196628:FAK196631 FKG196628:FKG196631 FUC196628:FUC196631 GDY196628:GDY196631 GNU196628:GNU196631 GXQ196628:GXQ196631 HHM196628:HHM196631 HRI196628:HRI196631 IBE196628:IBE196631 ILA196628:ILA196631 IUW196628:IUW196631 JES196628:JES196631 JOO196628:JOO196631 JYK196628:JYK196631 KIG196628:KIG196631 KSC196628:KSC196631 LBY196628:LBY196631 LLU196628:LLU196631 LVQ196628:LVQ196631 MFM196628:MFM196631 MPI196628:MPI196631 MZE196628:MZE196631 NJA196628:NJA196631 NSW196628:NSW196631 OCS196628:OCS196631 OMO196628:OMO196631 OWK196628:OWK196631 PGG196628:PGG196631 PQC196628:PQC196631 PZY196628:PZY196631 QJU196628:QJU196631 QTQ196628:QTQ196631 RDM196628:RDM196631 RNI196628:RNI196631 RXE196628:RXE196631 SHA196628:SHA196631 SQW196628:SQW196631 TAS196628:TAS196631 TKO196628:TKO196631 TUK196628:TUK196631 UEG196628:UEG196631 UOC196628:UOC196631 UXY196628:UXY196631 VHU196628:VHU196631 VRQ196628:VRQ196631 WBM196628:WBM196631 WLI196628:WLI196631 WVE196628:WVE196631 B262164:B262167 IS262164:IS262167 SO262164:SO262167 ACK262164:ACK262167 AMG262164:AMG262167 AWC262164:AWC262167 BFY262164:BFY262167 BPU262164:BPU262167 BZQ262164:BZQ262167 CJM262164:CJM262167 CTI262164:CTI262167 DDE262164:DDE262167 DNA262164:DNA262167 DWW262164:DWW262167 EGS262164:EGS262167 EQO262164:EQO262167 FAK262164:FAK262167 FKG262164:FKG262167 FUC262164:FUC262167 GDY262164:GDY262167 GNU262164:GNU262167 GXQ262164:GXQ262167 HHM262164:HHM262167 HRI262164:HRI262167 IBE262164:IBE262167 ILA262164:ILA262167 IUW262164:IUW262167 JES262164:JES262167 JOO262164:JOO262167 JYK262164:JYK262167 KIG262164:KIG262167 KSC262164:KSC262167 LBY262164:LBY262167 LLU262164:LLU262167 LVQ262164:LVQ262167 MFM262164:MFM262167 MPI262164:MPI262167 MZE262164:MZE262167 NJA262164:NJA262167 NSW262164:NSW262167 OCS262164:OCS262167 OMO262164:OMO262167 OWK262164:OWK262167 PGG262164:PGG262167 PQC262164:PQC262167 PZY262164:PZY262167 QJU262164:QJU262167 QTQ262164:QTQ262167 RDM262164:RDM262167 RNI262164:RNI262167 RXE262164:RXE262167 SHA262164:SHA262167 SQW262164:SQW262167 TAS262164:TAS262167 TKO262164:TKO262167 TUK262164:TUK262167 UEG262164:UEG262167 UOC262164:UOC262167 UXY262164:UXY262167 VHU262164:VHU262167 VRQ262164:VRQ262167 WBM262164:WBM262167 WLI262164:WLI262167 WVE262164:WVE262167 B327700:B327703 IS327700:IS327703 SO327700:SO327703 ACK327700:ACK327703 AMG327700:AMG327703 AWC327700:AWC327703 BFY327700:BFY327703 BPU327700:BPU327703 BZQ327700:BZQ327703 CJM327700:CJM327703 CTI327700:CTI327703 DDE327700:DDE327703 DNA327700:DNA327703 DWW327700:DWW327703 EGS327700:EGS327703 EQO327700:EQO327703 FAK327700:FAK327703 FKG327700:FKG327703 FUC327700:FUC327703 GDY327700:GDY327703 GNU327700:GNU327703 GXQ327700:GXQ327703 HHM327700:HHM327703 HRI327700:HRI327703 IBE327700:IBE327703 ILA327700:ILA327703 IUW327700:IUW327703 JES327700:JES327703 JOO327700:JOO327703 JYK327700:JYK327703 KIG327700:KIG327703 KSC327700:KSC327703 LBY327700:LBY327703 LLU327700:LLU327703 LVQ327700:LVQ327703 MFM327700:MFM327703 MPI327700:MPI327703 MZE327700:MZE327703 NJA327700:NJA327703 NSW327700:NSW327703 OCS327700:OCS327703 OMO327700:OMO327703 OWK327700:OWK327703 PGG327700:PGG327703 PQC327700:PQC327703 PZY327700:PZY327703 QJU327700:QJU327703 QTQ327700:QTQ327703 RDM327700:RDM327703 RNI327700:RNI327703 RXE327700:RXE327703 SHA327700:SHA327703 SQW327700:SQW327703 TAS327700:TAS327703 TKO327700:TKO327703 TUK327700:TUK327703 UEG327700:UEG327703 UOC327700:UOC327703 UXY327700:UXY327703 VHU327700:VHU327703 VRQ327700:VRQ327703 WBM327700:WBM327703 WLI327700:WLI327703 WVE327700:WVE327703 B393236:B393239 IS393236:IS393239 SO393236:SO393239 ACK393236:ACK393239 AMG393236:AMG393239 AWC393236:AWC393239 BFY393236:BFY393239 BPU393236:BPU393239 BZQ393236:BZQ393239 CJM393236:CJM393239 CTI393236:CTI393239 DDE393236:DDE393239 DNA393236:DNA393239 DWW393236:DWW393239 EGS393236:EGS393239 EQO393236:EQO393239 FAK393236:FAK393239 FKG393236:FKG393239 FUC393236:FUC393239 GDY393236:GDY393239 GNU393236:GNU393239 GXQ393236:GXQ393239 HHM393236:HHM393239 HRI393236:HRI393239 IBE393236:IBE393239 ILA393236:ILA393239 IUW393236:IUW393239 JES393236:JES393239 JOO393236:JOO393239 JYK393236:JYK393239 KIG393236:KIG393239 KSC393236:KSC393239 LBY393236:LBY393239 LLU393236:LLU393239 LVQ393236:LVQ393239 MFM393236:MFM393239 MPI393236:MPI393239 MZE393236:MZE393239 NJA393236:NJA393239 NSW393236:NSW393239 OCS393236:OCS393239 OMO393236:OMO393239 OWK393236:OWK393239 PGG393236:PGG393239 PQC393236:PQC393239 PZY393236:PZY393239 QJU393236:QJU393239 QTQ393236:QTQ393239 RDM393236:RDM393239 RNI393236:RNI393239 RXE393236:RXE393239 SHA393236:SHA393239 SQW393236:SQW393239 TAS393236:TAS393239 TKO393236:TKO393239 TUK393236:TUK393239 UEG393236:UEG393239 UOC393236:UOC393239 UXY393236:UXY393239 VHU393236:VHU393239 VRQ393236:VRQ393239 WBM393236:WBM393239 WLI393236:WLI393239 WVE393236:WVE393239 B458772:B458775 IS458772:IS458775 SO458772:SO458775 ACK458772:ACK458775 AMG458772:AMG458775 AWC458772:AWC458775 BFY458772:BFY458775 BPU458772:BPU458775 BZQ458772:BZQ458775 CJM458772:CJM458775 CTI458772:CTI458775 DDE458772:DDE458775 DNA458772:DNA458775 DWW458772:DWW458775 EGS458772:EGS458775 EQO458772:EQO458775 FAK458772:FAK458775 FKG458772:FKG458775 FUC458772:FUC458775 GDY458772:GDY458775 GNU458772:GNU458775 GXQ458772:GXQ458775 HHM458772:HHM458775 HRI458772:HRI458775 IBE458772:IBE458775 ILA458772:ILA458775 IUW458772:IUW458775 JES458772:JES458775 JOO458772:JOO458775 JYK458772:JYK458775 KIG458772:KIG458775 KSC458772:KSC458775 LBY458772:LBY458775 LLU458772:LLU458775 LVQ458772:LVQ458775 MFM458772:MFM458775 MPI458772:MPI458775 MZE458772:MZE458775 NJA458772:NJA458775 NSW458772:NSW458775 OCS458772:OCS458775 OMO458772:OMO458775 OWK458772:OWK458775 PGG458772:PGG458775 PQC458772:PQC458775 PZY458772:PZY458775 QJU458772:QJU458775 QTQ458772:QTQ458775 RDM458772:RDM458775 RNI458772:RNI458775 RXE458772:RXE458775 SHA458772:SHA458775 SQW458772:SQW458775 TAS458772:TAS458775 TKO458772:TKO458775 TUK458772:TUK458775 UEG458772:UEG458775 UOC458772:UOC458775 UXY458772:UXY458775 VHU458772:VHU458775 VRQ458772:VRQ458775 WBM458772:WBM458775 WLI458772:WLI458775 WVE458772:WVE458775 B524308:B524311 IS524308:IS524311 SO524308:SO524311 ACK524308:ACK524311 AMG524308:AMG524311 AWC524308:AWC524311 BFY524308:BFY524311 BPU524308:BPU524311 BZQ524308:BZQ524311 CJM524308:CJM524311 CTI524308:CTI524311 DDE524308:DDE524311 DNA524308:DNA524311 DWW524308:DWW524311 EGS524308:EGS524311 EQO524308:EQO524311 FAK524308:FAK524311 FKG524308:FKG524311 FUC524308:FUC524311 GDY524308:GDY524311 GNU524308:GNU524311 GXQ524308:GXQ524311 HHM524308:HHM524311 HRI524308:HRI524311 IBE524308:IBE524311 ILA524308:ILA524311 IUW524308:IUW524311 JES524308:JES524311 JOO524308:JOO524311 JYK524308:JYK524311 KIG524308:KIG524311 KSC524308:KSC524311 LBY524308:LBY524311 LLU524308:LLU524311 LVQ524308:LVQ524311 MFM524308:MFM524311 MPI524308:MPI524311 MZE524308:MZE524311 NJA524308:NJA524311 NSW524308:NSW524311 OCS524308:OCS524311 OMO524308:OMO524311 OWK524308:OWK524311 PGG524308:PGG524311 PQC524308:PQC524311 PZY524308:PZY524311 QJU524308:QJU524311 QTQ524308:QTQ524311 RDM524308:RDM524311 RNI524308:RNI524311 RXE524308:RXE524311 SHA524308:SHA524311 SQW524308:SQW524311 TAS524308:TAS524311 TKO524308:TKO524311 TUK524308:TUK524311 UEG524308:UEG524311 UOC524308:UOC524311 UXY524308:UXY524311 VHU524308:VHU524311 VRQ524308:VRQ524311 WBM524308:WBM524311 WLI524308:WLI524311 WVE524308:WVE524311 B589844:B589847 IS589844:IS589847 SO589844:SO589847 ACK589844:ACK589847 AMG589844:AMG589847 AWC589844:AWC589847 BFY589844:BFY589847 BPU589844:BPU589847 BZQ589844:BZQ589847 CJM589844:CJM589847 CTI589844:CTI589847 DDE589844:DDE589847 DNA589844:DNA589847 DWW589844:DWW589847 EGS589844:EGS589847 EQO589844:EQO589847 FAK589844:FAK589847 FKG589844:FKG589847 FUC589844:FUC589847 GDY589844:GDY589847 GNU589844:GNU589847 GXQ589844:GXQ589847 HHM589844:HHM589847 HRI589844:HRI589847 IBE589844:IBE589847 ILA589844:ILA589847 IUW589844:IUW589847 JES589844:JES589847 JOO589844:JOO589847 JYK589844:JYK589847 KIG589844:KIG589847 KSC589844:KSC589847 LBY589844:LBY589847 LLU589844:LLU589847 LVQ589844:LVQ589847 MFM589844:MFM589847 MPI589844:MPI589847 MZE589844:MZE589847 NJA589844:NJA589847 NSW589844:NSW589847 OCS589844:OCS589847 OMO589844:OMO589847 OWK589844:OWK589847 PGG589844:PGG589847 PQC589844:PQC589847 PZY589844:PZY589847 QJU589844:QJU589847 QTQ589844:QTQ589847 RDM589844:RDM589847 RNI589844:RNI589847 RXE589844:RXE589847 SHA589844:SHA589847 SQW589844:SQW589847 TAS589844:TAS589847 TKO589844:TKO589847 TUK589844:TUK589847 UEG589844:UEG589847 UOC589844:UOC589847 UXY589844:UXY589847 VHU589844:VHU589847 VRQ589844:VRQ589847 WBM589844:WBM589847 WLI589844:WLI589847 WVE589844:WVE589847 B655380:B655383 IS655380:IS655383 SO655380:SO655383 ACK655380:ACK655383 AMG655380:AMG655383 AWC655380:AWC655383 BFY655380:BFY655383 BPU655380:BPU655383 BZQ655380:BZQ655383 CJM655380:CJM655383 CTI655380:CTI655383 DDE655380:DDE655383 DNA655380:DNA655383 DWW655380:DWW655383 EGS655380:EGS655383 EQO655380:EQO655383 FAK655380:FAK655383 FKG655380:FKG655383 FUC655380:FUC655383 GDY655380:GDY655383 GNU655380:GNU655383 GXQ655380:GXQ655383 HHM655380:HHM655383 HRI655380:HRI655383 IBE655380:IBE655383 ILA655380:ILA655383 IUW655380:IUW655383 JES655380:JES655383 JOO655380:JOO655383 JYK655380:JYK655383 KIG655380:KIG655383 KSC655380:KSC655383 LBY655380:LBY655383 LLU655380:LLU655383 LVQ655380:LVQ655383 MFM655380:MFM655383 MPI655380:MPI655383 MZE655380:MZE655383 NJA655380:NJA655383 NSW655380:NSW655383 OCS655380:OCS655383 OMO655380:OMO655383 OWK655380:OWK655383 PGG655380:PGG655383 PQC655380:PQC655383 PZY655380:PZY655383 QJU655380:QJU655383 QTQ655380:QTQ655383 RDM655380:RDM655383 RNI655380:RNI655383 RXE655380:RXE655383 SHA655380:SHA655383 SQW655380:SQW655383 TAS655380:TAS655383 TKO655380:TKO655383 TUK655380:TUK655383 UEG655380:UEG655383 UOC655380:UOC655383 UXY655380:UXY655383 VHU655380:VHU655383 VRQ655380:VRQ655383 WBM655380:WBM655383 WLI655380:WLI655383 WVE655380:WVE655383 B720916:B720919 IS720916:IS720919 SO720916:SO720919 ACK720916:ACK720919 AMG720916:AMG720919 AWC720916:AWC720919 BFY720916:BFY720919 BPU720916:BPU720919 BZQ720916:BZQ720919 CJM720916:CJM720919 CTI720916:CTI720919 DDE720916:DDE720919 DNA720916:DNA720919 DWW720916:DWW720919 EGS720916:EGS720919 EQO720916:EQO720919 FAK720916:FAK720919 FKG720916:FKG720919 FUC720916:FUC720919 GDY720916:GDY720919 GNU720916:GNU720919 GXQ720916:GXQ720919 HHM720916:HHM720919 HRI720916:HRI720919 IBE720916:IBE720919 ILA720916:ILA720919 IUW720916:IUW720919 JES720916:JES720919 JOO720916:JOO720919 JYK720916:JYK720919 KIG720916:KIG720919 KSC720916:KSC720919 LBY720916:LBY720919 LLU720916:LLU720919 LVQ720916:LVQ720919 MFM720916:MFM720919 MPI720916:MPI720919 MZE720916:MZE720919 NJA720916:NJA720919 NSW720916:NSW720919 OCS720916:OCS720919 OMO720916:OMO720919 OWK720916:OWK720919 PGG720916:PGG720919 PQC720916:PQC720919 PZY720916:PZY720919 QJU720916:QJU720919 QTQ720916:QTQ720919 RDM720916:RDM720919 RNI720916:RNI720919 RXE720916:RXE720919 SHA720916:SHA720919 SQW720916:SQW720919 TAS720916:TAS720919 TKO720916:TKO720919 TUK720916:TUK720919 UEG720916:UEG720919 UOC720916:UOC720919 UXY720916:UXY720919 VHU720916:VHU720919 VRQ720916:VRQ720919 WBM720916:WBM720919 WLI720916:WLI720919 WVE720916:WVE720919 B786452:B786455 IS786452:IS786455 SO786452:SO786455 ACK786452:ACK786455 AMG786452:AMG786455 AWC786452:AWC786455 BFY786452:BFY786455 BPU786452:BPU786455 BZQ786452:BZQ786455 CJM786452:CJM786455 CTI786452:CTI786455 DDE786452:DDE786455 DNA786452:DNA786455 DWW786452:DWW786455 EGS786452:EGS786455 EQO786452:EQO786455 FAK786452:FAK786455 FKG786452:FKG786455 FUC786452:FUC786455 GDY786452:GDY786455 GNU786452:GNU786455 GXQ786452:GXQ786455 HHM786452:HHM786455 HRI786452:HRI786455 IBE786452:IBE786455 ILA786452:ILA786455 IUW786452:IUW786455 JES786452:JES786455 JOO786452:JOO786455 JYK786452:JYK786455 KIG786452:KIG786455 KSC786452:KSC786455 LBY786452:LBY786455 LLU786452:LLU786455 LVQ786452:LVQ786455 MFM786452:MFM786455 MPI786452:MPI786455 MZE786452:MZE786455 NJA786452:NJA786455 NSW786452:NSW786455 OCS786452:OCS786455 OMO786452:OMO786455 OWK786452:OWK786455 PGG786452:PGG786455 PQC786452:PQC786455 PZY786452:PZY786455 QJU786452:QJU786455 QTQ786452:QTQ786455 RDM786452:RDM786455 RNI786452:RNI786455 RXE786452:RXE786455 SHA786452:SHA786455 SQW786452:SQW786455 TAS786452:TAS786455 TKO786452:TKO786455 TUK786452:TUK786455 UEG786452:UEG786455 UOC786452:UOC786455 UXY786452:UXY786455 VHU786452:VHU786455 VRQ786452:VRQ786455 WBM786452:WBM786455 WLI786452:WLI786455 WVE786452:WVE786455 B851988:B851991 IS851988:IS851991 SO851988:SO851991 ACK851988:ACK851991 AMG851988:AMG851991 AWC851988:AWC851991 BFY851988:BFY851991 BPU851988:BPU851991 BZQ851988:BZQ851991 CJM851988:CJM851991 CTI851988:CTI851991 DDE851988:DDE851991 DNA851988:DNA851991 DWW851988:DWW851991 EGS851988:EGS851991 EQO851988:EQO851991 FAK851988:FAK851991 FKG851988:FKG851991 FUC851988:FUC851991 GDY851988:GDY851991 GNU851988:GNU851991 GXQ851988:GXQ851991 HHM851988:HHM851991 HRI851988:HRI851991 IBE851988:IBE851991 ILA851988:ILA851991 IUW851988:IUW851991 JES851988:JES851991 JOO851988:JOO851991 JYK851988:JYK851991 KIG851988:KIG851991 KSC851988:KSC851991 LBY851988:LBY851991 LLU851988:LLU851991 LVQ851988:LVQ851991 MFM851988:MFM851991 MPI851988:MPI851991 MZE851988:MZE851991 NJA851988:NJA851991 NSW851988:NSW851991 OCS851988:OCS851991 OMO851988:OMO851991 OWK851988:OWK851991 PGG851988:PGG851991 PQC851988:PQC851991 PZY851988:PZY851991 QJU851988:QJU851991 QTQ851988:QTQ851991 RDM851988:RDM851991 RNI851988:RNI851991 RXE851988:RXE851991 SHA851988:SHA851991 SQW851988:SQW851991 TAS851988:TAS851991 TKO851988:TKO851991 TUK851988:TUK851991 UEG851988:UEG851991 UOC851988:UOC851991 UXY851988:UXY851991 VHU851988:VHU851991 VRQ851988:VRQ851991 WBM851988:WBM851991 WLI851988:WLI851991 WVE851988:WVE851991 B917524:B917527 IS917524:IS917527 SO917524:SO917527 ACK917524:ACK917527 AMG917524:AMG917527 AWC917524:AWC917527 BFY917524:BFY917527 BPU917524:BPU917527 BZQ917524:BZQ917527 CJM917524:CJM917527 CTI917524:CTI917527 DDE917524:DDE917527 DNA917524:DNA917527 DWW917524:DWW917527 EGS917524:EGS917527 EQO917524:EQO917527 FAK917524:FAK917527 FKG917524:FKG917527 FUC917524:FUC917527 GDY917524:GDY917527 GNU917524:GNU917527 GXQ917524:GXQ917527 HHM917524:HHM917527 HRI917524:HRI917527 IBE917524:IBE917527 ILA917524:ILA917527 IUW917524:IUW917527 JES917524:JES917527 JOO917524:JOO917527 JYK917524:JYK917527 KIG917524:KIG917527 KSC917524:KSC917527 LBY917524:LBY917527 LLU917524:LLU917527 LVQ917524:LVQ917527 MFM917524:MFM917527 MPI917524:MPI917527 MZE917524:MZE917527 NJA917524:NJA917527 NSW917524:NSW917527 OCS917524:OCS917527 OMO917524:OMO917527 OWK917524:OWK917527 PGG917524:PGG917527 PQC917524:PQC917527 PZY917524:PZY917527 QJU917524:QJU917527 QTQ917524:QTQ917527 RDM917524:RDM917527 RNI917524:RNI917527 RXE917524:RXE917527 SHA917524:SHA917527 SQW917524:SQW917527 TAS917524:TAS917527 TKO917524:TKO917527 TUK917524:TUK917527 UEG917524:UEG917527 UOC917524:UOC917527 UXY917524:UXY917527 VHU917524:VHU917527 VRQ917524:VRQ917527 WBM917524:WBM917527 WLI917524:WLI917527 WVE917524:WVE917527 B983060:B983063 IS983060:IS983063 SO983060:SO983063 ACK983060:ACK983063 AMG983060:AMG983063 AWC983060:AWC983063 BFY983060:BFY983063 BPU983060:BPU983063 BZQ983060:BZQ983063 CJM983060:CJM983063 CTI983060:CTI983063 DDE983060:DDE983063 DNA983060:DNA983063 DWW983060:DWW983063 EGS983060:EGS983063 EQO983060:EQO983063 FAK983060:FAK983063 FKG983060:FKG983063 FUC983060:FUC983063 GDY983060:GDY983063 GNU983060:GNU983063 GXQ983060:GXQ983063 HHM983060:HHM983063 HRI983060:HRI983063 IBE983060:IBE983063 ILA983060:ILA983063 IUW983060:IUW983063 JES983060:JES983063 JOO983060:JOO983063 JYK983060:JYK983063 KIG983060:KIG983063 KSC983060:KSC983063 LBY983060:LBY983063 LLU983060:LLU983063 LVQ983060:LVQ983063 MFM983060:MFM983063 MPI983060:MPI983063 MZE983060:MZE983063 NJA983060:NJA983063 NSW983060:NSW983063 OCS983060:OCS983063 OMO983060:OMO983063 OWK983060:OWK983063 PGG983060:PGG983063 PQC983060:PQC983063 PZY983060:PZY983063 QJU983060:QJU983063 QTQ983060:QTQ983063 RDM983060:RDM983063 RNI983060:RNI983063 RXE983060:RXE983063 SHA983060:SHA983063 SQW983060:SQW983063 TAS983060:TAS983063 TKO983060:TKO983063 TUK983060:TUK983063 UEG983060:UEG983063 UOC983060:UOC983063 UXY983060:UXY983063 VHU983060:VHU983063 VRQ983060:VRQ983063 WBM983060:WBM983063 WLI983060:WLI983063 WVE983060:WVE983063 H1:H4 IY1:IY4 SU1:SU4 ACQ1:ACQ4 AMM1:AMM4 AWI1:AWI4 BGE1:BGE4 BQA1:BQA4 BZW1:BZW4 CJS1:CJS4 CTO1:CTO4 DDK1:DDK4 DNG1:DNG4 DXC1:DXC4 EGY1:EGY4 EQU1:EQU4 FAQ1:FAQ4 FKM1:FKM4 FUI1:FUI4 GEE1:GEE4 GOA1:GOA4 GXW1:GXW4 HHS1:HHS4 HRO1:HRO4 IBK1:IBK4 ILG1:ILG4 IVC1:IVC4 JEY1:JEY4 JOU1:JOU4 JYQ1:JYQ4 KIM1:KIM4 KSI1:KSI4 LCE1:LCE4 LMA1:LMA4 LVW1:LVW4 MFS1:MFS4 MPO1:MPO4 MZK1:MZK4 NJG1:NJG4 NTC1:NTC4 OCY1:OCY4 OMU1:OMU4 OWQ1:OWQ4 PGM1:PGM4 PQI1:PQI4 QAE1:QAE4 QKA1:QKA4 QTW1:QTW4 RDS1:RDS4 RNO1:RNO4 RXK1:RXK4 SHG1:SHG4 SRC1:SRC4 TAY1:TAY4 TKU1:TKU4 TUQ1:TUQ4 UEM1:UEM4 UOI1:UOI4 UYE1:UYE4 VIA1:VIA4 VRW1:VRW4 WBS1:WBS4 WLO1:WLO4 WVK1:WVK4 H65556:H65559 IY65556:IY65559 SU65556:SU65559 ACQ65556:ACQ65559 AMM65556:AMM65559 AWI65556:AWI65559 BGE65556:BGE65559 BQA65556:BQA65559 BZW65556:BZW65559 CJS65556:CJS65559 CTO65556:CTO65559 DDK65556:DDK65559 DNG65556:DNG65559 DXC65556:DXC65559 EGY65556:EGY65559 EQU65556:EQU65559 FAQ65556:FAQ65559 FKM65556:FKM65559 FUI65556:FUI65559 GEE65556:GEE65559 GOA65556:GOA65559 GXW65556:GXW65559 HHS65556:HHS65559 HRO65556:HRO65559 IBK65556:IBK65559 ILG65556:ILG65559 IVC65556:IVC65559 JEY65556:JEY65559 JOU65556:JOU65559 JYQ65556:JYQ65559 KIM65556:KIM65559 KSI65556:KSI65559 LCE65556:LCE65559 LMA65556:LMA65559 LVW65556:LVW65559 MFS65556:MFS65559 MPO65556:MPO65559 MZK65556:MZK65559 NJG65556:NJG65559 NTC65556:NTC65559 OCY65556:OCY65559 OMU65556:OMU65559 OWQ65556:OWQ65559 PGM65556:PGM65559 PQI65556:PQI65559 QAE65556:QAE65559 QKA65556:QKA65559 QTW65556:QTW65559 RDS65556:RDS65559 RNO65556:RNO65559 RXK65556:RXK65559 SHG65556:SHG65559 SRC65556:SRC65559 TAY65556:TAY65559 TKU65556:TKU65559 TUQ65556:TUQ65559 UEM65556:UEM65559 UOI65556:UOI65559 UYE65556:UYE65559 VIA65556:VIA65559 VRW65556:VRW65559 WBS65556:WBS65559 WLO65556:WLO65559 WVK65556:WVK65559 H131092:H131095 IY131092:IY131095 SU131092:SU131095 ACQ131092:ACQ131095 AMM131092:AMM131095 AWI131092:AWI131095 BGE131092:BGE131095 BQA131092:BQA131095 BZW131092:BZW131095 CJS131092:CJS131095 CTO131092:CTO131095 DDK131092:DDK131095 DNG131092:DNG131095 DXC131092:DXC131095 EGY131092:EGY131095 EQU131092:EQU131095 FAQ131092:FAQ131095 FKM131092:FKM131095 FUI131092:FUI131095 GEE131092:GEE131095 GOA131092:GOA131095 GXW131092:GXW131095 HHS131092:HHS131095 HRO131092:HRO131095 IBK131092:IBK131095 ILG131092:ILG131095 IVC131092:IVC131095 JEY131092:JEY131095 JOU131092:JOU131095 JYQ131092:JYQ131095 KIM131092:KIM131095 KSI131092:KSI131095 LCE131092:LCE131095 LMA131092:LMA131095 LVW131092:LVW131095 MFS131092:MFS131095 MPO131092:MPO131095 MZK131092:MZK131095 NJG131092:NJG131095 NTC131092:NTC131095 OCY131092:OCY131095 OMU131092:OMU131095 OWQ131092:OWQ131095 PGM131092:PGM131095 PQI131092:PQI131095 QAE131092:QAE131095 QKA131092:QKA131095 QTW131092:QTW131095 RDS131092:RDS131095 RNO131092:RNO131095 RXK131092:RXK131095 SHG131092:SHG131095 SRC131092:SRC131095 TAY131092:TAY131095 TKU131092:TKU131095 TUQ131092:TUQ131095 UEM131092:UEM131095 UOI131092:UOI131095 UYE131092:UYE131095 VIA131092:VIA131095 VRW131092:VRW131095 WBS131092:WBS131095 WLO131092:WLO131095 WVK131092:WVK131095 H196628:H196631 IY196628:IY196631 SU196628:SU196631 ACQ196628:ACQ196631 AMM196628:AMM196631 AWI196628:AWI196631 BGE196628:BGE196631 BQA196628:BQA196631 BZW196628:BZW196631 CJS196628:CJS196631 CTO196628:CTO196631 DDK196628:DDK196631 DNG196628:DNG196631 DXC196628:DXC196631 EGY196628:EGY196631 EQU196628:EQU196631 FAQ196628:FAQ196631 FKM196628:FKM196631 FUI196628:FUI196631 GEE196628:GEE196631 GOA196628:GOA196631 GXW196628:GXW196631 HHS196628:HHS196631 HRO196628:HRO196631 IBK196628:IBK196631 ILG196628:ILG196631 IVC196628:IVC196631 JEY196628:JEY196631 JOU196628:JOU196631 JYQ196628:JYQ196631 KIM196628:KIM196631 KSI196628:KSI196631 LCE196628:LCE196631 LMA196628:LMA196631 LVW196628:LVW196631 MFS196628:MFS196631 MPO196628:MPO196631 MZK196628:MZK196631 NJG196628:NJG196631 NTC196628:NTC196631 OCY196628:OCY196631 OMU196628:OMU196631 OWQ196628:OWQ196631 PGM196628:PGM196631 PQI196628:PQI196631 QAE196628:QAE196631 QKA196628:QKA196631 QTW196628:QTW196631 RDS196628:RDS196631 RNO196628:RNO196631 RXK196628:RXK196631 SHG196628:SHG196631 SRC196628:SRC196631 TAY196628:TAY196631 TKU196628:TKU196631 TUQ196628:TUQ196631 UEM196628:UEM196631 UOI196628:UOI196631 UYE196628:UYE196631 VIA196628:VIA196631 VRW196628:VRW196631 WBS196628:WBS196631 WLO196628:WLO196631 WVK196628:WVK196631 H262164:H262167 IY262164:IY262167 SU262164:SU262167 ACQ262164:ACQ262167 AMM262164:AMM262167 AWI262164:AWI262167 BGE262164:BGE262167 BQA262164:BQA262167 BZW262164:BZW262167 CJS262164:CJS262167 CTO262164:CTO262167 DDK262164:DDK262167 DNG262164:DNG262167 DXC262164:DXC262167 EGY262164:EGY262167 EQU262164:EQU262167 FAQ262164:FAQ262167 FKM262164:FKM262167 FUI262164:FUI262167 GEE262164:GEE262167 GOA262164:GOA262167 GXW262164:GXW262167 HHS262164:HHS262167 HRO262164:HRO262167 IBK262164:IBK262167 ILG262164:ILG262167 IVC262164:IVC262167 JEY262164:JEY262167 JOU262164:JOU262167 JYQ262164:JYQ262167 KIM262164:KIM262167 KSI262164:KSI262167 LCE262164:LCE262167 LMA262164:LMA262167 LVW262164:LVW262167 MFS262164:MFS262167 MPO262164:MPO262167 MZK262164:MZK262167 NJG262164:NJG262167 NTC262164:NTC262167 OCY262164:OCY262167 OMU262164:OMU262167 OWQ262164:OWQ262167 PGM262164:PGM262167 PQI262164:PQI262167 QAE262164:QAE262167 QKA262164:QKA262167 QTW262164:QTW262167 RDS262164:RDS262167 RNO262164:RNO262167 RXK262164:RXK262167 SHG262164:SHG262167 SRC262164:SRC262167 TAY262164:TAY262167 TKU262164:TKU262167 TUQ262164:TUQ262167 UEM262164:UEM262167 UOI262164:UOI262167 UYE262164:UYE262167 VIA262164:VIA262167 VRW262164:VRW262167 WBS262164:WBS262167 WLO262164:WLO262167 WVK262164:WVK262167 H327700:H327703 IY327700:IY327703 SU327700:SU327703 ACQ327700:ACQ327703 AMM327700:AMM327703 AWI327700:AWI327703 BGE327700:BGE327703 BQA327700:BQA327703 BZW327700:BZW327703 CJS327700:CJS327703 CTO327700:CTO327703 DDK327700:DDK327703 DNG327700:DNG327703 DXC327700:DXC327703 EGY327700:EGY327703 EQU327700:EQU327703 FAQ327700:FAQ327703 FKM327700:FKM327703 FUI327700:FUI327703 GEE327700:GEE327703 GOA327700:GOA327703 GXW327700:GXW327703 HHS327700:HHS327703 HRO327700:HRO327703 IBK327700:IBK327703 ILG327700:ILG327703 IVC327700:IVC327703 JEY327700:JEY327703 JOU327700:JOU327703 JYQ327700:JYQ327703 KIM327700:KIM327703 KSI327700:KSI327703 LCE327700:LCE327703 LMA327700:LMA327703 LVW327700:LVW327703 MFS327700:MFS327703 MPO327700:MPO327703 MZK327700:MZK327703 NJG327700:NJG327703 NTC327700:NTC327703 OCY327700:OCY327703 OMU327700:OMU327703 OWQ327700:OWQ327703 PGM327700:PGM327703 PQI327700:PQI327703 QAE327700:QAE327703 QKA327700:QKA327703 QTW327700:QTW327703 RDS327700:RDS327703 RNO327700:RNO327703 RXK327700:RXK327703 SHG327700:SHG327703 SRC327700:SRC327703 TAY327700:TAY327703 TKU327700:TKU327703 TUQ327700:TUQ327703 UEM327700:UEM327703 UOI327700:UOI327703 UYE327700:UYE327703 VIA327700:VIA327703 VRW327700:VRW327703 WBS327700:WBS327703 WLO327700:WLO327703 WVK327700:WVK327703 H393236:H393239 IY393236:IY393239 SU393236:SU393239 ACQ393236:ACQ393239 AMM393236:AMM393239 AWI393236:AWI393239 BGE393236:BGE393239 BQA393236:BQA393239 BZW393236:BZW393239 CJS393236:CJS393239 CTO393236:CTO393239 DDK393236:DDK393239 DNG393236:DNG393239 DXC393236:DXC393239 EGY393236:EGY393239 EQU393236:EQU393239 FAQ393236:FAQ393239 FKM393236:FKM393239 FUI393236:FUI393239 GEE393236:GEE393239 GOA393236:GOA393239 GXW393236:GXW393239 HHS393236:HHS393239 HRO393236:HRO393239 IBK393236:IBK393239 ILG393236:ILG393239 IVC393236:IVC393239 JEY393236:JEY393239 JOU393236:JOU393239 JYQ393236:JYQ393239 KIM393236:KIM393239 KSI393236:KSI393239 LCE393236:LCE393239 LMA393236:LMA393239 LVW393236:LVW393239 MFS393236:MFS393239 MPO393236:MPO393239 MZK393236:MZK393239 NJG393236:NJG393239 NTC393236:NTC393239 OCY393236:OCY393239 OMU393236:OMU393239 OWQ393236:OWQ393239 PGM393236:PGM393239 PQI393236:PQI393239 QAE393236:QAE393239 QKA393236:QKA393239 QTW393236:QTW393239 RDS393236:RDS393239 RNO393236:RNO393239 RXK393236:RXK393239 SHG393236:SHG393239 SRC393236:SRC393239 TAY393236:TAY393239 TKU393236:TKU393239 TUQ393236:TUQ393239 UEM393236:UEM393239 UOI393236:UOI393239 UYE393236:UYE393239 VIA393236:VIA393239 VRW393236:VRW393239 WBS393236:WBS393239 WLO393236:WLO393239 WVK393236:WVK393239 H458772:H458775 IY458772:IY458775 SU458772:SU458775 ACQ458772:ACQ458775 AMM458772:AMM458775 AWI458772:AWI458775 BGE458772:BGE458775 BQA458772:BQA458775 BZW458772:BZW458775 CJS458772:CJS458775 CTO458772:CTO458775 DDK458772:DDK458775 DNG458772:DNG458775 DXC458772:DXC458775 EGY458772:EGY458775 EQU458772:EQU458775 FAQ458772:FAQ458775 FKM458772:FKM458775 FUI458772:FUI458775 GEE458772:GEE458775 GOA458772:GOA458775 GXW458772:GXW458775 HHS458772:HHS458775 HRO458772:HRO458775 IBK458772:IBK458775 ILG458772:ILG458775 IVC458772:IVC458775 JEY458772:JEY458775 JOU458772:JOU458775 JYQ458772:JYQ458775 KIM458772:KIM458775 KSI458772:KSI458775 LCE458772:LCE458775 LMA458772:LMA458775 LVW458772:LVW458775 MFS458772:MFS458775 MPO458772:MPO458775 MZK458772:MZK458775 NJG458772:NJG458775 NTC458772:NTC458775 OCY458772:OCY458775 OMU458772:OMU458775 OWQ458772:OWQ458775 PGM458772:PGM458775 PQI458772:PQI458775 QAE458772:QAE458775 QKA458772:QKA458775 QTW458772:QTW458775 RDS458772:RDS458775 RNO458772:RNO458775 RXK458772:RXK458775 SHG458772:SHG458775 SRC458772:SRC458775 TAY458772:TAY458775 TKU458772:TKU458775 TUQ458772:TUQ458775 UEM458772:UEM458775 UOI458772:UOI458775 UYE458772:UYE458775 VIA458772:VIA458775 VRW458772:VRW458775 WBS458772:WBS458775 WLO458772:WLO458775 WVK458772:WVK458775 H524308:H524311 IY524308:IY524311 SU524308:SU524311 ACQ524308:ACQ524311 AMM524308:AMM524311 AWI524308:AWI524311 BGE524308:BGE524311 BQA524308:BQA524311 BZW524308:BZW524311 CJS524308:CJS524311 CTO524308:CTO524311 DDK524308:DDK524311 DNG524308:DNG524311 DXC524308:DXC524311 EGY524308:EGY524311 EQU524308:EQU524311 FAQ524308:FAQ524311 FKM524308:FKM524311 FUI524308:FUI524311 GEE524308:GEE524311 GOA524308:GOA524311 GXW524308:GXW524311 HHS524308:HHS524311 HRO524308:HRO524311 IBK524308:IBK524311 ILG524308:ILG524311 IVC524308:IVC524311 JEY524308:JEY524311 JOU524308:JOU524311 JYQ524308:JYQ524311 KIM524308:KIM524311 KSI524308:KSI524311 LCE524308:LCE524311 LMA524308:LMA524311 LVW524308:LVW524311 MFS524308:MFS524311 MPO524308:MPO524311 MZK524308:MZK524311 NJG524308:NJG524311 NTC524308:NTC524311 OCY524308:OCY524311 OMU524308:OMU524311 OWQ524308:OWQ524311 PGM524308:PGM524311 PQI524308:PQI524311 QAE524308:QAE524311 QKA524308:QKA524311 QTW524308:QTW524311 RDS524308:RDS524311 RNO524308:RNO524311 RXK524308:RXK524311 SHG524308:SHG524311 SRC524308:SRC524311 TAY524308:TAY524311 TKU524308:TKU524311 TUQ524308:TUQ524311 UEM524308:UEM524311 UOI524308:UOI524311 UYE524308:UYE524311 VIA524308:VIA524311 VRW524308:VRW524311 WBS524308:WBS524311 WLO524308:WLO524311 WVK524308:WVK524311 H589844:H589847 IY589844:IY589847 SU589844:SU589847 ACQ589844:ACQ589847 AMM589844:AMM589847 AWI589844:AWI589847 BGE589844:BGE589847 BQA589844:BQA589847 BZW589844:BZW589847 CJS589844:CJS589847 CTO589844:CTO589847 DDK589844:DDK589847 DNG589844:DNG589847 DXC589844:DXC589847 EGY589844:EGY589847 EQU589844:EQU589847 FAQ589844:FAQ589847 FKM589844:FKM589847 FUI589844:FUI589847 GEE589844:GEE589847 GOA589844:GOA589847 GXW589844:GXW589847 HHS589844:HHS589847 HRO589844:HRO589847 IBK589844:IBK589847 ILG589844:ILG589847 IVC589844:IVC589847 JEY589844:JEY589847 JOU589844:JOU589847 JYQ589844:JYQ589847 KIM589844:KIM589847 KSI589844:KSI589847 LCE589844:LCE589847 LMA589844:LMA589847 LVW589844:LVW589847 MFS589844:MFS589847 MPO589844:MPO589847 MZK589844:MZK589847 NJG589844:NJG589847 NTC589844:NTC589847 OCY589844:OCY589847 OMU589844:OMU589847 OWQ589844:OWQ589847 PGM589844:PGM589847 PQI589844:PQI589847 QAE589844:QAE589847 QKA589844:QKA589847 QTW589844:QTW589847 RDS589844:RDS589847 RNO589844:RNO589847 RXK589844:RXK589847 SHG589844:SHG589847 SRC589844:SRC589847 TAY589844:TAY589847 TKU589844:TKU589847 TUQ589844:TUQ589847 UEM589844:UEM589847 UOI589844:UOI589847 UYE589844:UYE589847 VIA589844:VIA589847 VRW589844:VRW589847 WBS589844:WBS589847 WLO589844:WLO589847 WVK589844:WVK589847 H655380:H655383 IY655380:IY655383 SU655380:SU655383 ACQ655380:ACQ655383 AMM655380:AMM655383 AWI655380:AWI655383 BGE655380:BGE655383 BQA655380:BQA655383 BZW655380:BZW655383 CJS655380:CJS655383 CTO655380:CTO655383 DDK655380:DDK655383 DNG655380:DNG655383 DXC655380:DXC655383 EGY655380:EGY655383 EQU655380:EQU655383 FAQ655380:FAQ655383 FKM655380:FKM655383 FUI655380:FUI655383 GEE655380:GEE655383 GOA655380:GOA655383 GXW655380:GXW655383 HHS655380:HHS655383 HRO655380:HRO655383 IBK655380:IBK655383 ILG655380:ILG655383 IVC655380:IVC655383 JEY655380:JEY655383 JOU655380:JOU655383 JYQ655380:JYQ655383 KIM655380:KIM655383 KSI655380:KSI655383 LCE655380:LCE655383 LMA655380:LMA655383 LVW655380:LVW655383 MFS655380:MFS655383 MPO655380:MPO655383 MZK655380:MZK655383 NJG655380:NJG655383 NTC655380:NTC655383 OCY655380:OCY655383 OMU655380:OMU655383 OWQ655380:OWQ655383 PGM655380:PGM655383 PQI655380:PQI655383 QAE655380:QAE655383 QKA655380:QKA655383 QTW655380:QTW655383 RDS655380:RDS655383 RNO655380:RNO655383 RXK655380:RXK655383 SHG655380:SHG655383 SRC655380:SRC655383 TAY655380:TAY655383 TKU655380:TKU655383 TUQ655380:TUQ655383 UEM655380:UEM655383 UOI655380:UOI655383 UYE655380:UYE655383 VIA655380:VIA655383 VRW655380:VRW655383 WBS655380:WBS655383 WLO655380:WLO655383 WVK655380:WVK655383 H720916:H720919 IY720916:IY720919 SU720916:SU720919 ACQ720916:ACQ720919 AMM720916:AMM720919 AWI720916:AWI720919 BGE720916:BGE720919 BQA720916:BQA720919 BZW720916:BZW720919 CJS720916:CJS720919 CTO720916:CTO720919 DDK720916:DDK720919 DNG720916:DNG720919 DXC720916:DXC720919 EGY720916:EGY720919 EQU720916:EQU720919 FAQ720916:FAQ720919 FKM720916:FKM720919 FUI720916:FUI720919 GEE720916:GEE720919 GOA720916:GOA720919 GXW720916:GXW720919 HHS720916:HHS720919 HRO720916:HRO720919 IBK720916:IBK720919 ILG720916:ILG720919 IVC720916:IVC720919 JEY720916:JEY720919 JOU720916:JOU720919 JYQ720916:JYQ720919 KIM720916:KIM720919 KSI720916:KSI720919 LCE720916:LCE720919 LMA720916:LMA720919 LVW720916:LVW720919 MFS720916:MFS720919 MPO720916:MPO720919 MZK720916:MZK720919 NJG720916:NJG720919 NTC720916:NTC720919 OCY720916:OCY720919 OMU720916:OMU720919 OWQ720916:OWQ720919 PGM720916:PGM720919 PQI720916:PQI720919 QAE720916:QAE720919 QKA720916:QKA720919 QTW720916:QTW720919 RDS720916:RDS720919 RNO720916:RNO720919 RXK720916:RXK720919 SHG720916:SHG720919 SRC720916:SRC720919 TAY720916:TAY720919 TKU720916:TKU720919 TUQ720916:TUQ720919 UEM720916:UEM720919 UOI720916:UOI720919 UYE720916:UYE720919 VIA720916:VIA720919 VRW720916:VRW720919 WBS720916:WBS720919 WLO720916:WLO720919 WVK720916:WVK720919 H786452:H786455 IY786452:IY786455 SU786452:SU786455 ACQ786452:ACQ786455 AMM786452:AMM786455 AWI786452:AWI786455 BGE786452:BGE786455 BQA786452:BQA786455 BZW786452:BZW786455 CJS786452:CJS786455 CTO786452:CTO786455 DDK786452:DDK786455 DNG786452:DNG786455 DXC786452:DXC786455 EGY786452:EGY786455 EQU786452:EQU786455 FAQ786452:FAQ786455 FKM786452:FKM786455 FUI786452:FUI786455 GEE786452:GEE786455 GOA786452:GOA786455 GXW786452:GXW786455 HHS786452:HHS786455 HRO786452:HRO786455 IBK786452:IBK786455 ILG786452:ILG786455 IVC786452:IVC786455 JEY786452:JEY786455 JOU786452:JOU786455 JYQ786452:JYQ786455 KIM786452:KIM786455 KSI786452:KSI786455 LCE786452:LCE786455 LMA786452:LMA786455 LVW786452:LVW786455 MFS786452:MFS786455 MPO786452:MPO786455 MZK786452:MZK786455 NJG786452:NJG786455 NTC786452:NTC786455 OCY786452:OCY786455 OMU786452:OMU786455 OWQ786452:OWQ786455 PGM786452:PGM786455 PQI786452:PQI786455 QAE786452:QAE786455 QKA786452:QKA786455 QTW786452:QTW786455 RDS786452:RDS786455 RNO786452:RNO786455 RXK786452:RXK786455 SHG786452:SHG786455 SRC786452:SRC786455 TAY786452:TAY786455 TKU786452:TKU786455 TUQ786452:TUQ786455 UEM786452:UEM786455 UOI786452:UOI786455 UYE786452:UYE786455 VIA786452:VIA786455 VRW786452:VRW786455 WBS786452:WBS786455 WLO786452:WLO786455 WVK786452:WVK786455 H851988:H851991 IY851988:IY851991 SU851988:SU851991 ACQ851988:ACQ851991 AMM851988:AMM851991 AWI851988:AWI851991 BGE851988:BGE851991 BQA851988:BQA851991 BZW851988:BZW851991 CJS851988:CJS851991 CTO851988:CTO851991 DDK851988:DDK851991 DNG851988:DNG851991 DXC851988:DXC851991 EGY851988:EGY851991 EQU851988:EQU851991 FAQ851988:FAQ851991 FKM851988:FKM851991 FUI851988:FUI851991 GEE851988:GEE851991 GOA851988:GOA851991 GXW851988:GXW851991 HHS851988:HHS851991 HRO851988:HRO851991 IBK851988:IBK851991 ILG851988:ILG851991 IVC851988:IVC851991 JEY851988:JEY851991 JOU851988:JOU851991 JYQ851988:JYQ851991 KIM851988:KIM851991 KSI851988:KSI851991 LCE851988:LCE851991 LMA851988:LMA851991 LVW851988:LVW851991 MFS851988:MFS851991 MPO851988:MPO851991 MZK851988:MZK851991 NJG851988:NJG851991 NTC851988:NTC851991 OCY851988:OCY851991 OMU851988:OMU851991 OWQ851988:OWQ851991 PGM851988:PGM851991 PQI851988:PQI851991 QAE851988:QAE851991 QKA851988:QKA851991 QTW851988:QTW851991 RDS851988:RDS851991 RNO851988:RNO851991 RXK851988:RXK851991 SHG851988:SHG851991 SRC851988:SRC851991 TAY851988:TAY851991 TKU851988:TKU851991 TUQ851988:TUQ851991 UEM851988:UEM851991 UOI851988:UOI851991 UYE851988:UYE851991 VIA851988:VIA851991 VRW851988:VRW851991 WBS851988:WBS851991 WLO851988:WLO851991 WVK851988:WVK851991 H917524:H917527 IY917524:IY917527 SU917524:SU917527 ACQ917524:ACQ917527 AMM917524:AMM917527 AWI917524:AWI917527 BGE917524:BGE917527 BQA917524:BQA917527 BZW917524:BZW917527 CJS917524:CJS917527 CTO917524:CTO917527 DDK917524:DDK917527 DNG917524:DNG917527 DXC917524:DXC917527 EGY917524:EGY917527 EQU917524:EQU917527 FAQ917524:FAQ917527 FKM917524:FKM917527 FUI917524:FUI917527 GEE917524:GEE917527 GOA917524:GOA917527 GXW917524:GXW917527 HHS917524:HHS917527 HRO917524:HRO917527 IBK917524:IBK917527 ILG917524:ILG917527 IVC917524:IVC917527 JEY917524:JEY917527 JOU917524:JOU917527 JYQ917524:JYQ917527 KIM917524:KIM917527 KSI917524:KSI917527 LCE917524:LCE917527 LMA917524:LMA917527 LVW917524:LVW917527 MFS917524:MFS917527 MPO917524:MPO917527 MZK917524:MZK917527 NJG917524:NJG917527 NTC917524:NTC917527 OCY917524:OCY917527 OMU917524:OMU917527 OWQ917524:OWQ917527 PGM917524:PGM917527 PQI917524:PQI917527 QAE917524:QAE917527 QKA917524:QKA917527 QTW917524:QTW917527 RDS917524:RDS917527 RNO917524:RNO917527 RXK917524:RXK917527 SHG917524:SHG917527 SRC917524:SRC917527 TAY917524:TAY917527 TKU917524:TKU917527 TUQ917524:TUQ917527 UEM917524:UEM917527 UOI917524:UOI917527 UYE917524:UYE917527 VIA917524:VIA917527 VRW917524:VRW917527 WBS917524:WBS917527 WLO917524:WLO917527 WVK917524:WVK917527 H983060:H983063 IY983060:IY983063 SU983060:SU983063 ACQ983060:ACQ983063 AMM983060:AMM983063 AWI983060:AWI983063 BGE983060:BGE983063 BQA983060:BQA983063 BZW983060:BZW983063 CJS983060:CJS983063 CTO983060:CTO983063 DDK983060:DDK983063 DNG983060:DNG983063 DXC983060:DXC983063 EGY983060:EGY983063 EQU983060:EQU983063 FAQ983060:FAQ983063 FKM983060:FKM983063 FUI983060:FUI983063 GEE983060:GEE983063 GOA983060:GOA983063 GXW983060:GXW983063 HHS983060:HHS983063 HRO983060:HRO983063 IBK983060:IBK983063 ILG983060:ILG983063 IVC983060:IVC983063 JEY983060:JEY983063 JOU983060:JOU983063 JYQ983060:JYQ983063 KIM983060:KIM983063 KSI983060:KSI983063 LCE983060:LCE983063 LMA983060:LMA983063 LVW983060:LVW983063 MFS983060:MFS983063 MPO983060:MPO983063 MZK983060:MZK983063 NJG983060:NJG983063 NTC983060:NTC983063 OCY983060:OCY983063 OMU983060:OMU983063 OWQ983060:OWQ983063 PGM983060:PGM983063 PQI983060:PQI983063 QAE983060:QAE983063 QKA983060:QKA983063 QTW983060:QTW983063 RDS983060:RDS983063 RNO983060:RNO983063 RXK983060:RXK983063 SHG983060:SHG983063 SRC983060:SRC983063 TAY983060:TAY983063 TKU983060:TKU983063 TUQ983060:TUQ983063 UEM983060:UEM983063 UOI983060:UOI983063 UYE983060:UYE983063 VIA983060:VIA983063 VRW983060:VRW983063 WBS983060:WBS983063 WLO983060:WLO983063 WVK983060:WVK983063 WLP983060 IW1:IX1 SS1:ST1 ACO1:ACP1 AMK1:AML1 AWG1:AWH1 BGC1:BGD1 BPY1:BPZ1 BZU1:BZV1 CJQ1:CJR1 CTM1:CTN1 DDI1:DDJ1 DNE1:DNF1 DXA1:DXB1 EGW1:EGX1 EQS1:EQT1 FAO1:FAP1 FKK1:FKL1 FUG1:FUH1 GEC1:GED1 GNY1:GNZ1 GXU1:GXV1 HHQ1:HHR1 HRM1:HRN1 IBI1:IBJ1 ILE1:ILF1 IVA1:IVB1 JEW1:JEX1 JOS1:JOT1 JYO1:JYP1 KIK1:KIL1 KSG1:KSH1 LCC1:LCD1 LLY1:LLZ1 LVU1:LVV1 MFQ1:MFR1 MPM1:MPN1 MZI1:MZJ1 NJE1:NJF1 NTA1:NTB1 OCW1:OCX1 OMS1:OMT1 OWO1:OWP1 PGK1:PGL1 PQG1:PQH1 QAC1:QAD1 QJY1:QJZ1 QTU1:QTV1 RDQ1:RDR1 RNM1:RNN1 RXI1:RXJ1 SHE1:SHF1 SRA1:SRB1 TAW1:TAX1 TKS1:TKT1 TUO1:TUP1 UEK1:UEL1 UOG1:UOH1 UYC1:UYD1 VHY1:VHZ1 VRU1:VRV1 WBQ1:WBR1 WLM1:WLN1 WVI1:WVJ1 F65556:G65556 IW65556:IX65556 SS65556:ST65556 ACO65556:ACP65556 AMK65556:AML65556 AWG65556:AWH65556 BGC65556:BGD65556 BPY65556:BPZ65556 BZU65556:BZV65556 CJQ65556:CJR65556 CTM65556:CTN65556 DDI65556:DDJ65556 DNE65556:DNF65556 DXA65556:DXB65556 EGW65556:EGX65556 EQS65556:EQT65556 FAO65556:FAP65556 FKK65556:FKL65556 FUG65556:FUH65556 GEC65556:GED65556 GNY65556:GNZ65556 GXU65556:GXV65556 HHQ65556:HHR65556 HRM65556:HRN65556 IBI65556:IBJ65556 ILE65556:ILF65556 IVA65556:IVB65556 JEW65556:JEX65556 JOS65556:JOT65556 JYO65556:JYP65556 KIK65556:KIL65556 KSG65556:KSH65556 LCC65556:LCD65556 LLY65556:LLZ65556 LVU65556:LVV65556 MFQ65556:MFR65556 MPM65556:MPN65556 MZI65556:MZJ65556 NJE65556:NJF65556 NTA65556:NTB65556 OCW65556:OCX65556 OMS65556:OMT65556 OWO65556:OWP65556 PGK65556:PGL65556 PQG65556:PQH65556 QAC65556:QAD65556 QJY65556:QJZ65556 QTU65556:QTV65556 RDQ65556:RDR65556 RNM65556:RNN65556 RXI65556:RXJ65556 SHE65556:SHF65556 SRA65556:SRB65556 TAW65556:TAX65556 TKS65556:TKT65556 TUO65556:TUP65556 UEK65556:UEL65556 UOG65556:UOH65556 UYC65556:UYD65556 VHY65556:VHZ65556 VRU65556:VRV65556 WBQ65556:WBR65556 WLM65556:WLN65556 WVI65556:WVJ65556 F131092:G131092 IW131092:IX131092 SS131092:ST131092 ACO131092:ACP131092 AMK131092:AML131092 AWG131092:AWH131092 BGC131092:BGD131092 BPY131092:BPZ131092 BZU131092:BZV131092 CJQ131092:CJR131092 CTM131092:CTN131092 DDI131092:DDJ131092 DNE131092:DNF131092 DXA131092:DXB131092 EGW131092:EGX131092 EQS131092:EQT131092 FAO131092:FAP131092 FKK131092:FKL131092 FUG131092:FUH131092 GEC131092:GED131092 GNY131092:GNZ131092 GXU131092:GXV131092 HHQ131092:HHR131092 HRM131092:HRN131092 IBI131092:IBJ131092 ILE131092:ILF131092 IVA131092:IVB131092 JEW131092:JEX131092 JOS131092:JOT131092 JYO131092:JYP131092 KIK131092:KIL131092 KSG131092:KSH131092 LCC131092:LCD131092 LLY131092:LLZ131092 LVU131092:LVV131092 MFQ131092:MFR131092 MPM131092:MPN131092 MZI131092:MZJ131092 NJE131092:NJF131092 NTA131092:NTB131092 OCW131092:OCX131092 OMS131092:OMT131092 OWO131092:OWP131092 PGK131092:PGL131092 PQG131092:PQH131092 QAC131092:QAD131092 QJY131092:QJZ131092 QTU131092:QTV131092 RDQ131092:RDR131092 RNM131092:RNN131092 RXI131092:RXJ131092 SHE131092:SHF131092 SRA131092:SRB131092 TAW131092:TAX131092 TKS131092:TKT131092 TUO131092:TUP131092 UEK131092:UEL131092 UOG131092:UOH131092 UYC131092:UYD131092 VHY131092:VHZ131092 VRU131092:VRV131092 WBQ131092:WBR131092 WLM131092:WLN131092 WVI131092:WVJ131092 F196628:G196628 IW196628:IX196628 SS196628:ST196628 ACO196628:ACP196628 AMK196628:AML196628 AWG196628:AWH196628 BGC196628:BGD196628 BPY196628:BPZ196628 BZU196628:BZV196628 CJQ196628:CJR196628 CTM196628:CTN196628 DDI196628:DDJ196628 DNE196628:DNF196628 DXA196628:DXB196628 EGW196628:EGX196628 EQS196628:EQT196628 FAO196628:FAP196628 FKK196628:FKL196628 FUG196628:FUH196628 GEC196628:GED196628 GNY196628:GNZ196628 GXU196628:GXV196628 HHQ196628:HHR196628 HRM196628:HRN196628 IBI196628:IBJ196628 ILE196628:ILF196628 IVA196628:IVB196628 JEW196628:JEX196628 JOS196628:JOT196628 JYO196628:JYP196628 KIK196628:KIL196628 KSG196628:KSH196628 LCC196628:LCD196628 LLY196628:LLZ196628 LVU196628:LVV196628 MFQ196628:MFR196628 MPM196628:MPN196628 MZI196628:MZJ196628 NJE196628:NJF196628 NTA196628:NTB196628 OCW196628:OCX196628 OMS196628:OMT196628 OWO196628:OWP196628 PGK196628:PGL196628 PQG196628:PQH196628 QAC196628:QAD196628 QJY196628:QJZ196628 QTU196628:QTV196628 RDQ196628:RDR196628 RNM196628:RNN196628 RXI196628:RXJ196628 SHE196628:SHF196628 SRA196628:SRB196628 TAW196628:TAX196628 TKS196628:TKT196628 TUO196628:TUP196628 UEK196628:UEL196628 UOG196628:UOH196628 UYC196628:UYD196628 VHY196628:VHZ196628 VRU196628:VRV196628 WBQ196628:WBR196628 WLM196628:WLN196628 WVI196628:WVJ196628 F262164:G262164 IW262164:IX262164 SS262164:ST262164 ACO262164:ACP262164 AMK262164:AML262164 AWG262164:AWH262164 BGC262164:BGD262164 BPY262164:BPZ262164 BZU262164:BZV262164 CJQ262164:CJR262164 CTM262164:CTN262164 DDI262164:DDJ262164 DNE262164:DNF262164 DXA262164:DXB262164 EGW262164:EGX262164 EQS262164:EQT262164 FAO262164:FAP262164 FKK262164:FKL262164 FUG262164:FUH262164 GEC262164:GED262164 GNY262164:GNZ262164 GXU262164:GXV262164 HHQ262164:HHR262164 HRM262164:HRN262164 IBI262164:IBJ262164 ILE262164:ILF262164 IVA262164:IVB262164 JEW262164:JEX262164 JOS262164:JOT262164 JYO262164:JYP262164 KIK262164:KIL262164 KSG262164:KSH262164 LCC262164:LCD262164 LLY262164:LLZ262164 LVU262164:LVV262164 MFQ262164:MFR262164 MPM262164:MPN262164 MZI262164:MZJ262164 NJE262164:NJF262164 NTA262164:NTB262164 OCW262164:OCX262164 OMS262164:OMT262164 OWO262164:OWP262164 PGK262164:PGL262164 PQG262164:PQH262164 QAC262164:QAD262164 QJY262164:QJZ262164 QTU262164:QTV262164 RDQ262164:RDR262164 RNM262164:RNN262164 RXI262164:RXJ262164 SHE262164:SHF262164 SRA262164:SRB262164 TAW262164:TAX262164 TKS262164:TKT262164 TUO262164:TUP262164 UEK262164:UEL262164 UOG262164:UOH262164 UYC262164:UYD262164 VHY262164:VHZ262164 VRU262164:VRV262164 WBQ262164:WBR262164 WLM262164:WLN262164 WVI262164:WVJ262164 F327700:G327700 IW327700:IX327700 SS327700:ST327700 ACO327700:ACP327700 AMK327700:AML327700 AWG327700:AWH327700 BGC327700:BGD327700 BPY327700:BPZ327700 BZU327700:BZV327700 CJQ327700:CJR327700 CTM327700:CTN327700 DDI327700:DDJ327700 DNE327700:DNF327700 DXA327700:DXB327700 EGW327700:EGX327700 EQS327700:EQT327700 FAO327700:FAP327700 FKK327700:FKL327700 FUG327700:FUH327700 GEC327700:GED327700 GNY327700:GNZ327700 GXU327700:GXV327700 HHQ327700:HHR327700 HRM327700:HRN327700 IBI327700:IBJ327700 ILE327700:ILF327700 IVA327700:IVB327700 JEW327700:JEX327700 JOS327700:JOT327700 JYO327700:JYP327700 KIK327700:KIL327700 KSG327700:KSH327700 LCC327700:LCD327700 LLY327700:LLZ327700 LVU327700:LVV327700 MFQ327700:MFR327700 MPM327700:MPN327700 MZI327700:MZJ327700 NJE327700:NJF327700 NTA327700:NTB327700 OCW327700:OCX327700 OMS327700:OMT327700 OWO327700:OWP327700 PGK327700:PGL327700 PQG327700:PQH327700 QAC327700:QAD327700 QJY327700:QJZ327700 QTU327700:QTV327700 RDQ327700:RDR327700 RNM327700:RNN327700 RXI327700:RXJ327700 SHE327700:SHF327700 SRA327700:SRB327700 TAW327700:TAX327700 TKS327700:TKT327700 TUO327700:TUP327700 UEK327700:UEL327700 UOG327700:UOH327700 UYC327700:UYD327700 VHY327700:VHZ327700 VRU327700:VRV327700 WBQ327700:WBR327700 WLM327700:WLN327700 WVI327700:WVJ327700 F393236:G393236 IW393236:IX393236 SS393236:ST393236 ACO393236:ACP393236 AMK393236:AML393236 AWG393236:AWH393236 BGC393236:BGD393236 BPY393236:BPZ393236 BZU393236:BZV393236 CJQ393236:CJR393236 CTM393236:CTN393236 DDI393236:DDJ393236 DNE393236:DNF393236 DXA393236:DXB393236 EGW393236:EGX393236 EQS393236:EQT393236 FAO393236:FAP393236 FKK393236:FKL393236 FUG393236:FUH393236 GEC393236:GED393236 GNY393236:GNZ393236 GXU393236:GXV393236 HHQ393236:HHR393236 HRM393236:HRN393236 IBI393236:IBJ393236 ILE393236:ILF393236 IVA393236:IVB393236 JEW393236:JEX393236 JOS393236:JOT393236 JYO393236:JYP393236 KIK393236:KIL393236 KSG393236:KSH393236 LCC393236:LCD393236 LLY393236:LLZ393236 LVU393236:LVV393236 MFQ393236:MFR393236 MPM393236:MPN393236 MZI393236:MZJ393236 NJE393236:NJF393236 NTA393236:NTB393236 OCW393236:OCX393236 OMS393236:OMT393236 OWO393236:OWP393236 PGK393236:PGL393236 PQG393236:PQH393236 QAC393236:QAD393236 QJY393236:QJZ393236 QTU393236:QTV393236 RDQ393236:RDR393236 RNM393236:RNN393236 RXI393236:RXJ393236 SHE393236:SHF393236 SRA393236:SRB393236 TAW393236:TAX393236 TKS393236:TKT393236 TUO393236:TUP393236 UEK393236:UEL393236 UOG393236:UOH393236 UYC393236:UYD393236 VHY393236:VHZ393236 VRU393236:VRV393236 WBQ393236:WBR393236 WLM393236:WLN393236 WVI393236:WVJ393236 F458772:G458772 IW458772:IX458772 SS458772:ST458772 ACO458772:ACP458772 AMK458772:AML458772 AWG458772:AWH458772 BGC458772:BGD458772 BPY458772:BPZ458772 BZU458772:BZV458772 CJQ458772:CJR458772 CTM458772:CTN458772 DDI458772:DDJ458772 DNE458772:DNF458772 DXA458772:DXB458772 EGW458772:EGX458772 EQS458772:EQT458772 FAO458772:FAP458772 FKK458772:FKL458772 FUG458772:FUH458772 GEC458772:GED458772 GNY458772:GNZ458772 GXU458772:GXV458772 HHQ458772:HHR458772 HRM458772:HRN458772 IBI458772:IBJ458772 ILE458772:ILF458772 IVA458772:IVB458772 JEW458772:JEX458772 JOS458772:JOT458772 JYO458772:JYP458772 KIK458772:KIL458772 KSG458772:KSH458772 LCC458772:LCD458772 LLY458772:LLZ458772 LVU458772:LVV458772 MFQ458772:MFR458772 MPM458772:MPN458772 MZI458772:MZJ458772 NJE458772:NJF458772 NTA458772:NTB458772 OCW458772:OCX458772 OMS458772:OMT458772 OWO458772:OWP458772 PGK458772:PGL458772 PQG458772:PQH458772 QAC458772:QAD458772 QJY458772:QJZ458772 QTU458772:QTV458772 RDQ458772:RDR458772 RNM458772:RNN458772 RXI458772:RXJ458772 SHE458772:SHF458772 SRA458772:SRB458772 TAW458772:TAX458772 TKS458772:TKT458772 TUO458772:TUP458772 UEK458772:UEL458772 UOG458772:UOH458772 UYC458772:UYD458772 VHY458772:VHZ458772 VRU458772:VRV458772 WBQ458772:WBR458772 WLM458772:WLN458772 WVI458772:WVJ458772 F524308:G524308 IW524308:IX524308 SS524308:ST524308 ACO524308:ACP524308 AMK524308:AML524308 AWG524308:AWH524308 BGC524308:BGD524308 BPY524308:BPZ524308 BZU524308:BZV524308 CJQ524308:CJR524308 CTM524308:CTN524308 DDI524308:DDJ524308 DNE524308:DNF524308 DXA524308:DXB524308 EGW524308:EGX524308 EQS524308:EQT524308 FAO524308:FAP524308 FKK524308:FKL524308 FUG524308:FUH524308 GEC524308:GED524308 GNY524308:GNZ524308 GXU524308:GXV524308 HHQ524308:HHR524308 HRM524308:HRN524308 IBI524308:IBJ524308 ILE524308:ILF524308 IVA524308:IVB524308 JEW524308:JEX524308 JOS524308:JOT524308 JYO524308:JYP524308 KIK524308:KIL524308 KSG524308:KSH524308 LCC524308:LCD524308 LLY524308:LLZ524308 LVU524308:LVV524308 MFQ524308:MFR524308 MPM524308:MPN524308 MZI524308:MZJ524308 NJE524308:NJF524308 NTA524308:NTB524308 OCW524308:OCX524308 OMS524308:OMT524308 OWO524308:OWP524308 PGK524308:PGL524308 PQG524308:PQH524308 QAC524308:QAD524308 QJY524308:QJZ524308 QTU524308:QTV524308 RDQ524308:RDR524308 RNM524308:RNN524308 RXI524308:RXJ524308 SHE524308:SHF524308 SRA524308:SRB524308 TAW524308:TAX524308 TKS524308:TKT524308 TUO524308:TUP524308 UEK524308:UEL524308 UOG524308:UOH524308 UYC524308:UYD524308 VHY524308:VHZ524308 VRU524308:VRV524308 WBQ524308:WBR524308 WLM524308:WLN524308 WVI524308:WVJ524308 F589844:G589844 IW589844:IX589844 SS589844:ST589844 ACO589844:ACP589844 AMK589844:AML589844 AWG589844:AWH589844 BGC589844:BGD589844 BPY589844:BPZ589844 BZU589844:BZV589844 CJQ589844:CJR589844 CTM589844:CTN589844 DDI589844:DDJ589844 DNE589844:DNF589844 DXA589844:DXB589844 EGW589844:EGX589844 EQS589844:EQT589844 FAO589844:FAP589844 FKK589844:FKL589844 FUG589844:FUH589844 GEC589844:GED589844 GNY589844:GNZ589844 GXU589844:GXV589844 HHQ589844:HHR589844 HRM589844:HRN589844 IBI589844:IBJ589844 ILE589844:ILF589844 IVA589844:IVB589844 JEW589844:JEX589844 JOS589844:JOT589844 JYO589844:JYP589844 KIK589844:KIL589844 KSG589844:KSH589844 LCC589844:LCD589844 LLY589844:LLZ589844 LVU589844:LVV589844 MFQ589844:MFR589844 MPM589844:MPN589844 MZI589844:MZJ589844 NJE589844:NJF589844 NTA589844:NTB589844 OCW589844:OCX589844 OMS589844:OMT589844 OWO589844:OWP589844 PGK589844:PGL589844 PQG589844:PQH589844 QAC589844:QAD589844 QJY589844:QJZ589844 QTU589844:QTV589844 RDQ589844:RDR589844 RNM589844:RNN589844 RXI589844:RXJ589844 SHE589844:SHF589844 SRA589844:SRB589844 TAW589844:TAX589844 TKS589844:TKT589844 TUO589844:TUP589844 UEK589844:UEL589844 UOG589844:UOH589844 UYC589844:UYD589844 VHY589844:VHZ589844 VRU589844:VRV589844 WBQ589844:WBR589844 WLM589844:WLN589844 WVI589844:WVJ589844 F655380:G655380 IW655380:IX655380 SS655380:ST655380 ACO655380:ACP655380 AMK655380:AML655380 AWG655380:AWH655380 BGC655380:BGD655380 BPY655380:BPZ655380 BZU655380:BZV655380 CJQ655380:CJR655380 CTM655380:CTN655380 DDI655380:DDJ655380 DNE655380:DNF655380 DXA655380:DXB655380 EGW655380:EGX655380 EQS655380:EQT655380 FAO655380:FAP655380 FKK655380:FKL655380 FUG655380:FUH655380 GEC655380:GED655380 GNY655380:GNZ655380 GXU655380:GXV655380 HHQ655380:HHR655380 HRM655380:HRN655380 IBI655380:IBJ655380 ILE655380:ILF655380 IVA655380:IVB655380 JEW655380:JEX655380 JOS655380:JOT655380 JYO655380:JYP655380 KIK655380:KIL655380 KSG655380:KSH655380 LCC655380:LCD655380 LLY655380:LLZ655380 LVU655380:LVV655380 MFQ655380:MFR655380 MPM655380:MPN655380 MZI655380:MZJ655380 NJE655380:NJF655380 NTA655380:NTB655380 OCW655380:OCX655380 OMS655380:OMT655380 OWO655380:OWP655380 PGK655380:PGL655380 PQG655380:PQH655380 QAC655380:QAD655380 QJY655380:QJZ655380 QTU655380:QTV655380 RDQ655380:RDR655380 RNM655380:RNN655380 RXI655380:RXJ655380 SHE655380:SHF655380 SRA655380:SRB655380 TAW655380:TAX655380 TKS655380:TKT655380 TUO655380:TUP655380 UEK655380:UEL655380 UOG655380:UOH655380 UYC655380:UYD655380 VHY655380:VHZ655380 VRU655380:VRV655380 WBQ655380:WBR655380 WLM655380:WLN655380 WVI655380:WVJ655380 F720916:G720916 IW720916:IX720916 SS720916:ST720916 ACO720916:ACP720916 AMK720916:AML720916 AWG720916:AWH720916 BGC720916:BGD720916 BPY720916:BPZ720916 BZU720916:BZV720916 CJQ720916:CJR720916 CTM720916:CTN720916 DDI720916:DDJ720916 DNE720916:DNF720916 DXA720916:DXB720916 EGW720916:EGX720916 EQS720916:EQT720916 FAO720916:FAP720916 FKK720916:FKL720916 FUG720916:FUH720916 GEC720916:GED720916 GNY720916:GNZ720916 GXU720916:GXV720916 HHQ720916:HHR720916 HRM720916:HRN720916 IBI720916:IBJ720916 ILE720916:ILF720916 IVA720916:IVB720916 JEW720916:JEX720916 JOS720916:JOT720916 JYO720916:JYP720916 KIK720916:KIL720916 KSG720916:KSH720916 LCC720916:LCD720916 LLY720916:LLZ720916 LVU720916:LVV720916 MFQ720916:MFR720916 MPM720916:MPN720916 MZI720916:MZJ720916 NJE720916:NJF720916 NTA720916:NTB720916 OCW720916:OCX720916 OMS720916:OMT720916 OWO720916:OWP720916 PGK720916:PGL720916 PQG720916:PQH720916 QAC720916:QAD720916 QJY720916:QJZ720916 QTU720916:QTV720916 RDQ720916:RDR720916 RNM720916:RNN720916 RXI720916:RXJ720916 SHE720916:SHF720916 SRA720916:SRB720916 TAW720916:TAX720916 TKS720916:TKT720916 TUO720916:TUP720916 UEK720916:UEL720916 UOG720916:UOH720916 UYC720916:UYD720916 VHY720916:VHZ720916 VRU720916:VRV720916 WBQ720916:WBR720916 WLM720916:WLN720916 WVI720916:WVJ720916 F786452:G786452 IW786452:IX786452 SS786452:ST786452 ACO786452:ACP786452 AMK786452:AML786452 AWG786452:AWH786452 BGC786452:BGD786452 BPY786452:BPZ786452 BZU786452:BZV786452 CJQ786452:CJR786452 CTM786452:CTN786452 DDI786452:DDJ786452 DNE786452:DNF786452 DXA786452:DXB786452 EGW786452:EGX786452 EQS786452:EQT786452 FAO786452:FAP786452 FKK786452:FKL786452 FUG786452:FUH786452 GEC786452:GED786452 GNY786452:GNZ786452 GXU786452:GXV786452 HHQ786452:HHR786452 HRM786452:HRN786452 IBI786452:IBJ786452 ILE786452:ILF786452 IVA786452:IVB786452 JEW786452:JEX786452 JOS786452:JOT786452 JYO786452:JYP786452 KIK786452:KIL786452 KSG786452:KSH786452 LCC786452:LCD786452 LLY786452:LLZ786452 LVU786452:LVV786452 MFQ786452:MFR786452 MPM786452:MPN786452 MZI786452:MZJ786452 NJE786452:NJF786452 NTA786452:NTB786452 OCW786452:OCX786452 OMS786452:OMT786452 OWO786452:OWP786452 PGK786452:PGL786452 PQG786452:PQH786452 QAC786452:QAD786452 QJY786452:QJZ786452 QTU786452:QTV786452 RDQ786452:RDR786452 RNM786452:RNN786452 RXI786452:RXJ786452 SHE786452:SHF786452 SRA786452:SRB786452 TAW786452:TAX786452 TKS786452:TKT786452 TUO786452:TUP786452 UEK786452:UEL786452 UOG786452:UOH786452 UYC786452:UYD786452 VHY786452:VHZ786452 VRU786452:VRV786452 WBQ786452:WBR786452 WLM786452:WLN786452 WVI786452:WVJ786452 F851988:G851988 IW851988:IX851988 SS851988:ST851988 ACO851988:ACP851988 AMK851988:AML851988 AWG851988:AWH851988 BGC851988:BGD851988 BPY851988:BPZ851988 BZU851988:BZV851988 CJQ851988:CJR851988 CTM851988:CTN851988 DDI851988:DDJ851988 DNE851988:DNF851988 DXA851988:DXB851988 EGW851988:EGX851988 EQS851988:EQT851988 FAO851988:FAP851988 FKK851988:FKL851988 FUG851988:FUH851988 GEC851988:GED851988 GNY851988:GNZ851988 GXU851988:GXV851988 HHQ851988:HHR851988 HRM851988:HRN851988 IBI851988:IBJ851988 ILE851988:ILF851988 IVA851988:IVB851988 JEW851988:JEX851988 JOS851988:JOT851988 JYO851988:JYP851988 KIK851988:KIL851988 KSG851988:KSH851988 LCC851988:LCD851988 LLY851988:LLZ851988 LVU851988:LVV851988 MFQ851988:MFR851988 MPM851988:MPN851988 MZI851988:MZJ851988 NJE851988:NJF851988 NTA851988:NTB851988 OCW851988:OCX851988 OMS851988:OMT851988 OWO851988:OWP851988 PGK851988:PGL851988 PQG851988:PQH851988 QAC851988:QAD851988 QJY851988:QJZ851988 QTU851988:QTV851988 RDQ851988:RDR851988 RNM851988:RNN851988 RXI851988:RXJ851988 SHE851988:SHF851988 SRA851988:SRB851988 TAW851988:TAX851988 TKS851988:TKT851988 TUO851988:TUP851988 UEK851988:UEL851988 UOG851988:UOH851988 UYC851988:UYD851988 VHY851988:VHZ851988 VRU851988:VRV851988 WBQ851988:WBR851988 WLM851988:WLN851988 WVI851988:WVJ851988 F917524:G917524 IW917524:IX917524 SS917524:ST917524 ACO917524:ACP917524 AMK917524:AML917524 AWG917524:AWH917524 BGC917524:BGD917524 BPY917524:BPZ917524 BZU917524:BZV917524 CJQ917524:CJR917524 CTM917524:CTN917524 DDI917524:DDJ917524 DNE917524:DNF917524 DXA917524:DXB917524 EGW917524:EGX917524 EQS917524:EQT917524 FAO917524:FAP917524 FKK917524:FKL917524 FUG917524:FUH917524 GEC917524:GED917524 GNY917524:GNZ917524 GXU917524:GXV917524 HHQ917524:HHR917524 HRM917524:HRN917524 IBI917524:IBJ917524 ILE917524:ILF917524 IVA917524:IVB917524 JEW917524:JEX917524 JOS917524:JOT917524 JYO917524:JYP917524 KIK917524:KIL917524 KSG917524:KSH917524 LCC917524:LCD917524 LLY917524:LLZ917524 LVU917524:LVV917524 MFQ917524:MFR917524 MPM917524:MPN917524 MZI917524:MZJ917524 NJE917524:NJF917524 NTA917524:NTB917524 OCW917524:OCX917524 OMS917524:OMT917524 OWO917524:OWP917524 PGK917524:PGL917524 PQG917524:PQH917524 QAC917524:QAD917524 QJY917524:QJZ917524 QTU917524:QTV917524 RDQ917524:RDR917524 RNM917524:RNN917524 RXI917524:RXJ917524 SHE917524:SHF917524 SRA917524:SRB917524 TAW917524:TAX917524 TKS917524:TKT917524 TUO917524:TUP917524 UEK917524:UEL917524 UOG917524:UOH917524 UYC917524:UYD917524 VHY917524:VHZ917524 VRU917524:VRV917524 WBQ917524:WBR917524 WLM917524:WLN917524 WVI917524:WVJ917524 F983060:G983060 IW983060:IX983060 SS983060:ST983060 ACO983060:ACP983060 AMK983060:AML983060 AWG983060:AWH983060 BGC983060:BGD983060 BPY983060:BPZ983060 BZU983060:BZV983060 CJQ983060:CJR983060 CTM983060:CTN983060 DDI983060:DDJ983060 DNE983060:DNF983060 DXA983060:DXB983060 EGW983060:EGX983060 EQS983060:EQT983060 FAO983060:FAP983060 FKK983060:FKL983060 FUG983060:FUH983060 GEC983060:GED983060 GNY983060:GNZ983060 GXU983060:GXV983060 HHQ983060:HHR983060 HRM983060:HRN983060 IBI983060:IBJ983060 ILE983060:ILF983060 IVA983060:IVB983060 JEW983060:JEX983060 JOS983060:JOT983060 JYO983060:JYP983060 KIK983060:KIL983060 KSG983060:KSH983060 LCC983060:LCD983060 LLY983060:LLZ983060 LVU983060:LVV983060 MFQ983060:MFR983060 MPM983060:MPN983060 MZI983060:MZJ983060 NJE983060:NJF983060 NTA983060:NTB983060 OCW983060:OCX983060 OMS983060:OMT983060 OWO983060:OWP983060 PGK983060:PGL983060 PQG983060:PQH983060 QAC983060:QAD983060 QJY983060:QJZ983060 QTU983060:QTV983060 RDQ983060:RDR983060 RNM983060:RNN983060 RXI983060:RXJ983060 SHE983060:SHF983060 SRA983060:SRB983060 TAW983060:TAX983060 TKS983060:TKT983060 TUO983060:TUP983060 UEK983060:UEL983060 UOG983060:UOH983060 UYC983060:UYD983060 VHY983060:VHZ983060 VRU983060:VRV983060 WBQ983060:WBR983060 WLM983060:WLN983060 WVI983060:WVJ983060 WVL983060 IW3:IX4 SS3:ST4 ACO3:ACP4 AMK3:AML4 AWG3:AWH4 BGC3:BGD4 BPY3:BPZ4 BZU3:BZV4 CJQ3:CJR4 CTM3:CTN4 DDI3:DDJ4 DNE3:DNF4 DXA3:DXB4 EGW3:EGX4 EQS3:EQT4 FAO3:FAP4 FKK3:FKL4 FUG3:FUH4 GEC3:GED4 GNY3:GNZ4 GXU3:GXV4 HHQ3:HHR4 HRM3:HRN4 IBI3:IBJ4 ILE3:ILF4 IVA3:IVB4 JEW3:JEX4 JOS3:JOT4 JYO3:JYP4 KIK3:KIL4 KSG3:KSH4 LCC3:LCD4 LLY3:LLZ4 LVU3:LVV4 MFQ3:MFR4 MPM3:MPN4 MZI3:MZJ4 NJE3:NJF4 NTA3:NTB4 OCW3:OCX4 OMS3:OMT4 OWO3:OWP4 PGK3:PGL4 PQG3:PQH4 QAC3:QAD4 QJY3:QJZ4 QTU3:QTV4 RDQ3:RDR4 RNM3:RNN4 RXI3:RXJ4 SHE3:SHF4 SRA3:SRB4 TAW3:TAX4 TKS3:TKT4 TUO3:TUP4 UEK3:UEL4 UOG3:UOH4 UYC3:UYD4 VHY3:VHZ4 VRU3:VRV4 WBQ3:WBR4 WLM3:WLN4 WVI3:WVJ4 F65558:G65559 IW65558:IX65559 SS65558:ST65559 ACO65558:ACP65559 AMK65558:AML65559 AWG65558:AWH65559 BGC65558:BGD65559 BPY65558:BPZ65559 BZU65558:BZV65559 CJQ65558:CJR65559 CTM65558:CTN65559 DDI65558:DDJ65559 DNE65558:DNF65559 DXA65558:DXB65559 EGW65558:EGX65559 EQS65558:EQT65559 FAO65558:FAP65559 FKK65558:FKL65559 FUG65558:FUH65559 GEC65558:GED65559 GNY65558:GNZ65559 GXU65558:GXV65559 HHQ65558:HHR65559 HRM65558:HRN65559 IBI65558:IBJ65559 ILE65558:ILF65559 IVA65558:IVB65559 JEW65558:JEX65559 JOS65558:JOT65559 JYO65558:JYP65559 KIK65558:KIL65559 KSG65558:KSH65559 LCC65558:LCD65559 LLY65558:LLZ65559 LVU65558:LVV65559 MFQ65558:MFR65559 MPM65558:MPN65559 MZI65558:MZJ65559 NJE65558:NJF65559 NTA65558:NTB65559 OCW65558:OCX65559 OMS65558:OMT65559 OWO65558:OWP65559 PGK65558:PGL65559 PQG65558:PQH65559 QAC65558:QAD65559 QJY65558:QJZ65559 QTU65558:QTV65559 RDQ65558:RDR65559 RNM65558:RNN65559 RXI65558:RXJ65559 SHE65558:SHF65559 SRA65558:SRB65559 TAW65558:TAX65559 TKS65558:TKT65559 TUO65558:TUP65559 UEK65558:UEL65559 UOG65558:UOH65559 UYC65558:UYD65559 VHY65558:VHZ65559 VRU65558:VRV65559 WBQ65558:WBR65559 WLM65558:WLN65559 WVI65558:WVJ65559 F131094:G131095 IW131094:IX131095 SS131094:ST131095 ACO131094:ACP131095 AMK131094:AML131095 AWG131094:AWH131095 BGC131094:BGD131095 BPY131094:BPZ131095 BZU131094:BZV131095 CJQ131094:CJR131095 CTM131094:CTN131095 DDI131094:DDJ131095 DNE131094:DNF131095 DXA131094:DXB131095 EGW131094:EGX131095 EQS131094:EQT131095 FAO131094:FAP131095 FKK131094:FKL131095 FUG131094:FUH131095 GEC131094:GED131095 GNY131094:GNZ131095 GXU131094:GXV131095 HHQ131094:HHR131095 HRM131094:HRN131095 IBI131094:IBJ131095 ILE131094:ILF131095 IVA131094:IVB131095 JEW131094:JEX131095 JOS131094:JOT131095 JYO131094:JYP131095 KIK131094:KIL131095 KSG131094:KSH131095 LCC131094:LCD131095 LLY131094:LLZ131095 LVU131094:LVV131095 MFQ131094:MFR131095 MPM131094:MPN131095 MZI131094:MZJ131095 NJE131094:NJF131095 NTA131094:NTB131095 OCW131094:OCX131095 OMS131094:OMT131095 OWO131094:OWP131095 PGK131094:PGL131095 PQG131094:PQH131095 QAC131094:QAD131095 QJY131094:QJZ131095 QTU131094:QTV131095 RDQ131094:RDR131095 RNM131094:RNN131095 RXI131094:RXJ131095 SHE131094:SHF131095 SRA131094:SRB131095 TAW131094:TAX131095 TKS131094:TKT131095 TUO131094:TUP131095 UEK131094:UEL131095 UOG131094:UOH131095 UYC131094:UYD131095 VHY131094:VHZ131095 VRU131094:VRV131095 WBQ131094:WBR131095 WLM131094:WLN131095 WVI131094:WVJ131095 F196630:G196631 IW196630:IX196631 SS196630:ST196631 ACO196630:ACP196631 AMK196630:AML196631 AWG196630:AWH196631 BGC196630:BGD196631 BPY196630:BPZ196631 BZU196630:BZV196631 CJQ196630:CJR196631 CTM196630:CTN196631 DDI196630:DDJ196631 DNE196630:DNF196631 DXA196630:DXB196631 EGW196630:EGX196631 EQS196630:EQT196631 FAO196630:FAP196631 FKK196630:FKL196631 FUG196630:FUH196631 GEC196630:GED196631 GNY196630:GNZ196631 GXU196630:GXV196631 HHQ196630:HHR196631 HRM196630:HRN196631 IBI196630:IBJ196631 ILE196630:ILF196631 IVA196630:IVB196631 JEW196630:JEX196631 JOS196630:JOT196631 JYO196630:JYP196631 KIK196630:KIL196631 KSG196630:KSH196631 LCC196630:LCD196631 LLY196630:LLZ196631 LVU196630:LVV196631 MFQ196630:MFR196631 MPM196630:MPN196631 MZI196630:MZJ196631 NJE196630:NJF196631 NTA196630:NTB196631 OCW196630:OCX196631 OMS196630:OMT196631 OWO196630:OWP196631 PGK196630:PGL196631 PQG196630:PQH196631 QAC196630:QAD196631 QJY196630:QJZ196631 QTU196630:QTV196631 RDQ196630:RDR196631 RNM196630:RNN196631 RXI196630:RXJ196631 SHE196630:SHF196631 SRA196630:SRB196631 TAW196630:TAX196631 TKS196630:TKT196631 TUO196630:TUP196631 UEK196630:UEL196631 UOG196630:UOH196631 UYC196630:UYD196631 VHY196630:VHZ196631 VRU196630:VRV196631 WBQ196630:WBR196631 WLM196630:WLN196631 WVI196630:WVJ196631 F262166:G262167 IW262166:IX262167 SS262166:ST262167 ACO262166:ACP262167 AMK262166:AML262167 AWG262166:AWH262167 BGC262166:BGD262167 BPY262166:BPZ262167 BZU262166:BZV262167 CJQ262166:CJR262167 CTM262166:CTN262167 DDI262166:DDJ262167 DNE262166:DNF262167 DXA262166:DXB262167 EGW262166:EGX262167 EQS262166:EQT262167 FAO262166:FAP262167 FKK262166:FKL262167 FUG262166:FUH262167 GEC262166:GED262167 GNY262166:GNZ262167 GXU262166:GXV262167 HHQ262166:HHR262167 HRM262166:HRN262167 IBI262166:IBJ262167 ILE262166:ILF262167 IVA262166:IVB262167 JEW262166:JEX262167 JOS262166:JOT262167 JYO262166:JYP262167 KIK262166:KIL262167 KSG262166:KSH262167 LCC262166:LCD262167 LLY262166:LLZ262167 LVU262166:LVV262167 MFQ262166:MFR262167 MPM262166:MPN262167 MZI262166:MZJ262167 NJE262166:NJF262167 NTA262166:NTB262167 OCW262166:OCX262167 OMS262166:OMT262167 OWO262166:OWP262167 PGK262166:PGL262167 PQG262166:PQH262167 QAC262166:QAD262167 QJY262166:QJZ262167 QTU262166:QTV262167 RDQ262166:RDR262167 RNM262166:RNN262167 RXI262166:RXJ262167 SHE262166:SHF262167 SRA262166:SRB262167 TAW262166:TAX262167 TKS262166:TKT262167 TUO262166:TUP262167 UEK262166:UEL262167 UOG262166:UOH262167 UYC262166:UYD262167 VHY262166:VHZ262167 VRU262166:VRV262167 WBQ262166:WBR262167 WLM262166:WLN262167 WVI262166:WVJ262167 F327702:G327703 IW327702:IX327703 SS327702:ST327703 ACO327702:ACP327703 AMK327702:AML327703 AWG327702:AWH327703 BGC327702:BGD327703 BPY327702:BPZ327703 BZU327702:BZV327703 CJQ327702:CJR327703 CTM327702:CTN327703 DDI327702:DDJ327703 DNE327702:DNF327703 DXA327702:DXB327703 EGW327702:EGX327703 EQS327702:EQT327703 FAO327702:FAP327703 FKK327702:FKL327703 FUG327702:FUH327703 GEC327702:GED327703 GNY327702:GNZ327703 GXU327702:GXV327703 HHQ327702:HHR327703 HRM327702:HRN327703 IBI327702:IBJ327703 ILE327702:ILF327703 IVA327702:IVB327703 JEW327702:JEX327703 JOS327702:JOT327703 JYO327702:JYP327703 KIK327702:KIL327703 KSG327702:KSH327703 LCC327702:LCD327703 LLY327702:LLZ327703 LVU327702:LVV327703 MFQ327702:MFR327703 MPM327702:MPN327703 MZI327702:MZJ327703 NJE327702:NJF327703 NTA327702:NTB327703 OCW327702:OCX327703 OMS327702:OMT327703 OWO327702:OWP327703 PGK327702:PGL327703 PQG327702:PQH327703 QAC327702:QAD327703 QJY327702:QJZ327703 QTU327702:QTV327703 RDQ327702:RDR327703 RNM327702:RNN327703 RXI327702:RXJ327703 SHE327702:SHF327703 SRA327702:SRB327703 TAW327702:TAX327703 TKS327702:TKT327703 TUO327702:TUP327703 UEK327702:UEL327703 UOG327702:UOH327703 UYC327702:UYD327703 VHY327702:VHZ327703 VRU327702:VRV327703 WBQ327702:WBR327703 WLM327702:WLN327703 WVI327702:WVJ327703 F393238:G393239 IW393238:IX393239 SS393238:ST393239 ACO393238:ACP393239 AMK393238:AML393239 AWG393238:AWH393239 BGC393238:BGD393239 BPY393238:BPZ393239 BZU393238:BZV393239 CJQ393238:CJR393239 CTM393238:CTN393239 DDI393238:DDJ393239 DNE393238:DNF393239 DXA393238:DXB393239 EGW393238:EGX393239 EQS393238:EQT393239 FAO393238:FAP393239 FKK393238:FKL393239 FUG393238:FUH393239 GEC393238:GED393239 GNY393238:GNZ393239 GXU393238:GXV393239 HHQ393238:HHR393239 HRM393238:HRN393239 IBI393238:IBJ393239 ILE393238:ILF393239 IVA393238:IVB393239 JEW393238:JEX393239 JOS393238:JOT393239 JYO393238:JYP393239 KIK393238:KIL393239 KSG393238:KSH393239 LCC393238:LCD393239 LLY393238:LLZ393239 LVU393238:LVV393239 MFQ393238:MFR393239 MPM393238:MPN393239 MZI393238:MZJ393239 NJE393238:NJF393239 NTA393238:NTB393239 OCW393238:OCX393239 OMS393238:OMT393239 OWO393238:OWP393239 PGK393238:PGL393239 PQG393238:PQH393239 QAC393238:QAD393239 QJY393238:QJZ393239 QTU393238:QTV393239 RDQ393238:RDR393239 RNM393238:RNN393239 RXI393238:RXJ393239 SHE393238:SHF393239 SRA393238:SRB393239 TAW393238:TAX393239 TKS393238:TKT393239 TUO393238:TUP393239 UEK393238:UEL393239 UOG393238:UOH393239 UYC393238:UYD393239 VHY393238:VHZ393239 VRU393238:VRV393239 WBQ393238:WBR393239 WLM393238:WLN393239 WVI393238:WVJ393239 F458774:G458775 IW458774:IX458775 SS458774:ST458775 ACO458774:ACP458775 AMK458774:AML458775 AWG458774:AWH458775 BGC458774:BGD458775 BPY458774:BPZ458775 BZU458774:BZV458775 CJQ458774:CJR458775 CTM458774:CTN458775 DDI458774:DDJ458775 DNE458774:DNF458775 DXA458774:DXB458775 EGW458774:EGX458775 EQS458774:EQT458775 FAO458774:FAP458775 FKK458774:FKL458775 FUG458774:FUH458775 GEC458774:GED458775 GNY458774:GNZ458775 GXU458774:GXV458775 HHQ458774:HHR458775 HRM458774:HRN458775 IBI458774:IBJ458775 ILE458774:ILF458775 IVA458774:IVB458775 JEW458774:JEX458775 JOS458774:JOT458775 JYO458774:JYP458775 KIK458774:KIL458775 KSG458774:KSH458775 LCC458774:LCD458775 LLY458774:LLZ458775 LVU458774:LVV458775 MFQ458774:MFR458775 MPM458774:MPN458775 MZI458774:MZJ458775 NJE458774:NJF458775 NTA458774:NTB458775 OCW458774:OCX458775 OMS458774:OMT458775 OWO458774:OWP458775 PGK458774:PGL458775 PQG458774:PQH458775 QAC458774:QAD458775 QJY458774:QJZ458775 QTU458774:QTV458775 RDQ458774:RDR458775 RNM458774:RNN458775 RXI458774:RXJ458775 SHE458774:SHF458775 SRA458774:SRB458775 TAW458774:TAX458775 TKS458774:TKT458775 TUO458774:TUP458775 UEK458774:UEL458775 UOG458774:UOH458775 UYC458774:UYD458775 VHY458774:VHZ458775 VRU458774:VRV458775 WBQ458774:WBR458775 WLM458774:WLN458775 WVI458774:WVJ458775 F524310:G524311 IW524310:IX524311 SS524310:ST524311 ACO524310:ACP524311 AMK524310:AML524311 AWG524310:AWH524311 BGC524310:BGD524311 BPY524310:BPZ524311 BZU524310:BZV524311 CJQ524310:CJR524311 CTM524310:CTN524311 DDI524310:DDJ524311 DNE524310:DNF524311 DXA524310:DXB524311 EGW524310:EGX524311 EQS524310:EQT524311 FAO524310:FAP524311 FKK524310:FKL524311 FUG524310:FUH524311 GEC524310:GED524311 GNY524310:GNZ524311 GXU524310:GXV524311 HHQ524310:HHR524311 HRM524310:HRN524311 IBI524310:IBJ524311 ILE524310:ILF524311 IVA524310:IVB524311 JEW524310:JEX524311 JOS524310:JOT524311 JYO524310:JYP524311 KIK524310:KIL524311 KSG524310:KSH524311 LCC524310:LCD524311 LLY524310:LLZ524311 LVU524310:LVV524311 MFQ524310:MFR524311 MPM524310:MPN524311 MZI524310:MZJ524311 NJE524310:NJF524311 NTA524310:NTB524311 OCW524310:OCX524311 OMS524310:OMT524311 OWO524310:OWP524311 PGK524310:PGL524311 PQG524310:PQH524311 QAC524310:QAD524311 QJY524310:QJZ524311 QTU524310:QTV524311 RDQ524310:RDR524311 RNM524310:RNN524311 RXI524310:RXJ524311 SHE524310:SHF524311 SRA524310:SRB524311 TAW524310:TAX524311 TKS524310:TKT524311 TUO524310:TUP524311 UEK524310:UEL524311 UOG524310:UOH524311 UYC524310:UYD524311 VHY524310:VHZ524311 VRU524310:VRV524311 WBQ524310:WBR524311 WLM524310:WLN524311 WVI524310:WVJ524311 F589846:G589847 IW589846:IX589847 SS589846:ST589847 ACO589846:ACP589847 AMK589846:AML589847 AWG589846:AWH589847 BGC589846:BGD589847 BPY589846:BPZ589847 BZU589846:BZV589847 CJQ589846:CJR589847 CTM589846:CTN589847 DDI589846:DDJ589847 DNE589846:DNF589847 DXA589846:DXB589847 EGW589846:EGX589847 EQS589846:EQT589847 FAO589846:FAP589847 FKK589846:FKL589847 FUG589846:FUH589847 GEC589846:GED589847 GNY589846:GNZ589847 GXU589846:GXV589847 HHQ589846:HHR589847 HRM589846:HRN589847 IBI589846:IBJ589847 ILE589846:ILF589847 IVA589846:IVB589847 JEW589846:JEX589847 JOS589846:JOT589847 JYO589846:JYP589847 KIK589846:KIL589847 KSG589846:KSH589847 LCC589846:LCD589847 LLY589846:LLZ589847 LVU589846:LVV589847 MFQ589846:MFR589847 MPM589846:MPN589847 MZI589846:MZJ589847 NJE589846:NJF589847 NTA589846:NTB589847 OCW589846:OCX589847 OMS589846:OMT589847 OWO589846:OWP589847 PGK589846:PGL589847 PQG589846:PQH589847 QAC589846:QAD589847 QJY589846:QJZ589847 QTU589846:QTV589847 RDQ589846:RDR589847 RNM589846:RNN589847 RXI589846:RXJ589847 SHE589846:SHF589847 SRA589846:SRB589847 TAW589846:TAX589847 TKS589846:TKT589847 TUO589846:TUP589847 UEK589846:UEL589847 UOG589846:UOH589847 UYC589846:UYD589847 VHY589846:VHZ589847 VRU589846:VRV589847 WBQ589846:WBR589847 WLM589846:WLN589847 WVI589846:WVJ589847 F655382:G655383 IW655382:IX655383 SS655382:ST655383 ACO655382:ACP655383 AMK655382:AML655383 AWG655382:AWH655383 BGC655382:BGD655383 BPY655382:BPZ655383 BZU655382:BZV655383 CJQ655382:CJR655383 CTM655382:CTN655383 DDI655382:DDJ655383 DNE655382:DNF655383 DXA655382:DXB655383 EGW655382:EGX655383 EQS655382:EQT655383 FAO655382:FAP655383 FKK655382:FKL655383 FUG655382:FUH655383 GEC655382:GED655383 GNY655382:GNZ655383 GXU655382:GXV655383 HHQ655382:HHR655383 HRM655382:HRN655383 IBI655382:IBJ655383 ILE655382:ILF655383 IVA655382:IVB655383 JEW655382:JEX655383 JOS655382:JOT655383 JYO655382:JYP655383 KIK655382:KIL655383 KSG655382:KSH655383 LCC655382:LCD655383 LLY655382:LLZ655383 LVU655382:LVV655383 MFQ655382:MFR655383 MPM655382:MPN655383 MZI655382:MZJ655383 NJE655382:NJF655383 NTA655382:NTB655383 OCW655382:OCX655383 OMS655382:OMT655383 OWO655382:OWP655383 PGK655382:PGL655383 PQG655382:PQH655383 QAC655382:QAD655383 QJY655382:QJZ655383 QTU655382:QTV655383 RDQ655382:RDR655383 RNM655382:RNN655383 RXI655382:RXJ655383 SHE655382:SHF655383 SRA655382:SRB655383 TAW655382:TAX655383 TKS655382:TKT655383 TUO655382:TUP655383 UEK655382:UEL655383 UOG655382:UOH655383 UYC655382:UYD655383 VHY655382:VHZ655383 VRU655382:VRV655383 WBQ655382:WBR655383 WLM655382:WLN655383 WVI655382:WVJ655383 F720918:G720919 IW720918:IX720919 SS720918:ST720919 ACO720918:ACP720919 AMK720918:AML720919 AWG720918:AWH720919 BGC720918:BGD720919 BPY720918:BPZ720919 BZU720918:BZV720919 CJQ720918:CJR720919 CTM720918:CTN720919 DDI720918:DDJ720919 DNE720918:DNF720919 DXA720918:DXB720919 EGW720918:EGX720919 EQS720918:EQT720919 FAO720918:FAP720919 FKK720918:FKL720919 FUG720918:FUH720919 GEC720918:GED720919 GNY720918:GNZ720919 GXU720918:GXV720919 HHQ720918:HHR720919 HRM720918:HRN720919 IBI720918:IBJ720919 ILE720918:ILF720919 IVA720918:IVB720919 JEW720918:JEX720919 JOS720918:JOT720919 JYO720918:JYP720919 KIK720918:KIL720919 KSG720918:KSH720919 LCC720918:LCD720919 LLY720918:LLZ720919 LVU720918:LVV720919 MFQ720918:MFR720919 MPM720918:MPN720919 MZI720918:MZJ720919 NJE720918:NJF720919 NTA720918:NTB720919 OCW720918:OCX720919 OMS720918:OMT720919 OWO720918:OWP720919 PGK720918:PGL720919 PQG720918:PQH720919 QAC720918:QAD720919 QJY720918:QJZ720919 QTU720918:QTV720919 RDQ720918:RDR720919 RNM720918:RNN720919 RXI720918:RXJ720919 SHE720918:SHF720919 SRA720918:SRB720919 TAW720918:TAX720919 TKS720918:TKT720919 TUO720918:TUP720919 UEK720918:UEL720919 UOG720918:UOH720919 UYC720918:UYD720919 VHY720918:VHZ720919 VRU720918:VRV720919 WBQ720918:WBR720919 WLM720918:WLN720919 WVI720918:WVJ720919 F786454:G786455 IW786454:IX786455 SS786454:ST786455 ACO786454:ACP786455 AMK786454:AML786455 AWG786454:AWH786455 BGC786454:BGD786455 BPY786454:BPZ786455 BZU786454:BZV786455 CJQ786454:CJR786455 CTM786454:CTN786455 DDI786454:DDJ786455 DNE786454:DNF786455 DXA786454:DXB786455 EGW786454:EGX786455 EQS786454:EQT786455 FAO786454:FAP786455 FKK786454:FKL786455 FUG786454:FUH786455 GEC786454:GED786455 GNY786454:GNZ786455 GXU786454:GXV786455 HHQ786454:HHR786455 HRM786454:HRN786455 IBI786454:IBJ786455 ILE786454:ILF786455 IVA786454:IVB786455 JEW786454:JEX786455 JOS786454:JOT786455 JYO786454:JYP786455 KIK786454:KIL786455 KSG786454:KSH786455 LCC786454:LCD786455 LLY786454:LLZ786455 LVU786454:LVV786455 MFQ786454:MFR786455 MPM786454:MPN786455 MZI786454:MZJ786455 NJE786454:NJF786455 NTA786454:NTB786455 OCW786454:OCX786455 OMS786454:OMT786455 OWO786454:OWP786455 PGK786454:PGL786455 PQG786454:PQH786455 QAC786454:QAD786455 QJY786454:QJZ786455 QTU786454:QTV786455 RDQ786454:RDR786455 RNM786454:RNN786455 RXI786454:RXJ786455 SHE786454:SHF786455 SRA786454:SRB786455 TAW786454:TAX786455 TKS786454:TKT786455 TUO786454:TUP786455 UEK786454:UEL786455 UOG786454:UOH786455 UYC786454:UYD786455 VHY786454:VHZ786455 VRU786454:VRV786455 WBQ786454:WBR786455 WLM786454:WLN786455 WVI786454:WVJ786455 F851990:G851991 IW851990:IX851991 SS851990:ST851991 ACO851990:ACP851991 AMK851990:AML851991 AWG851990:AWH851991 BGC851990:BGD851991 BPY851990:BPZ851991 BZU851990:BZV851991 CJQ851990:CJR851991 CTM851990:CTN851991 DDI851990:DDJ851991 DNE851990:DNF851991 DXA851990:DXB851991 EGW851990:EGX851991 EQS851990:EQT851991 FAO851990:FAP851991 FKK851990:FKL851991 FUG851990:FUH851991 GEC851990:GED851991 GNY851990:GNZ851991 GXU851990:GXV851991 HHQ851990:HHR851991 HRM851990:HRN851991 IBI851990:IBJ851991 ILE851990:ILF851991 IVA851990:IVB851991 JEW851990:JEX851991 JOS851990:JOT851991 JYO851990:JYP851991 KIK851990:KIL851991 KSG851990:KSH851991 LCC851990:LCD851991 LLY851990:LLZ851991 LVU851990:LVV851991 MFQ851990:MFR851991 MPM851990:MPN851991 MZI851990:MZJ851991 NJE851990:NJF851991 NTA851990:NTB851991 OCW851990:OCX851991 OMS851990:OMT851991 OWO851990:OWP851991 PGK851990:PGL851991 PQG851990:PQH851991 QAC851990:QAD851991 QJY851990:QJZ851991 QTU851990:QTV851991 RDQ851990:RDR851991 RNM851990:RNN851991 RXI851990:RXJ851991 SHE851990:SHF851991 SRA851990:SRB851991 TAW851990:TAX851991 TKS851990:TKT851991 TUO851990:TUP851991 UEK851990:UEL851991 UOG851990:UOH851991 UYC851990:UYD851991 VHY851990:VHZ851991 VRU851990:VRV851991 WBQ851990:WBR851991 WLM851990:WLN851991 WVI851990:WVJ851991 F917526:G917527 IW917526:IX917527 SS917526:ST917527 ACO917526:ACP917527 AMK917526:AML917527 AWG917526:AWH917527 BGC917526:BGD917527 BPY917526:BPZ917527 BZU917526:BZV917527 CJQ917526:CJR917527 CTM917526:CTN917527 DDI917526:DDJ917527 DNE917526:DNF917527 DXA917526:DXB917527 EGW917526:EGX917527 EQS917526:EQT917527 FAO917526:FAP917527 FKK917526:FKL917527 FUG917526:FUH917527 GEC917526:GED917527 GNY917526:GNZ917527 GXU917526:GXV917527 HHQ917526:HHR917527 HRM917526:HRN917527 IBI917526:IBJ917527 ILE917526:ILF917527 IVA917526:IVB917527 JEW917526:JEX917527 JOS917526:JOT917527 JYO917526:JYP917527 KIK917526:KIL917527 KSG917526:KSH917527 LCC917526:LCD917527 LLY917526:LLZ917527 LVU917526:LVV917527 MFQ917526:MFR917527 MPM917526:MPN917527 MZI917526:MZJ917527 NJE917526:NJF917527 NTA917526:NTB917527 OCW917526:OCX917527 OMS917526:OMT917527 OWO917526:OWP917527 PGK917526:PGL917527 PQG917526:PQH917527 QAC917526:QAD917527 QJY917526:QJZ917527 QTU917526:QTV917527 RDQ917526:RDR917527 RNM917526:RNN917527 RXI917526:RXJ917527 SHE917526:SHF917527 SRA917526:SRB917527 TAW917526:TAX917527 TKS917526:TKT917527 TUO917526:TUP917527 UEK917526:UEL917527 UOG917526:UOH917527 UYC917526:UYD917527 VHY917526:VHZ917527 VRU917526:VRV917527 WBQ917526:WBR917527 WLM917526:WLN917527 WVI917526:WVJ917527 F983062:G983063 IW983062:IX983063 SS983062:ST983063 ACO983062:ACP983063 AMK983062:AML983063 AWG983062:AWH983063 BGC983062:BGD983063 BPY983062:BPZ983063 BZU983062:BZV983063 CJQ983062:CJR983063 CTM983062:CTN983063 DDI983062:DDJ983063 DNE983062:DNF983063 DXA983062:DXB983063 EGW983062:EGX983063 EQS983062:EQT983063 FAO983062:FAP983063 FKK983062:FKL983063 FUG983062:FUH983063 GEC983062:GED983063 GNY983062:GNZ983063 GXU983062:GXV983063 HHQ983062:HHR983063 HRM983062:HRN983063 IBI983062:IBJ983063 ILE983062:ILF983063 IVA983062:IVB983063 JEW983062:JEX983063 JOS983062:JOT983063 JYO983062:JYP983063 KIK983062:KIL983063 KSG983062:KSH983063 LCC983062:LCD983063 LLY983062:LLZ983063 LVU983062:LVV983063 MFQ983062:MFR983063 MPM983062:MPN983063 MZI983062:MZJ983063 NJE983062:NJF983063 NTA983062:NTB983063 OCW983062:OCX983063 OMS983062:OMT983063 OWO983062:OWP983063 PGK983062:PGL983063 PQG983062:PQH983063 QAC983062:QAD983063 QJY983062:QJZ983063 QTU983062:QTV983063 RDQ983062:RDR983063 RNM983062:RNN983063 RXI983062:RXJ983063 SHE983062:SHF983063 SRA983062:SRB983063 TAW983062:TAX983063 TKS983062:TKT983063 TUO983062:TUP983063 UEK983062:UEL983063 UOG983062:UOH983063 UYC983062:UYD983063 VHY983062:VHZ983063 VRU983062:VRV983063 WBQ983062:WBR983063 WLM983062:WLN983063 WVI983062:WVJ983063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IZ65556 SV65556 ACR65556 AMN65556 AWJ65556 BGF65556 BQB65556 BZX65556 CJT65556 CTP65556 DDL65556 DNH65556 DXD65556 EGZ65556 EQV65556 FAR65556 FKN65556 FUJ65556 GEF65556 GOB65556 GXX65556 HHT65556 HRP65556 IBL65556 ILH65556 IVD65556 JEZ65556 JOV65556 JYR65556 KIN65556 KSJ65556 LCF65556 LMB65556 LVX65556 MFT65556 MPP65556 MZL65556 NJH65556 NTD65556 OCZ65556 OMV65556 OWR65556 PGN65556 PQJ65556 QAF65556 QKB65556 QTX65556 RDT65556 RNP65556 RXL65556 SHH65556 SRD65556 TAZ65556 TKV65556 TUR65556 UEN65556 UOJ65556 UYF65556 VIB65556 VRX65556 WBT65556 WLP65556 WVL65556 IZ131092 SV131092 ACR131092 AMN131092 AWJ131092 BGF131092 BQB131092 BZX131092 CJT131092 CTP131092 DDL131092 DNH131092 DXD131092 EGZ131092 EQV131092 FAR131092 FKN131092 FUJ131092 GEF131092 GOB131092 GXX131092 HHT131092 HRP131092 IBL131092 ILH131092 IVD131092 JEZ131092 JOV131092 JYR131092 KIN131092 KSJ131092 LCF131092 LMB131092 LVX131092 MFT131092 MPP131092 MZL131092 NJH131092 NTD131092 OCZ131092 OMV131092 OWR131092 PGN131092 PQJ131092 QAF131092 QKB131092 QTX131092 RDT131092 RNP131092 RXL131092 SHH131092 SRD131092 TAZ131092 TKV131092 TUR131092 UEN131092 UOJ131092 UYF131092 VIB131092 VRX131092 WBT131092 WLP131092 WVL131092 IZ196628 SV196628 ACR196628 AMN196628 AWJ196628 BGF196628 BQB196628 BZX196628 CJT196628 CTP196628 DDL196628 DNH196628 DXD196628 EGZ196628 EQV196628 FAR196628 FKN196628 FUJ196628 GEF196628 GOB196628 GXX196628 HHT196628 HRP196628 IBL196628 ILH196628 IVD196628 JEZ196628 JOV196628 JYR196628 KIN196628 KSJ196628 LCF196628 LMB196628 LVX196628 MFT196628 MPP196628 MZL196628 NJH196628 NTD196628 OCZ196628 OMV196628 OWR196628 PGN196628 PQJ196628 QAF196628 QKB196628 QTX196628 RDT196628 RNP196628 RXL196628 SHH196628 SRD196628 TAZ196628 TKV196628 TUR196628 UEN196628 UOJ196628 UYF196628 VIB196628 VRX196628 WBT196628 WLP196628 WVL196628 IZ262164 SV262164 ACR262164 AMN262164 AWJ262164 BGF262164 BQB262164 BZX262164 CJT262164 CTP262164 DDL262164 DNH262164 DXD262164 EGZ262164 EQV262164 FAR262164 FKN262164 FUJ262164 GEF262164 GOB262164 GXX262164 HHT262164 HRP262164 IBL262164 ILH262164 IVD262164 JEZ262164 JOV262164 JYR262164 KIN262164 KSJ262164 LCF262164 LMB262164 LVX262164 MFT262164 MPP262164 MZL262164 NJH262164 NTD262164 OCZ262164 OMV262164 OWR262164 PGN262164 PQJ262164 QAF262164 QKB262164 QTX262164 RDT262164 RNP262164 RXL262164 SHH262164 SRD262164 TAZ262164 TKV262164 TUR262164 UEN262164 UOJ262164 UYF262164 VIB262164 VRX262164 WBT262164 WLP262164 WVL262164 IZ327700 SV327700 ACR327700 AMN327700 AWJ327700 BGF327700 BQB327700 BZX327700 CJT327700 CTP327700 DDL327700 DNH327700 DXD327700 EGZ327700 EQV327700 FAR327700 FKN327700 FUJ327700 GEF327700 GOB327700 GXX327700 HHT327700 HRP327700 IBL327700 ILH327700 IVD327700 JEZ327700 JOV327700 JYR327700 KIN327700 KSJ327700 LCF327700 LMB327700 LVX327700 MFT327700 MPP327700 MZL327700 NJH327700 NTD327700 OCZ327700 OMV327700 OWR327700 PGN327700 PQJ327700 QAF327700 QKB327700 QTX327700 RDT327700 RNP327700 RXL327700 SHH327700 SRD327700 TAZ327700 TKV327700 TUR327700 UEN327700 UOJ327700 UYF327700 VIB327700 VRX327700 WBT327700 WLP327700 WVL327700 IZ393236 SV393236 ACR393236 AMN393236 AWJ393236 BGF393236 BQB393236 BZX393236 CJT393236 CTP393236 DDL393236 DNH393236 DXD393236 EGZ393236 EQV393236 FAR393236 FKN393236 FUJ393236 GEF393236 GOB393236 GXX393236 HHT393236 HRP393236 IBL393236 ILH393236 IVD393236 JEZ393236 JOV393236 JYR393236 KIN393236 KSJ393236 LCF393236 LMB393236 LVX393236 MFT393236 MPP393236 MZL393236 NJH393236 NTD393236 OCZ393236 OMV393236 OWR393236 PGN393236 PQJ393236 QAF393236 QKB393236 QTX393236 RDT393236 RNP393236 RXL393236 SHH393236 SRD393236 TAZ393236 TKV393236 TUR393236 UEN393236 UOJ393236 UYF393236 VIB393236 VRX393236 WBT393236 WLP393236 WVL393236 IZ458772 SV458772 ACR458772 AMN458772 AWJ458772 BGF458772 BQB458772 BZX458772 CJT458772 CTP458772 DDL458772 DNH458772 DXD458772 EGZ458772 EQV458772 FAR458772 FKN458772 FUJ458772 GEF458772 GOB458772 GXX458772 HHT458772 HRP458772 IBL458772 ILH458772 IVD458772 JEZ458772 JOV458772 JYR458772 KIN458772 KSJ458772 LCF458772 LMB458772 LVX458772 MFT458772 MPP458772 MZL458772 NJH458772 NTD458772 OCZ458772 OMV458772 OWR458772 PGN458772 PQJ458772 QAF458772 QKB458772 QTX458772 RDT458772 RNP458772 RXL458772 SHH458772 SRD458772 TAZ458772 TKV458772 TUR458772 UEN458772 UOJ458772 UYF458772 VIB458772 VRX458772 WBT458772 WLP458772 WVL458772 IZ524308 SV524308 ACR524308 AMN524308 AWJ524308 BGF524308 BQB524308 BZX524308 CJT524308 CTP524308 DDL524308 DNH524308 DXD524308 EGZ524308 EQV524308 FAR524308 FKN524308 FUJ524308 GEF524308 GOB524308 GXX524308 HHT524308 HRP524308 IBL524308 ILH524308 IVD524308 JEZ524308 JOV524308 JYR524308 KIN524308 KSJ524308 LCF524308 LMB524308 LVX524308 MFT524308 MPP524308 MZL524308 NJH524308 NTD524308 OCZ524308 OMV524308 OWR524308 PGN524308 PQJ524308 QAF524308 QKB524308 QTX524308 RDT524308 RNP524308 RXL524308 SHH524308 SRD524308 TAZ524308 TKV524308 TUR524308 UEN524308 UOJ524308 UYF524308 VIB524308 VRX524308 WBT524308 WLP524308 WVL524308 IZ589844 SV589844 ACR589844 AMN589844 AWJ589844 BGF589844 BQB589844 BZX589844 CJT589844 CTP589844 DDL589844 DNH589844 DXD589844 EGZ589844 EQV589844 FAR589844 FKN589844 FUJ589844 GEF589844 GOB589844 GXX589844 HHT589844 HRP589844 IBL589844 ILH589844 IVD589844 JEZ589844 JOV589844 JYR589844 KIN589844 KSJ589844 LCF589844 LMB589844 LVX589844 MFT589844 MPP589844 MZL589844 NJH589844 NTD589844 OCZ589844 OMV589844 OWR589844 PGN589844 PQJ589844 QAF589844 QKB589844 QTX589844 RDT589844 RNP589844 RXL589844 SHH589844 SRD589844 TAZ589844 TKV589844 TUR589844 UEN589844 UOJ589844 UYF589844 VIB589844 VRX589844 WBT589844 WLP589844 WVL589844 IZ655380 SV655380 ACR655380 AMN655380 AWJ655380 BGF655380 BQB655380 BZX655380 CJT655380 CTP655380 DDL655380 DNH655380 DXD655380 EGZ655380 EQV655380 FAR655380 FKN655380 FUJ655380 GEF655380 GOB655380 GXX655380 HHT655380 HRP655380 IBL655380 ILH655380 IVD655380 JEZ655380 JOV655380 JYR655380 KIN655380 KSJ655380 LCF655380 LMB655380 LVX655380 MFT655380 MPP655380 MZL655380 NJH655380 NTD655380 OCZ655380 OMV655380 OWR655380 PGN655380 PQJ655380 QAF655380 QKB655380 QTX655380 RDT655380 RNP655380 RXL655380 SHH655380 SRD655380 TAZ655380 TKV655380 TUR655380 UEN655380 UOJ655380 UYF655380 VIB655380 VRX655380 WBT655380 WLP655380 WVL655380 IZ720916 SV720916 ACR720916 AMN720916 AWJ720916 BGF720916 BQB720916 BZX720916 CJT720916 CTP720916 DDL720916 DNH720916 DXD720916 EGZ720916 EQV720916 FAR720916 FKN720916 FUJ720916 GEF720916 GOB720916 GXX720916 HHT720916 HRP720916 IBL720916 ILH720916 IVD720916 JEZ720916 JOV720916 JYR720916 KIN720916 KSJ720916 LCF720916 LMB720916 LVX720916 MFT720916 MPP720916 MZL720916 NJH720916 NTD720916 OCZ720916 OMV720916 OWR720916 PGN720916 PQJ720916 QAF720916 QKB720916 QTX720916 RDT720916 RNP720916 RXL720916 SHH720916 SRD720916 TAZ720916 TKV720916 TUR720916 UEN720916 UOJ720916 UYF720916 VIB720916 VRX720916 WBT720916 WLP720916 WVL720916 IZ786452 SV786452 ACR786452 AMN786452 AWJ786452 BGF786452 BQB786452 BZX786452 CJT786452 CTP786452 DDL786452 DNH786452 DXD786452 EGZ786452 EQV786452 FAR786452 FKN786452 FUJ786452 GEF786452 GOB786452 GXX786452 HHT786452 HRP786452 IBL786452 ILH786452 IVD786452 JEZ786452 JOV786452 JYR786452 KIN786452 KSJ786452 LCF786452 LMB786452 LVX786452 MFT786452 MPP786452 MZL786452 NJH786452 NTD786452 OCZ786452 OMV786452 OWR786452 PGN786452 PQJ786452 QAF786452 QKB786452 QTX786452 RDT786452 RNP786452 RXL786452 SHH786452 SRD786452 TAZ786452 TKV786452 TUR786452 UEN786452 UOJ786452 UYF786452 VIB786452 VRX786452 WBT786452 WLP786452 WVL786452 IZ851988 SV851988 ACR851988 AMN851988 AWJ851988 BGF851988 BQB851988 BZX851988 CJT851988 CTP851988 DDL851988 DNH851988 DXD851988 EGZ851988 EQV851988 FAR851988 FKN851988 FUJ851988 GEF851988 GOB851988 GXX851988 HHT851988 HRP851988 IBL851988 ILH851988 IVD851988 JEZ851988 JOV851988 JYR851988 KIN851988 KSJ851988 LCF851988 LMB851988 LVX851988 MFT851988 MPP851988 MZL851988 NJH851988 NTD851988 OCZ851988 OMV851988 OWR851988 PGN851988 PQJ851988 QAF851988 QKB851988 QTX851988 RDT851988 RNP851988 RXL851988 SHH851988 SRD851988 TAZ851988 TKV851988 TUR851988 UEN851988 UOJ851988 UYF851988 VIB851988 VRX851988 WBT851988 WLP851988 WVL851988 IZ917524 SV917524 ACR917524 AMN917524 AWJ917524 BGF917524 BQB917524 BZX917524 CJT917524 CTP917524 DDL917524 DNH917524 DXD917524 EGZ917524 EQV917524 FAR917524 FKN917524 FUJ917524 GEF917524 GOB917524 GXX917524 HHT917524 HRP917524 IBL917524 ILH917524 IVD917524 JEZ917524 JOV917524 JYR917524 KIN917524 KSJ917524 LCF917524 LMB917524 LVX917524 MFT917524 MPP917524 MZL917524 NJH917524 NTD917524 OCZ917524 OMV917524 OWR917524 PGN917524 PQJ917524 QAF917524 QKB917524 QTX917524 RDT917524 RNP917524 RXL917524 SHH917524 SRD917524 TAZ917524 TKV917524 TUR917524 UEN917524 UOJ917524 UYF917524 VIB917524 VRX917524 WBT917524 WLP917524 WVL917524 IZ983060 SV983060 ACR983060 AMN983060 AWJ983060 BGF983060 BQB983060 BZX983060 CJT983060 CTP983060 DDL983060 DNH983060 DXD983060 EGZ983060 EQV983060 FAR983060 FKN983060 FUJ983060 GEF983060 GOB983060 GXX983060 HHT983060 HRP983060 IBL983060 ILH983060 IVD983060 JEZ983060 JOV983060 JYR983060 KIN983060 KSJ983060 LCF983060 LMB983060 LVX983060 MFT983060 MPP983060 MZL983060 NJH983060 NTD983060 OCZ983060 OMV983060 OWR983060 PGN983060 PQJ983060 QAF983060 QKB983060 QTX983060 RDT983060 RNP983060 RXL983060 SHH983060 SRD983060 TAZ983060 TKV983060 TUR983060 UEN983060 UOJ983060 UYF983060 VIB983060 VRX983060 WBT983060" xr:uid="{00000000-0002-0000-0000-000002000000}"/>
    <dataValidation errorStyle="warning" allowBlank="1" showInputMessage="1" errorTitle="State" promptTitle="State" prompt="Enter the state abbreviation into this cell." sqref="WVH983072 IV13 SR13 ACN13 AMJ13 AWF13 BGB13 BPX13 BZT13 CJP13 CTL13 DDH13 DND13 DWZ13 EGV13 EQR13 FAN13 FKJ13 FUF13 GEB13 GNX13 GXT13 HHP13 HRL13 IBH13 ILD13 IUZ13 JEV13 JOR13 JYN13 KIJ13 KSF13 LCB13 LLX13 LVT13 MFP13 MPL13 MZH13 NJD13 NSZ13 OCV13 OMR13 OWN13 PGJ13 PQF13 QAB13 QJX13 QTT13 RDP13 RNL13 RXH13 SHD13 SQZ13 TAV13 TKR13 TUN13 UEJ13 UOF13 UYB13 VHX13 VRT13 WBP13 WLL13 WVH13 E65568 IV65568 SR65568 ACN65568 AMJ65568 AWF65568 BGB65568 BPX65568 BZT65568 CJP65568 CTL65568 DDH65568 DND65568 DWZ65568 EGV65568 EQR65568 FAN65568 FKJ65568 FUF65568 GEB65568 GNX65568 GXT65568 HHP65568 HRL65568 IBH65568 ILD65568 IUZ65568 JEV65568 JOR65568 JYN65568 KIJ65568 KSF65568 LCB65568 LLX65568 LVT65568 MFP65568 MPL65568 MZH65568 NJD65568 NSZ65568 OCV65568 OMR65568 OWN65568 PGJ65568 PQF65568 QAB65568 QJX65568 QTT65568 RDP65568 RNL65568 RXH65568 SHD65568 SQZ65568 TAV65568 TKR65568 TUN65568 UEJ65568 UOF65568 UYB65568 VHX65568 VRT65568 WBP65568 WLL65568 WVH65568 E131104 IV131104 SR131104 ACN131104 AMJ131104 AWF131104 BGB131104 BPX131104 BZT131104 CJP131104 CTL131104 DDH131104 DND131104 DWZ131104 EGV131104 EQR131104 FAN131104 FKJ131104 FUF131104 GEB131104 GNX131104 GXT131104 HHP131104 HRL131104 IBH131104 ILD131104 IUZ131104 JEV131104 JOR131104 JYN131104 KIJ131104 KSF131104 LCB131104 LLX131104 LVT131104 MFP131104 MPL131104 MZH131104 NJD131104 NSZ131104 OCV131104 OMR131104 OWN131104 PGJ131104 PQF131104 QAB131104 QJX131104 QTT131104 RDP131104 RNL131104 RXH131104 SHD131104 SQZ131104 TAV131104 TKR131104 TUN131104 UEJ131104 UOF131104 UYB131104 VHX131104 VRT131104 WBP131104 WLL131104 WVH131104 E196640 IV196640 SR196640 ACN196640 AMJ196640 AWF196640 BGB196640 BPX196640 BZT196640 CJP196640 CTL196640 DDH196640 DND196640 DWZ196640 EGV196640 EQR196640 FAN196640 FKJ196640 FUF196640 GEB196640 GNX196640 GXT196640 HHP196640 HRL196640 IBH196640 ILD196640 IUZ196640 JEV196640 JOR196640 JYN196640 KIJ196640 KSF196640 LCB196640 LLX196640 LVT196640 MFP196640 MPL196640 MZH196640 NJD196640 NSZ196640 OCV196640 OMR196640 OWN196640 PGJ196640 PQF196640 QAB196640 QJX196640 QTT196640 RDP196640 RNL196640 RXH196640 SHD196640 SQZ196640 TAV196640 TKR196640 TUN196640 UEJ196640 UOF196640 UYB196640 VHX196640 VRT196640 WBP196640 WLL196640 WVH196640 E262176 IV262176 SR262176 ACN262176 AMJ262176 AWF262176 BGB262176 BPX262176 BZT262176 CJP262176 CTL262176 DDH262176 DND262176 DWZ262176 EGV262176 EQR262176 FAN262176 FKJ262176 FUF262176 GEB262176 GNX262176 GXT262176 HHP262176 HRL262176 IBH262176 ILD262176 IUZ262176 JEV262176 JOR262176 JYN262176 KIJ262176 KSF262176 LCB262176 LLX262176 LVT262176 MFP262176 MPL262176 MZH262176 NJD262176 NSZ262176 OCV262176 OMR262176 OWN262176 PGJ262176 PQF262176 QAB262176 QJX262176 QTT262176 RDP262176 RNL262176 RXH262176 SHD262176 SQZ262176 TAV262176 TKR262176 TUN262176 UEJ262176 UOF262176 UYB262176 VHX262176 VRT262176 WBP262176 WLL262176 WVH262176 E327712 IV327712 SR327712 ACN327712 AMJ327712 AWF327712 BGB327712 BPX327712 BZT327712 CJP327712 CTL327712 DDH327712 DND327712 DWZ327712 EGV327712 EQR327712 FAN327712 FKJ327712 FUF327712 GEB327712 GNX327712 GXT327712 HHP327712 HRL327712 IBH327712 ILD327712 IUZ327712 JEV327712 JOR327712 JYN327712 KIJ327712 KSF327712 LCB327712 LLX327712 LVT327712 MFP327712 MPL327712 MZH327712 NJD327712 NSZ327712 OCV327712 OMR327712 OWN327712 PGJ327712 PQF327712 QAB327712 QJX327712 QTT327712 RDP327712 RNL327712 RXH327712 SHD327712 SQZ327712 TAV327712 TKR327712 TUN327712 UEJ327712 UOF327712 UYB327712 VHX327712 VRT327712 WBP327712 WLL327712 WVH327712 E393248 IV393248 SR393248 ACN393248 AMJ393248 AWF393248 BGB393248 BPX393248 BZT393248 CJP393248 CTL393248 DDH393248 DND393248 DWZ393248 EGV393248 EQR393248 FAN393248 FKJ393248 FUF393248 GEB393248 GNX393248 GXT393248 HHP393248 HRL393248 IBH393248 ILD393248 IUZ393248 JEV393248 JOR393248 JYN393248 KIJ393248 KSF393248 LCB393248 LLX393248 LVT393248 MFP393248 MPL393248 MZH393248 NJD393248 NSZ393248 OCV393248 OMR393248 OWN393248 PGJ393248 PQF393248 QAB393248 QJX393248 QTT393248 RDP393248 RNL393248 RXH393248 SHD393248 SQZ393248 TAV393248 TKR393248 TUN393248 UEJ393248 UOF393248 UYB393248 VHX393248 VRT393248 WBP393248 WLL393248 WVH393248 E458784 IV458784 SR458784 ACN458784 AMJ458784 AWF458784 BGB458784 BPX458784 BZT458784 CJP458784 CTL458784 DDH458784 DND458784 DWZ458784 EGV458784 EQR458784 FAN458784 FKJ458784 FUF458784 GEB458784 GNX458784 GXT458784 HHP458784 HRL458784 IBH458784 ILD458784 IUZ458784 JEV458784 JOR458784 JYN458784 KIJ458784 KSF458784 LCB458784 LLX458784 LVT458784 MFP458784 MPL458784 MZH458784 NJD458784 NSZ458784 OCV458784 OMR458784 OWN458784 PGJ458784 PQF458784 QAB458784 QJX458784 QTT458784 RDP458784 RNL458784 RXH458784 SHD458784 SQZ458784 TAV458784 TKR458784 TUN458784 UEJ458784 UOF458784 UYB458784 VHX458784 VRT458784 WBP458784 WLL458784 WVH458784 E524320 IV524320 SR524320 ACN524320 AMJ524320 AWF524320 BGB524320 BPX524320 BZT524320 CJP524320 CTL524320 DDH524320 DND524320 DWZ524320 EGV524320 EQR524320 FAN524320 FKJ524320 FUF524320 GEB524320 GNX524320 GXT524320 HHP524320 HRL524320 IBH524320 ILD524320 IUZ524320 JEV524320 JOR524320 JYN524320 KIJ524320 KSF524320 LCB524320 LLX524320 LVT524320 MFP524320 MPL524320 MZH524320 NJD524320 NSZ524320 OCV524320 OMR524320 OWN524320 PGJ524320 PQF524320 QAB524320 QJX524320 QTT524320 RDP524320 RNL524320 RXH524320 SHD524320 SQZ524320 TAV524320 TKR524320 TUN524320 UEJ524320 UOF524320 UYB524320 VHX524320 VRT524320 WBP524320 WLL524320 WVH524320 E589856 IV589856 SR589856 ACN589856 AMJ589856 AWF589856 BGB589856 BPX589856 BZT589856 CJP589856 CTL589856 DDH589856 DND589856 DWZ589856 EGV589856 EQR589856 FAN589856 FKJ589856 FUF589856 GEB589856 GNX589856 GXT589856 HHP589856 HRL589856 IBH589856 ILD589856 IUZ589856 JEV589856 JOR589856 JYN589856 KIJ589856 KSF589856 LCB589856 LLX589856 LVT589856 MFP589856 MPL589856 MZH589856 NJD589856 NSZ589856 OCV589856 OMR589856 OWN589856 PGJ589856 PQF589856 QAB589856 QJX589856 QTT589856 RDP589856 RNL589856 RXH589856 SHD589856 SQZ589856 TAV589856 TKR589856 TUN589856 UEJ589856 UOF589856 UYB589856 VHX589856 VRT589856 WBP589856 WLL589856 WVH589856 E655392 IV655392 SR655392 ACN655392 AMJ655392 AWF655392 BGB655392 BPX655392 BZT655392 CJP655392 CTL655392 DDH655392 DND655392 DWZ655392 EGV655392 EQR655392 FAN655392 FKJ655392 FUF655392 GEB655392 GNX655392 GXT655392 HHP655392 HRL655392 IBH655392 ILD655392 IUZ655392 JEV655392 JOR655392 JYN655392 KIJ655392 KSF655392 LCB655392 LLX655392 LVT655392 MFP655392 MPL655392 MZH655392 NJD655392 NSZ655392 OCV655392 OMR655392 OWN655392 PGJ655392 PQF655392 QAB655392 QJX655392 QTT655392 RDP655392 RNL655392 RXH655392 SHD655392 SQZ655392 TAV655392 TKR655392 TUN655392 UEJ655392 UOF655392 UYB655392 VHX655392 VRT655392 WBP655392 WLL655392 WVH655392 E720928 IV720928 SR720928 ACN720928 AMJ720928 AWF720928 BGB720928 BPX720928 BZT720928 CJP720928 CTL720928 DDH720928 DND720928 DWZ720928 EGV720928 EQR720928 FAN720928 FKJ720928 FUF720928 GEB720928 GNX720928 GXT720928 HHP720928 HRL720928 IBH720928 ILD720928 IUZ720928 JEV720928 JOR720928 JYN720928 KIJ720928 KSF720928 LCB720928 LLX720928 LVT720928 MFP720928 MPL720928 MZH720928 NJD720928 NSZ720928 OCV720928 OMR720928 OWN720928 PGJ720928 PQF720928 QAB720928 QJX720928 QTT720928 RDP720928 RNL720928 RXH720928 SHD720928 SQZ720928 TAV720928 TKR720928 TUN720928 UEJ720928 UOF720928 UYB720928 VHX720928 VRT720928 WBP720928 WLL720928 WVH720928 E786464 IV786464 SR786464 ACN786464 AMJ786464 AWF786464 BGB786464 BPX786464 BZT786464 CJP786464 CTL786464 DDH786464 DND786464 DWZ786464 EGV786464 EQR786464 FAN786464 FKJ786464 FUF786464 GEB786464 GNX786464 GXT786464 HHP786464 HRL786464 IBH786464 ILD786464 IUZ786464 JEV786464 JOR786464 JYN786464 KIJ786464 KSF786464 LCB786464 LLX786464 LVT786464 MFP786464 MPL786464 MZH786464 NJD786464 NSZ786464 OCV786464 OMR786464 OWN786464 PGJ786464 PQF786464 QAB786464 QJX786464 QTT786464 RDP786464 RNL786464 RXH786464 SHD786464 SQZ786464 TAV786464 TKR786464 TUN786464 UEJ786464 UOF786464 UYB786464 VHX786464 VRT786464 WBP786464 WLL786464 WVH786464 E852000 IV852000 SR852000 ACN852000 AMJ852000 AWF852000 BGB852000 BPX852000 BZT852000 CJP852000 CTL852000 DDH852000 DND852000 DWZ852000 EGV852000 EQR852000 FAN852000 FKJ852000 FUF852000 GEB852000 GNX852000 GXT852000 HHP852000 HRL852000 IBH852000 ILD852000 IUZ852000 JEV852000 JOR852000 JYN852000 KIJ852000 KSF852000 LCB852000 LLX852000 LVT852000 MFP852000 MPL852000 MZH852000 NJD852000 NSZ852000 OCV852000 OMR852000 OWN852000 PGJ852000 PQF852000 QAB852000 QJX852000 QTT852000 RDP852000 RNL852000 RXH852000 SHD852000 SQZ852000 TAV852000 TKR852000 TUN852000 UEJ852000 UOF852000 UYB852000 VHX852000 VRT852000 WBP852000 WLL852000 WVH852000 E917536 IV917536 SR917536 ACN917536 AMJ917536 AWF917536 BGB917536 BPX917536 BZT917536 CJP917536 CTL917536 DDH917536 DND917536 DWZ917536 EGV917536 EQR917536 FAN917536 FKJ917536 FUF917536 GEB917536 GNX917536 GXT917536 HHP917536 HRL917536 IBH917536 ILD917536 IUZ917536 JEV917536 JOR917536 JYN917536 KIJ917536 KSF917536 LCB917536 LLX917536 LVT917536 MFP917536 MPL917536 MZH917536 NJD917536 NSZ917536 OCV917536 OMR917536 OWN917536 PGJ917536 PQF917536 QAB917536 QJX917536 QTT917536 RDP917536 RNL917536 RXH917536 SHD917536 SQZ917536 TAV917536 TKR917536 TUN917536 UEJ917536 UOF917536 UYB917536 VHX917536 VRT917536 WBP917536 WLL917536 WVH917536 E983072 IV983072 SR983072 ACN983072 AMJ983072 AWF983072 BGB983072 BPX983072 BZT983072 CJP983072 CTL983072 DDH983072 DND983072 DWZ983072 EGV983072 EQR983072 FAN983072 FKJ983072 FUF983072 GEB983072 GNX983072 GXT983072 HHP983072 HRL983072 IBH983072 ILD983072 IUZ983072 JEV983072 JOR983072 JYN983072 KIJ983072 KSF983072 LCB983072 LLX983072 LVT983072 MFP983072 MPL983072 MZH983072 NJD983072 NSZ983072 OCV983072 OMR983072 OWN983072 PGJ983072 PQF983072 QAB983072 QJX983072 QTT983072 RDP983072 RNL983072 RXH983072 SHD983072 SQZ983072 TAV983072 TKR983072 TUN983072 UEJ983072 UOF983072 UYB983072 VHX983072 VRT983072 WBP983072 WLL983072" xr:uid="{00000000-0002-0000-0000-000003000000}"/>
    <dataValidation allowBlank="1" showInputMessage="1" showErrorMessage="1" promptTitle="Name" prompt="Enter the customer's name as it appears on the credit card." sqref="WVF983111:WVH983111 IT71:IV71 SP71:SR71 ACL71:ACN71 AMH71:AMJ71 AWD71:AWF71 BFZ71:BGB71 BPV71:BPX71 BZR71:BZT71 CJN71:CJP71 CTJ71:CTL71 DDF71:DDH71 DNB71:DND71 DWX71:DWZ71 EGT71:EGV71 EQP71:EQR71 FAL71:FAN71 FKH71:FKJ71 FUD71:FUF71 GDZ71:GEB71 GNV71:GNX71 GXR71:GXT71 HHN71:HHP71 HRJ71:HRL71 IBF71:IBH71 ILB71:ILD71 IUX71:IUZ71 JET71:JEV71 JOP71:JOR71 JYL71:JYN71 KIH71:KIJ71 KSD71:KSF71 LBZ71:LCB71 LLV71:LLX71 LVR71:LVT71 MFN71:MFP71 MPJ71:MPL71 MZF71:MZH71 NJB71:NJD71 NSX71:NSZ71 OCT71:OCV71 OMP71:OMR71 OWL71:OWN71 PGH71:PGJ71 PQD71:PQF71 PZZ71:QAB71 QJV71:QJX71 QTR71:QTT71 RDN71:RDP71 RNJ71:RNL71 RXF71:RXH71 SHB71:SHD71 SQX71:SQZ71 TAT71:TAV71 TKP71:TKR71 TUL71:TUN71 UEH71:UEJ71 UOD71:UOF71 UXZ71:UYB71 VHV71:VHX71 VRR71:VRT71 WBN71:WBP71 WLJ71:WLL71 WVF71:WVH71 C65607:E65607 IT65607:IV65607 SP65607:SR65607 ACL65607:ACN65607 AMH65607:AMJ65607 AWD65607:AWF65607 BFZ65607:BGB65607 BPV65607:BPX65607 BZR65607:BZT65607 CJN65607:CJP65607 CTJ65607:CTL65607 DDF65607:DDH65607 DNB65607:DND65607 DWX65607:DWZ65607 EGT65607:EGV65607 EQP65607:EQR65607 FAL65607:FAN65607 FKH65607:FKJ65607 FUD65607:FUF65607 GDZ65607:GEB65607 GNV65607:GNX65607 GXR65607:GXT65607 HHN65607:HHP65607 HRJ65607:HRL65607 IBF65607:IBH65607 ILB65607:ILD65607 IUX65607:IUZ65607 JET65607:JEV65607 JOP65607:JOR65607 JYL65607:JYN65607 KIH65607:KIJ65607 KSD65607:KSF65607 LBZ65607:LCB65607 LLV65607:LLX65607 LVR65607:LVT65607 MFN65607:MFP65607 MPJ65607:MPL65607 MZF65607:MZH65607 NJB65607:NJD65607 NSX65607:NSZ65607 OCT65607:OCV65607 OMP65607:OMR65607 OWL65607:OWN65607 PGH65607:PGJ65607 PQD65607:PQF65607 PZZ65607:QAB65607 QJV65607:QJX65607 QTR65607:QTT65607 RDN65607:RDP65607 RNJ65607:RNL65607 RXF65607:RXH65607 SHB65607:SHD65607 SQX65607:SQZ65607 TAT65607:TAV65607 TKP65607:TKR65607 TUL65607:TUN65607 UEH65607:UEJ65607 UOD65607:UOF65607 UXZ65607:UYB65607 VHV65607:VHX65607 VRR65607:VRT65607 WBN65607:WBP65607 WLJ65607:WLL65607 WVF65607:WVH65607 C131143:E131143 IT131143:IV131143 SP131143:SR131143 ACL131143:ACN131143 AMH131143:AMJ131143 AWD131143:AWF131143 BFZ131143:BGB131143 BPV131143:BPX131143 BZR131143:BZT131143 CJN131143:CJP131143 CTJ131143:CTL131143 DDF131143:DDH131143 DNB131143:DND131143 DWX131143:DWZ131143 EGT131143:EGV131143 EQP131143:EQR131143 FAL131143:FAN131143 FKH131143:FKJ131143 FUD131143:FUF131143 GDZ131143:GEB131143 GNV131143:GNX131143 GXR131143:GXT131143 HHN131143:HHP131143 HRJ131143:HRL131143 IBF131143:IBH131143 ILB131143:ILD131143 IUX131143:IUZ131143 JET131143:JEV131143 JOP131143:JOR131143 JYL131143:JYN131143 KIH131143:KIJ131143 KSD131143:KSF131143 LBZ131143:LCB131143 LLV131143:LLX131143 LVR131143:LVT131143 MFN131143:MFP131143 MPJ131143:MPL131143 MZF131143:MZH131143 NJB131143:NJD131143 NSX131143:NSZ131143 OCT131143:OCV131143 OMP131143:OMR131143 OWL131143:OWN131143 PGH131143:PGJ131143 PQD131143:PQF131143 PZZ131143:QAB131143 QJV131143:QJX131143 QTR131143:QTT131143 RDN131143:RDP131143 RNJ131143:RNL131143 RXF131143:RXH131143 SHB131143:SHD131143 SQX131143:SQZ131143 TAT131143:TAV131143 TKP131143:TKR131143 TUL131143:TUN131143 UEH131143:UEJ131143 UOD131143:UOF131143 UXZ131143:UYB131143 VHV131143:VHX131143 VRR131143:VRT131143 WBN131143:WBP131143 WLJ131143:WLL131143 WVF131143:WVH131143 C196679:E196679 IT196679:IV196679 SP196679:SR196679 ACL196679:ACN196679 AMH196679:AMJ196679 AWD196679:AWF196679 BFZ196679:BGB196679 BPV196679:BPX196679 BZR196679:BZT196679 CJN196679:CJP196679 CTJ196679:CTL196679 DDF196679:DDH196679 DNB196679:DND196679 DWX196679:DWZ196679 EGT196679:EGV196679 EQP196679:EQR196679 FAL196679:FAN196679 FKH196679:FKJ196679 FUD196679:FUF196679 GDZ196679:GEB196679 GNV196679:GNX196679 GXR196679:GXT196679 HHN196679:HHP196679 HRJ196679:HRL196679 IBF196679:IBH196679 ILB196679:ILD196679 IUX196679:IUZ196679 JET196679:JEV196679 JOP196679:JOR196679 JYL196679:JYN196679 KIH196679:KIJ196679 KSD196679:KSF196679 LBZ196679:LCB196679 LLV196679:LLX196679 LVR196679:LVT196679 MFN196679:MFP196679 MPJ196679:MPL196679 MZF196679:MZH196679 NJB196679:NJD196679 NSX196679:NSZ196679 OCT196679:OCV196679 OMP196679:OMR196679 OWL196679:OWN196679 PGH196679:PGJ196679 PQD196679:PQF196679 PZZ196679:QAB196679 QJV196679:QJX196679 QTR196679:QTT196679 RDN196679:RDP196679 RNJ196679:RNL196679 RXF196679:RXH196679 SHB196679:SHD196679 SQX196679:SQZ196679 TAT196679:TAV196679 TKP196679:TKR196679 TUL196679:TUN196679 UEH196679:UEJ196679 UOD196679:UOF196679 UXZ196679:UYB196679 VHV196679:VHX196679 VRR196679:VRT196679 WBN196679:WBP196679 WLJ196679:WLL196679 WVF196679:WVH196679 C262215:E262215 IT262215:IV262215 SP262215:SR262215 ACL262215:ACN262215 AMH262215:AMJ262215 AWD262215:AWF262215 BFZ262215:BGB262215 BPV262215:BPX262215 BZR262215:BZT262215 CJN262215:CJP262215 CTJ262215:CTL262215 DDF262215:DDH262215 DNB262215:DND262215 DWX262215:DWZ262215 EGT262215:EGV262215 EQP262215:EQR262215 FAL262215:FAN262215 FKH262215:FKJ262215 FUD262215:FUF262215 GDZ262215:GEB262215 GNV262215:GNX262215 GXR262215:GXT262215 HHN262215:HHP262215 HRJ262215:HRL262215 IBF262215:IBH262215 ILB262215:ILD262215 IUX262215:IUZ262215 JET262215:JEV262215 JOP262215:JOR262215 JYL262215:JYN262215 KIH262215:KIJ262215 KSD262215:KSF262215 LBZ262215:LCB262215 LLV262215:LLX262215 LVR262215:LVT262215 MFN262215:MFP262215 MPJ262215:MPL262215 MZF262215:MZH262215 NJB262215:NJD262215 NSX262215:NSZ262215 OCT262215:OCV262215 OMP262215:OMR262215 OWL262215:OWN262215 PGH262215:PGJ262215 PQD262215:PQF262215 PZZ262215:QAB262215 QJV262215:QJX262215 QTR262215:QTT262215 RDN262215:RDP262215 RNJ262215:RNL262215 RXF262215:RXH262215 SHB262215:SHD262215 SQX262215:SQZ262215 TAT262215:TAV262215 TKP262215:TKR262215 TUL262215:TUN262215 UEH262215:UEJ262215 UOD262215:UOF262215 UXZ262215:UYB262215 VHV262215:VHX262215 VRR262215:VRT262215 WBN262215:WBP262215 WLJ262215:WLL262215 WVF262215:WVH262215 C327751:E327751 IT327751:IV327751 SP327751:SR327751 ACL327751:ACN327751 AMH327751:AMJ327751 AWD327751:AWF327751 BFZ327751:BGB327751 BPV327751:BPX327751 BZR327751:BZT327751 CJN327751:CJP327751 CTJ327751:CTL327751 DDF327751:DDH327751 DNB327751:DND327751 DWX327751:DWZ327751 EGT327751:EGV327751 EQP327751:EQR327751 FAL327751:FAN327751 FKH327751:FKJ327751 FUD327751:FUF327751 GDZ327751:GEB327751 GNV327751:GNX327751 GXR327751:GXT327751 HHN327751:HHP327751 HRJ327751:HRL327751 IBF327751:IBH327751 ILB327751:ILD327751 IUX327751:IUZ327751 JET327751:JEV327751 JOP327751:JOR327751 JYL327751:JYN327751 KIH327751:KIJ327751 KSD327751:KSF327751 LBZ327751:LCB327751 LLV327751:LLX327751 LVR327751:LVT327751 MFN327751:MFP327751 MPJ327751:MPL327751 MZF327751:MZH327751 NJB327751:NJD327751 NSX327751:NSZ327751 OCT327751:OCV327751 OMP327751:OMR327751 OWL327751:OWN327751 PGH327751:PGJ327751 PQD327751:PQF327751 PZZ327751:QAB327751 QJV327751:QJX327751 QTR327751:QTT327751 RDN327751:RDP327751 RNJ327751:RNL327751 RXF327751:RXH327751 SHB327751:SHD327751 SQX327751:SQZ327751 TAT327751:TAV327751 TKP327751:TKR327751 TUL327751:TUN327751 UEH327751:UEJ327751 UOD327751:UOF327751 UXZ327751:UYB327751 VHV327751:VHX327751 VRR327751:VRT327751 WBN327751:WBP327751 WLJ327751:WLL327751 WVF327751:WVH327751 C393287:E393287 IT393287:IV393287 SP393287:SR393287 ACL393287:ACN393287 AMH393287:AMJ393287 AWD393287:AWF393287 BFZ393287:BGB393287 BPV393287:BPX393287 BZR393287:BZT393287 CJN393287:CJP393287 CTJ393287:CTL393287 DDF393287:DDH393287 DNB393287:DND393287 DWX393287:DWZ393287 EGT393287:EGV393287 EQP393287:EQR393287 FAL393287:FAN393287 FKH393287:FKJ393287 FUD393287:FUF393287 GDZ393287:GEB393287 GNV393287:GNX393287 GXR393287:GXT393287 HHN393287:HHP393287 HRJ393287:HRL393287 IBF393287:IBH393287 ILB393287:ILD393287 IUX393287:IUZ393287 JET393287:JEV393287 JOP393287:JOR393287 JYL393287:JYN393287 KIH393287:KIJ393287 KSD393287:KSF393287 LBZ393287:LCB393287 LLV393287:LLX393287 LVR393287:LVT393287 MFN393287:MFP393287 MPJ393287:MPL393287 MZF393287:MZH393287 NJB393287:NJD393287 NSX393287:NSZ393287 OCT393287:OCV393287 OMP393287:OMR393287 OWL393287:OWN393287 PGH393287:PGJ393287 PQD393287:PQF393287 PZZ393287:QAB393287 QJV393287:QJX393287 QTR393287:QTT393287 RDN393287:RDP393287 RNJ393287:RNL393287 RXF393287:RXH393287 SHB393287:SHD393287 SQX393287:SQZ393287 TAT393287:TAV393287 TKP393287:TKR393287 TUL393287:TUN393287 UEH393287:UEJ393287 UOD393287:UOF393287 UXZ393287:UYB393287 VHV393287:VHX393287 VRR393287:VRT393287 WBN393287:WBP393287 WLJ393287:WLL393287 WVF393287:WVH393287 C458823:E458823 IT458823:IV458823 SP458823:SR458823 ACL458823:ACN458823 AMH458823:AMJ458823 AWD458823:AWF458823 BFZ458823:BGB458823 BPV458823:BPX458823 BZR458823:BZT458823 CJN458823:CJP458823 CTJ458823:CTL458823 DDF458823:DDH458823 DNB458823:DND458823 DWX458823:DWZ458823 EGT458823:EGV458823 EQP458823:EQR458823 FAL458823:FAN458823 FKH458823:FKJ458823 FUD458823:FUF458823 GDZ458823:GEB458823 GNV458823:GNX458823 GXR458823:GXT458823 HHN458823:HHP458823 HRJ458823:HRL458823 IBF458823:IBH458823 ILB458823:ILD458823 IUX458823:IUZ458823 JET458823:JEV458823 JOP458823:JOR458823 JYL458823:JYN458823 KIH458823:KIJ458823 KSD458823:KSF458823 LBZ458823:LCB458823 LLV458823:LLX458823 LVR458823:LVT458823 MFN458823:MFP458823 MPJ458823:MPL458823 MZF458823:MZH458823 NJB458823:NJD458823 NSX458823:NSZ458823 OCT458823:OCV458823 OMP458823:OMR458823 OWL458823:OWN458823 PGH458823:PGJ458823 PQD458823:PQF458823 PZZ458823:QAB458823 QJV458823:QJX458823 QTR458823:QTT458823 RDN458823:RDP458823 RNJ458823:RNL458823 RXF458823:RXH458823 SHB458823:SHD458823 SQX458823:SQZ458823 TAT458823:TAV458823 TKP458823:TKR458823 TUL458823:TUN458823 UEH458823:UEJ458823 UOD458823:UOF458823 UXZ458823:UYB458823 VHV458823:VHX458823 VRR458823:VRT458823 WBN458823:WBP458823 WLJ458823:WLL458823 WVF458823:WVH458823 C524359:E524359 IT524359:IV524359 SP524359:SR524359 ACL524359:ACN524359 AMH524359:AMJ524359 AWD524359:AWF524359 BFZ524359:BGB524359 BPV524359:BPX524359 BZR524359:BZT524359 CJN524359:CJP524359 CTJ524359:CTL524359 DDF524359:DDH524359 DNB524359:DND524359 DWX524359:DWZ524359 EGT524359:EGV524359 EQP524359:EQR524359 FAL524359:FAN524359 FKH524359:FKJ524359 FUD524359:FUF524359 GDZ524359:GEB524359 GNV524359:GNX524359 GXR524359:GXT524359 HHN524359:HHP524359 HRJ524359:HRL524359 IBF524359:IBH524359 ILB524359:ILD524359 IUX524359:IUZ524359 JET524359:JEV524359 JOP524359:JOR524359 JYL524359:JYN524359 KIH524359:KIJ524359 KSD524359:KSF524359 LBZ524359:LCB524359 LLV524359:LLX524359 LVR524359:LVT524359 MFN524359:MFP524359 MPJ524359:MPL524359 MZF524359:MZH524359 NJB524359:NJD524359 NSX524359:NSZ524359 OCT524359:OCV524359 OMP524359:OMR524359 OWL524359:OWN524359 PGH524359:PGJ524359 PQD524359:PQF524359 PZZ524359:QAB524359 QJV524359:QJX524359 QTR524359:QTT524359 RDN524359:RDP524359 RNJ524359:RNL524359 RXF524359:RXH524359 SHB524359:SHD524359 SQX524359:SQZ524359 TAT524359:TAV524359 TKP524359:TKR524359 TUL524359:TUN524359 UEH524359:UEJ524359 UOD524359:UOF524359 UXZ524359:UYB524359 VHV524359:VHX524359 VRR524359:VRT524359 WBN524359:WBP524359 WLJ524359:WLL524359 WVF524359:WVH524359 C589895:E589895 IT589895:IV589895 SP589895:SR589895 ACL589895:ACN589895 AMH589895:AMJ589895 AWD589895:AWF589895 BFZ589895:BGB589895 BPV589895:BPX589895 BZR589895:BZT589895 CJN589895:CJP589895 CTJ589895:CTL589895 DDF589895:DDH589895 DNB589895:DND589895 DWX589895:DWZ589895 EGT589895:EGV589895 EQP589895:EQR589895 FAL589895:FAN589895 FKH589895:FKJ589895 FUD589895:FUF589895 GDZ589895:GEB589895 GNV589895:GNX589895 GXR589895:GXT589895 HHN589895:HHP589895 HRJ589895:HRL589895 IBF589895:IBH589895 ILB589895:ILD589895 IUX589895:IUZ589895 JET589895:JEV589895 JOP589895:JOR589895 JYL589895:JYN589895 KIH589895:KIJ589895 KSD589895:KSF589895 LBZ589895:LCB589895 LLV589895:LLX589895 LVR589895:LVT589895 MFN589895:MFP589895 MPJ589895:MPL589895 MZF589895:MZH589895 NJB589895:NJD589895 NSX589895:NSZ589895 OCT589895:OCV589895 OMP589895:OMR589895 OWL589895:OWN589895 PGH589895:PGJ589895 PQD589895:PQF589895 PZZ589895:QAB589895 QJV589895:QJX589895 QTR589895:QTT589895 RDN589895:RDP589895 RNJ589895:RNL589895 RXF589895:RXH589895 SHB589895:SHD589895 SQX589895:SQZ589895 TAT589895:TAV589895 TKP589895:TKR589895 TUL589895:TUN589895 UEH589895:UEJ589895 UOD589895:UOF589895 UXZ589895:UYB589895 VHV589895:VHX589895 VRR589895:VRT589895 WBN589895:WBP589895 WLJ589895:WLL589895 WVF589895:WVH589895 C655431:E655431 IT655431:IV655431 SP655431:SR655431 ACL655431:ACN655431 AMH655431:AMJ655431 AWD655431:AWF655431 BFZ655431:BGB655431 BPV655431:BPX655431 BZR655431:BZT655431 CJN655431:CJP655431 CTJ655431:CTL655431 DDF655431:DDH655431 DNB655431:DND655431 DWX655431:DWZ655431 EGT655431:EGV655431 EQP655431:EQR655431 FAL655431:FAN655431 FKH655431:FKJ655431 FUD655431:FUF655431 GDZ655431:GEB655431 GNV655431:GNX655431 GXR655431:GXT655431 HHN655431:HHP655431 HRJ655431:HRL655431 IBF655431:IBH655431 ILB655431:ILD655431 IUX655431:IUZ655431 JET655431:JEV655431 JOP655431:JOR655431 JYL655431:JYN655431 KIH655431:KIJ655431 KSD655431:KSF655431 LBZ655431:LCB655431 LLV655431:LLX655431 LVR655431:LVT655431 MFN655431:MFP655431 MPJ655431:MPL655431 MZF655431:MZH655431 NJB655431:NJD655431 NSX655431:NSZ655431 OCT655431:OCV655431 OMP655431:OMR655431 OWL655431:OWN655431 PGH655431:PGJ655431 PQD655431:PQF655431 PZZ655431:QAB655431 QJV655431:QJX655431 QTR655431:QTT655431 RDN655431:RDP655431 RNJ655431:RNL655431 RXF655431:RXH655431 SHB655431:SHD655431 SQX655431:SQZ655431 TAT655431:TAV655431 TKP655431:TKR655431 TUL655431:TUN655431 UEH655431:UEJ655431 UOD655431:UOF655431 UXZ655431:UYB655431 VHV655431:VHX655431 VRR655431:VRT655431 WBN655431:WBP655431 WLJ655431:WLL655431 WVF655431:WVH655431 C720967:E720967 IT720967:IV720967 SP720967:SR720967 ACL720967:ACN720967 AMH720967:AMJ720967 AWD720967:AWF720967 BFZ720967:BGB720967 BPV720967:BPX720967 BZR720967:BZT720967 CJN720967:CJP720967 CTJ720967:CTL720967 DDF720967:DDH720967 DNB720967:DND720967 DWX720967:DWZ720967 EGT720967:EGV720967 EQP720967:EQR720967 FAL720967:FAN720967 FKH720967:FKJ720967 FUD720967:FUF720967 GDZ720967:GEB720967 GNV720967:GNX720967 GXR720967:GXT720967 HHN720967:HHP720967 HRJ720967:HRL720967 IBF720967:IBH720967 ILB720967:ILD720967 IUX720967:IUZ720967 JET720967:JEV720967 JOP720967:JOR720967 JYL720967:JYN720967 KIH720967:KIJ720967 KSD720967:KSF720967 LBZ720967:LCB720967 LLV720967:LLX720967 LVR720967:LVT720967 MFN720967:MFP720967 MPJ720967:MPL720967 MZF720967:MZH720967 NJB720967:NJD720967 NSX720967:NSZ720967 OCT720967:OCV720967 OMP720967:OMR720967 OWL720967:OWN720967 PGH720967:PGJ720967 PQD720967:PQF720967 PZZ720967:QAB720967 QJV720967:QJX720967 QTR720967:QTT720967 RDN720967:RDP720967 RNJ720967:RNL720967 RXF720967:RXH720967 SHB720967:SHD720967 SQX720967:SQZ720967 TAT720967:TAV720967 TKP720967:TKR720967 TUL720967:TUN720967 UEH720967:UEJ720967 UOD720967:UOF720967 UXZ720967:UYB720967 VHV720967:VHX720967 VRR720967:VRT720967 WBN720967:WBP720967 WLJ720967:WLL720967 WVF720967:WVH720967 C786503:E786503 IT786503:IV786503 SP786503:SR786503 ACL786503:ACN786503 AMH786503:AMJ786503 AWD786503:AWF786503 BFZ786503:BGB786503 BPV786503:BPX786503 BZR786503:BZT786503 CJN786503:CJP786503 CTJ786503:CTL786503 DDF786503:DDH786503 DNB786503:DND786503 DWX786503:DWZ786503 EGT786503:EGV786503 EQP786503:EQR786503 FAL786503:FAN786503 FKH786503:FKJ786503 FUD786503:FUF786503 GDZ786503:GEB786503 GNV786503:GNX786503 GXR786503:GXT786503 HHN786503:HHP786503 HRJ786503:HRL786503 IBF786503:IBH786503 ILB786503:ILD786503 IUX786503:IUZ786503 JET786503:JEV786503 JOP786503:JOR786503 JYL786503:JYN786503 KIH786503:KIJ786503 KSD786503:KSF786503 LBZ786503:LCB786503 LLV786503:LLX786503 LVR786503:LVT786503 MFN786503:MFP786503 MPJ786503:MPL786503 MZF786503:MZH786503 NJB786503:NJD786503 NSX786503:NSZ786503 OCT786503:OCV786503 OMP786503:OMR786503 OWL786503:OWN786503 PGH786503:PGJ786503 PQD786503:PQF786503 PZZ786503:QAB786503 QJV786503:QJX786503 QTR786503:QTT786503 RDN786503:RDP786503 RNJ786503:RNL786503 RXF786503:RXH786503 SHB786503:SHD786503 SQX786503:SQZ786503 TAT786503:TAV786503 TKP786503:TKR786503 TUL786503:TUN786503 UEH786503:UEJ786503 UOD786503:UOF786503 UXZ786503:UYB786503 VHV786503:VHX786503 VRR786503:VRT786503 WBN786503:WBP786503 WLJ786503:WLL786503 WVF786503:WVH786503 C852039:E852039 IT852039:IV852039 SP852039:SR852039 ACL852039:ACN852039 AMH852039:AMJ852039 AWD852039:AWF852039 BFZ852039:BGB852039 BPV852039:BPX852039 BZR852039:BZT852039 CJN852039:CJP852039 CTJ852039:CTL852039 DDF852039:DDH852039 DNB852039:DND852039 DWX852039:DWZ852039 EGT852039:EGV852039 EQP852039:EQR852039 FAL852039:FAN852039 FKH852039:FKJ852039 FUD852039:FUF852039 GDZ852039:GEB852039 GNV852039:GNX852039 GXR852039:GXT852039 HHN852039:HHP852039 HRJ852039:HRL852039 IBF852039:IBH852039 ILB852039:ILD852039 IUX852039:IUZ852039 JET852039:JEV852039 JOP852039:JOR852039 JYL852039:JYN852039 KIH852039:KIJ852039 KSD852039:KSF852039 LBZ852039:LCB852039 LLV852039:LLX852039 LVR852039:LVT852039 MFN852039:MFP852039 MPJ852039:MPL852039 MZF852039:MZH852039 NJB852039:NJD852039 NSX852039:NSZ852039 OCT852039:OCV852039 OMP852039:OMR852039 OWL852039:OWN852039 PGH852039:PGJ852039 PQD852039:PQF852039 PZZ852039:QAB852039 QJV852039:QJX852039 QTR852039:QTT852039 RDN852039:RDP852039 RNJ852039:RNL852039 RXF852039:RXH852039 SHB852039:SHD852039 SQX852039:SQZ852039 TAT852039:TAV852039 TKP852039:TKR852039 TUL852039:TUN852039 UEH852039:UEJ852039 UOD852039:UOF852039 UXZ852039:UYB852039 VHV852039:VHX852039 VRR852039:VRT852039 WBN852039:WBP852039 WLJ852039:WLL852039 WVF852039:WVH852039 C917575:E917575 IT917575:IV917575 SP917575:SR917575 ACL917575:ACN917575 AMH917575:AMJ917575 AWD917575:AWF917575 BFZ917575:BGB917575 BPV917575:BPX917575 BZR917575:BZT917575 CJN917575:CJP917575 CTJ917575:CTL917575 DDF917575:DDH917575 DNB917575:DND917575 DWX917575:DWZ917575 EGT917575:EGV917575 EQP917575:EQR917575 FAL917575:FAN917575 FKH917575:FKJ917575 FUD917575:FUF917575 GDZ917575:GEB917575 GNV917575:GNX917575 GXR917575:GXT917575 HHN917575:HHP917575 HRJ917575:HRL917575 IBF917575:IBH917575 ILB917575:ILD917575 IUX917575:IUZ917575 JET917575:JEV917575 JOP917575:JOR917575 JYL917575:JYN917575 KIH917575:KIJ917575 KSD917575:KSF917575 LBZ917575:LCB917575 LLV917575:LLX917575 LVR917575:LVT917575 MFN917575:MFP917575 MPJ917575:MPL917575 MZF917575:MZH917575 NJB917575:NJD917575 NSX917575:NSZ917575 OCT917575:OCV917575 OMP917575:OMR917575 OWL917575:OWN917575 PGH917575:PGJ917575 PQD917575:PQF917575 PZZ917575:QAB917575 QJV917575:QJX917575 QTR917575:QTT917575 RDN917575:RDP917575 RNJ917575:RNL917575 RXF917575:RXH917575 SHB917575:SHD917575 SQX917575:SQZ917575 TAT917575:TAV917575 TKP917575:TKR917575 TUL917575:TUN917575 UEH917575:UEJ917575 UOD917575:UOF917575 UXZ917575:UYB917575 VHV917575:VHX917575 VRR917575:VRT917575 WBN917575:WBP917575 WLJ917575:WLL917575 WVF917575:WVH917575 C983111:E983111 IT983111:IV983111 SP983111:SR983111 ACL983111:ACN983111 AMH983111:AMJ983111 AWD983111:AWF983111 BFZ983111:BGB983111 BPV983111:BPX983111 BZR983111:BZT983111 CJN983111:CJP983111 CTJ983111:CTL983111 DDF983111:DDH983111 DNB983111:DND983111 DWX983111:DWZ983111 EGT983111:EGV983111 EQP983111:EQR983111 FAL983111:FAN983111 FKH983111:FKJ983111 FUD983111:FUF983111 GDZ983111:GEB983111 GNV983111:GNX983111 GXR983111:GXT983111 HHN983111:HHP983111 HRJ983111:HRL983111 IBF983111:IBH983111 ILB983111:ILD983111 IUX983111:IUZ983111 JET983111:JEV983111 JOP983111:JOR983111 JYL983111:JYN983111 KIH983111:KIJ983111 KSD983111:KSF983111 LBZ983111:LCB983111 LLV983111:LLX983111 LVR983111:LVT983111 MFN983111:MFP983111 MPJ983111:MPL983111 MZF983111:MZH983111 NJB983111:NJD983111 NSX983111:NSZ983111 OCT983111:OCV983111 OMP983111:OMR983111 OWL983111:OWN983111 PGH983111:PGJ983111 PQD983111:PQF983111 PZZ983111:QAB983111 QJV983111:QJX983111 QTR983111:QTT983111 RDN983111:RDP983111 RNJ983111:RNL983111 RXF983111:RXH983111 SHB983111:SHD983111 SQX983111:SQZ983111 TAT983111:TAV983111 TKP983111:TKR983111 TUL983111:TUN983111 UEH983111:UEJ983111 UOD983111:UOF983111 UXZ983111:UYB983111 VHV983111:VHX983111 VRR983111:VRT983111 WBN983111:WBP983111 WLJ983111:WLL983111 D71:E71" xr:uid="{00000000-0002-0000-0000-000004000000}"/>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IZ72 SV72 ACR72 AMN72 AWJ72 BGF72 BQB72 BZX72 CJT72 CTP72 DDL72 DNH72 DXD72 EGZ72 EQV72 FAR72 FKN72 FUJ72 GEF72 GOB72 GXX72 HHT72 HRP72 IBL72 ILH72 IVD72 JEZ72 JOV72 JYR72 KIN72 KSJ72 LCF72 LMB72 LVX72 MFT72 MPP72 MZL72 NJH72 NTD72 OCZ72 OMV72 OWR72 PGN72 PQJ72 QAF72 QKB72 QTX72 RDT72 RNP72 RXL72 SHH72 SRD72 TAZ72 TKV72 TUR72 UEN72 UOJ72 UYF72 VIB72 VRX72 WBT72 WLP72 WVL72 IZ65608 SV65608 ACR65608 AMN65608 AWJ65608 BGF65608 BQB65608 BZX65608 CJT65608 CTP65608 DDL65608 DNH65608 DXD65608 EGZ65608 EQV65608 FAR65608 FKN65608 FUJ65608 GEF65608 GOB65608 GXX65608 HHT65608 HRP65608 IBL65608 ILH65608 IVD65608 JEZ65608 JOV65608 JYR65608 KIN65608 KSJ65608 LCF65608 LMB65608 LVX65608 MFT65608 MPP65608 MZL65608 NJH65608 NTD65608 OCZ65608 OMV65608 OWR65608 PGN65608 PQJ65608 QAF65608 QKB65608 QTX65608 RDT65608 RNP65608 RXL65608 SHH65608 SRD65608 TAZ65608 TKV65608 TUR65608 UEN65608 UOJ65608 UYF65608 VIB65608 VRX65608 WBT65608 WLP65608 WVL65608 IZ131144 SV131144 ACR131144 AMN131144 AWJ131144 BGF131144 BQB131144 BZX131144 CJT131144 CTP131144 DDL131144 DNH131144 DXD131144 EGZ131144 EQV131144 FAR131144 FKN131144 FUJ131144 GEF131144 GOB131144 GXX131144 HHT131144 HRP131144 IBL131144 ILH131144 IVD131144 JEZ131144 JOV131144 JYR131144 KIN131144 KSJ131144 LCF131144 LMB131144 LVX131144 MFT131144 MPP131144 MZL131144 NJH131144 NTD131144 OCZ131144 OMV131144 OWR131144 PGN131144 PQJ131144 QAF131144 QKB131144 QTX131144 RDT131144 RNP131144 RXL131144 SHH131144 SRD131144 TAZ131144 TKV131144 TUR131144 UEN131144 UOJ131144 UYF131144 VIB131144 VRX131144 WBT131144 WLP131144 WVL131144 IZ196680 SV196680 ACR196680 AMN196680 AWJ196680 BGF196680 BQB196680 BZX196680 CJT196680 CTP196680 DDL196680 DNH196680 DXD196680 EGZ196680 EQV196680 FAR196680 FKN196680 FUJ196680 GEF196680 GOB196680 GXX196680 HHT196680 HRP196680 IBL196680 ILH196680 IVD196680 JEZ196680 JOV196680 JYR196680 KIN196680 KSJ196680 LCF196680 LMB196680 LVX196680 MFT196680 MPP196680 MZL196680 NJH196680 NTD196680 OCZ196680 OMV196680 OWR196680 PGN196680 PQJ196680 QAF196680 QKB196680 QTX196680 RDT196680 RNP196680 RXL196680 SHH196680 SRD196680 TAZ196680 TKV196680 TUR196680 UEN196680 UOJ196680 UYF196680 VIB196680 VRX196680 WBT196680 WLP196680 WVL196680 IZ262216 SV262216 ACR262216 AMN262216 AWJ262216 BGF262216 BQB262216 BZX262216 CJT262216 CTP262216 DDL262216 DNH262216 DXD262216 EGZ262216 EQV262216 FAR262216 FKN262216 FUJ262216 GEF262216 GOB262216 GXX262216 HHT262216 HRP262216 IBL262216 ILH262216 IVD262216 JEZ262216 JOV262216 JYR262216 KIN262216 KSJ262216 LCF262216 LMB262216 LVX262216 MFT262216 MPP262216 MZL262216 NJH262216 NTD262216 OCZ262216 OMV262216 OWR262216 PGN262216 PQJ262216 QAF262216 QKB262216 QTX262216 RDT262216 RNP262216 RXL262216 SHH262216 SRD262216 TAZ262216 TKV262216 TUR262216 UEN262216 UOJ262216 UYF262216 VIB262216 VRX262216 WBT262216 WLP262216 WVL262216 IZ327752 SV327752 ACR327752 AMN327752 AWJ327752 BGF327752 BQB327752 BZX327752 CJT327752 CTP327752 DDL327752 DNH327752 DXD327752 EGZ327752 EQV327752 FAR327752 FKN327752 FUJ327752 GEF327752 GOB327752 GXX327752 HHT327752 HRP327752 IBL327752 ILH327752 IVD327752 JEZ327752 JOV327752 JYR327752 KIN327752 KSJ327752 LCF327752 LMB327752 LVX327752 MFT327752 MPP327752 MZL327752 NJH327752 NTD327752 OCZ327752 OMV327752 OWR327752 PGN327752 PQJ327752 QAF327752 QKB327752 QTX327752 RDT327752 RNP327752 RXL327752 SHH327752 SRD327752 TAZ327752 TKV327752 TUR327752 UEN327752 UOJ327752 UYF327752 VIB327752 VRX327752 WBT327752 WLP327752 WVL327752 IZ393288 SV393288 ACR393288 AMN393288 AWJ393288 BGF393288 BQB393288 BZX393288 CJT393288 CTP393288 DDL393288 DNH393288 DXD393288 EGZ393288 EQV393288 FAR393288 FKN393288 FUJ393288 GEF393288 GOB393288 GXX393288 HHT393288 HRP393288 IBL393288 ILH393288 IVD393288 JEZ393288 JOV393288 JYR393288 KIN393288 KSJ393288 LCF393288 LMB393288 LVX393288 MFT393288 MPP393288 MZL393288 NJH393288 NTD393288 OCZ393288 OMV393288 OWR393288 PGN393288 PQJ393288 QAF393288 QKB393288 QTX393288 RDT393288 RNP393288 RXL393288 SHH393288 SRD393288 TAZ393288 TKV393288 TUR393288 UEN393288 UOJ393288 UYF393288 VIB393288 VRX393288 WBT393288 WLP393288 WVL393288 IZ458824 SV458824 ACR458824 AMN458824 AWJ458824 BGF458824 BQB458824 BZX458824 CJT458824 CTP458824 DDL458824 DNH458824 DXD458824 EGZ458824 EQV458824 FAR458824 FKN458824 FUJ458824 GEF458824 GOB458824 GXX458824 HHT458824 HRP458824 IBL458824 ILH458824 IVD458824 JEZ458824 JOV458824 JYR458824 KIN458824 KSJ458824 LCF458824 LMB458824 LVX458824 MFT458824 MPP458824 MZL458824 NJH458824 NTD458824 OCZ458824 OMV458824 OWR458824 PGN458824 PQJ458824 QAF458824 QKB458824 QTX458824 RDT458824 RNP458824 RXL458824 SHH458824 SRD458824 TAZ458824 TKV458824 TUR458824 UEN458824 UOJ458824 UYF458824 VIB458824 VRX458824 WBT458824 WLP458824 WVL458824 IZ524360 SV524360 ACR524360 AMN524360 AWJ524360 BGF524360 BQB524360 BZX524360 CJT524360 CTP524360 DDL524360 DNH524360 DXD524360 EGZ524360 EQV524360 FAR524360 FKN524360 FUJ524360 GEF524360 GOB524360 GXX524360 HHT524360 HRP524360 IBL524360 ILH524360 IVD524360 JEZ524360 JOV524360 JYR524360 KIN524360 KSJ524360 LCF524360 LMB524360 LVX524360 MFT524360 MPP524360 MZL524360 NJH524360 NTD524360 OCZ524360 OMV524360 OWR524360 PGN524360 PQJ524360 QAF524360 QKB524360 QTX524360 RDT524360 RNP524360 RXL524360 SHH524360 SRD524360 TAZ524360 TKV524360 TUR524360 UEN524360 UOJ524360 UYF524360 VIB524360 VRX524360 WBT524360 WLP524360 WVL524360 IZ589896 SV589896 ACR589896 AMN589896 AWJ589896 BGF589896 BQB589896 BZX589896 CJT589896 CTP589896 DDL589896 DNH589896 DXD589896 EGZ589896 EQV589896 FAR589896 FKN589896 FUJ589896 GEF589896 GOB589896 GXX589896 HHT589896 HRP589896 IBL589896 ILH589896 IVD589896 JEZ589896 JOV589896 JYR589896 KIN589896 KSJ589896 LCF589896 LMB589896 LVX589896 MFT589896 MPP589896 MZL589896 NJH589896 NTD589896 OCZ589896 OMV589896 OWR589896 PGN589896 PQJ589896 QAF589896 QKB589896 QTX589896 RDT589896 RNP589896 RXL589896 SHH589896 SRD589896 TAZ589896 TKV589896 TUR589896 UEN589896 UOJ589896 UYF589896 VIB589896 VRX589896 WBT589896 WLP589896 WVL589896 IZ655432 SV655432 ACR655432 AMN655432 AWJ655432 BGF655432 BQB655432 BZX655432 CJT655432 CTP655432 DDL655432 DNH655432 DXD655432 EGZ655432 EQV655432 FAR655432 FKN655432 FUJ655432 GEF655432 GOB655432 GXX655432 HHT655432 HRP655432 IBL655432 ILH655432 IVD655432 JEZ655432 JOV655432 JYR655432 KIN655432 KSJ655432 LCF655432 LMB655432 LVX655432 MFT655432 MPP655432 MZL655432 NJH655432 NTD655432 OCZ655432 OMV655432 OWR655432 PGN655432 PQJ655432 QAF655432 QKB655432 QTX655432 RDT655432 RNP655432 RXL655432 SHH655432 SRD655432 TAZ655432 TKV655432 TUR655432 UEN655432 UOJ655432 UYF655432 VIB655432 VRX655432 WBT655432 WLP655432 WVL655432 IZ720968 SV720968 ACR720968 AMN720968 AWJ720968 BGF720968 BQB720968 BZX720968 CJT720968 CTP720968 DDL720968 DNH720968 DXD720968 EGZ720968 EQV720968 FAR720968 FKN720968 FUJ720968 GEF720968 GOB720968 GXX720968 HHT720968 HRP720968 IBL720968 ILH720968 IVD720968 JEZ720968 JOV720968 JYR720968 KIN720968 KSJ720968 LCF720968 LMB720968 LVX720968 MFT720968 MPP720968 MZL720968 NJH720968 NTD720968 OCZ720968 OMV720968 OWR720968 PGN720968 PQJ720968 QAF720968 QKB720968 QTX720968 RDT720968 RNP720968 RXL720968 SHH720968 SRD720968 TAZ720968 TKV720968 TUR720968 UEN720968 UOJ720968 UYF720968 VIB720968 VRX720968 WBT720968 WLP720968 WVL720968 IZ786504 SV786504 ACR786504 AMN786504 AWJ786504 BGF786504 BQB786504 BZX786504 CJT786504 CTP786504 DDL786504 DNH786504 DXD786504 EGZ786504 EQV786504 FAR786504 FKN786504 FUJ786504 GEF786504 GOB786504 GXX786504 HHT786504 HRP786504 IBL786504 ILH786504 IVD786504 JEZ786504 JOV786504 JYR786504 KIN786504 KSJ786504 LCF786504 LMB786504 LVX786504 MFT786504 MPP786504 MZL786504 NJH786504 NTD786504 OCZ786504 OMV786504 OWR786504 PGN786504 PQJ786504 QAF786504 QKB786504 QTX786504 RDT786504 RNP786504 RXL786504 SHH786504 SRD786504 TAZ786504 TKV786504 TUR786504 UEN786504 UOJ786504 UYF786504 VIB786504 VRX786504 WBT786504 WLP786504 WVL786504 IZ852040 SV852040 ACR852040 AMN852040 AWJ852040 BGF852040 BQB852040 BZX852040 CJT852040 CTP852040 DDL852040 DNH852040 DXD852040 EGZ852040 EQV852040 FAR852040 FKN852040 FUJ852040 GEF852040 GOB852040 GXX852040 HHT852040 HRP852040 IBL852040 ILH852040 IVD852040 JEZ852040 JOV852040 JYR852040 KIN852040 KSJ852040 LCF852040 LMB852040 LVX852040 MFT852040 MPP852040 MZL852040 NJH852040 NTD852040 OCZ852040 OMV852040 OWR852040 PGN852040 PQJ852040 QAF852040 QKB852040 QTX852040 RDT852040 RNP852040 RXL852040 SHH852040 SRD852040 TAZ852040 TKV852040 TUR852040 UEN852040 UOJ852040 UYF852040 VIB852040 VRX852040 WBT852040 WLP852040 WVL852040 IZ917576 SV917576 ACR917576 AMN917576 AWJ917576 BGF917576 BQB917576 BZX917576 CJT917576 CTP917576 DDL917576 DNH917576 DXD917576 EGZ917576 EQV917576 FAR917576 FKN917576 FUJ917576 GEF917576 GOB917576 GXX917576 HHT917576 HRP917576 IBL917576 ILH917576 IVD917576 JEZ917576 JOV917576 JYR917576 KIN917576 KSJ917576 LCF917576 LMB917576 LVX917576 MFT917576 MPP917576 MZL917576 NJH917576 NTD917576 OCZ917576 OMV917576 OWR917576 PGN917576 PQJ917576 QAF917576 QKB917576 QTX917576 RDT917576 RNP917576 RXL917576 SHH917576 SRD917576 TAZ917576 TKV917576 TUR917576 UEN917576 UOJ917576 UYF917576 VIB917576 VRX917576 WBT917576 WLP917576 WVL917576 IZ983112 SV983112 ACR983112 AMN983112 AWJ983112 BGF983112 BQB983112 BZX983112 CJT983112 CTP983112 DDL983112 DNH983112 DXD983112 EGZ983112 EQV983112 FAR983112 FKN983112 FUJ983112 GEF983112 GOB983112 GXX983112 HHT983112 HRP983112 IBL983112 ILH983112 IVD983112 JEZ983112 JOV983112 JYR983112 KIN983112 KSJ983112 LCF983112 LMB983112 LVX983112 MFT983112 MPP983112 MZL983112 NJH983112 NTD983112 OCZ983112 OMV983112 OWR983112 PGN983112 PQJ983112 QAF983112 QKB983112 QTX983112 RDT983112 RNP983112 RXL983112 SHH983112 SRD983112 TAZ983112 TKV983112 TUR983112 UEN983112 UOJ983112 UYF983112 VIB983112 VRX983112 WBT983112 WLP983112 WVL983112" xr:uid="{00000000-0002-0000-0000-000005000000}"/>
    <dataValidation errorStyle="warning" allowBlank="1" showInputMessage="1" errorTitle="Credit Card Number" promptTitle="Credit Card Number" prompt="Enter the customer's credit card number in this space." sqref="WVF983112:WVH983112 IT72:IV72 SP72:SR72 ACL72:ACN72 AMH72:AMJ72 AWD72:AWF72 BFZ72:BGB72 BPV72:BPX72 BZR72:BZT72 CJN72:CJP72 CTJ72:CTL72 DDF72:DDH72 DNB72:DND72 DWX72:DWZ72 EGT72:EGV72 EQP72:EQR72 FAL72:FAN72 FKH72:FKJ72 FUD72:FUF72 GDZ72:GEB72 GNV72:GNX72 GXR72:GXT72 HHN72:HHP72 HRJ72:HRL72 IBF72:IBH72 ILB72:ILD72 IUX72:IUZ72 JET72:JEV72 JOP72:JOR72 JYL72:JYN72 KIH72:KIJ72 KSD72:KSF72 LBZ72:LCB72 LLV72:LLX72 LVR72:LVT72 MFN72:MFP72 MPJ72:MPL72 MZF72:MZH72 NJB72:NJD72 NSX72:NSZ72 OCT72:OCV72 OMP72:OMR72 OWL72:OWN72 PGH72:PGJ72 PQD72:PQF72 PZZ72:QAB72 QJV72:QJX72 QTR72:QTT72 RDN72:RDP72 RNJ72:RNL72 RXF72:RXH72 SHB72:SHD72 SQX72:SQZ72 TAT72:TAV72 TKP72:TKR72 TUL72:TUN72 UEH72:UEJ72 UOD72:UOF72 UXZ72:UYB72 VHV72:VHX72 VRR72:VRT72 WBN72:WBP72 WLJ72:WLL72 WVF72:WVH72 C65608:E65608 IT65608:IV65608 SP65608:SR65608 ACL65608:ACN65608 AMH65608:AMJ65608 AWD65608:AWF65608 BFZ65608:BGB65608 BPV65608:BPX65608 BZR65608:BZT65608 CJN65608:CJP65608 CTJ65608:CTL65608 DDF65608:DDH65608 DNB65608:DND65608 DWX65608:DWZ65608 EGT65608:EGV65608 EQP65608:EQR65608 FAL65608:FAN65608 FKH65608:FKJ65608 FUD65608:FUF65608 GDZ65608:GEB65608 GNV65608:GNX65608 GXR65608:GXT65608 HHN65608:HHP65608 HRJ65608:HRL65608 IBF65608:IBH65608 ILB65608:ILD65608 IUX65608:IUZ65608 JET65608:JEV65608 JOP65608:JOR65608 JYL65608:JYN65608 KIH65608:KIJ65608 KSD65608:KSF65608 LBZ65608:LCB65608 LLV65608:LLX65608 LVR65608:LVT65608 MFN65608:MFP65608 MPJ65608:MPL65608 MZF65608:MZH65608 NJB65608:NJD65608 NSX65608:NSZ65608 OCT65608:OCV65608 OMP65608:OMR65608 OWL65608:OWN65608 PGH65608:PGJ65608 PQD65608:PQF65608 PZZ65608:QAB65608 QJV65608:QJX65608 QTR65608:QTT65608 RDN65608:RDP65608 RNJ65608:RNL65608 RXF65608:RXH65608 SHB65608:SHD65608 SQX65608:SQZ65608 TAT65608:TAV65608 TKP65608:TKR65608 TUL65608:TUN65608 UEH65608:UEJ65608 UOD65608:UOF65608 UXZ65608:UYB65608 VHV65608:VHX65608 VRR65608:VRT65608 WBN65608:WBP65608 WLJ65608:WLL65608 WVF65608:WVH65608 C131144:E131144 IT131144:IV131144 SP131144:SR131144 ACL131144:ACN131144 AMH131144:AMJ131144 AWD131144:AWF131144 BFZ131144:BGB131144 BPV131144:BPX131144 BZR131144:BZT131144 CJN131144:CJP131144 CTJ131144:CTL131144 DDF131144:DDH131144 DNB131144:DND131144 DWX131144:DWZ131144 EGT131144:EGV131144 EQP131144:EQR131144 FAL131144:FAN131144 FKH131144:FKJ131144 FUD131144:FUF131144 GDZ131144:GEB131144 GNV131144:GNX131144 GXR131144:GXT131144 HHN131144:HHP131144 HRJ131144:HRL131144 IBF131144:IBH131144 ILB131144:ILD131144 IUX131144:IUZ131144 JET131144:JEV131144 JOP131144:JOR131144 JYL131144:JYN131144 KIH131144:KIJ131144 KSD131144:KSF131144 LBZ131144:LCB131144 LLV131144:LLX131144 LVR131144:LVT131144 MFN131144:MFP131144 MPJ131144:MPL131144 MZF131144:MZH131144 NJB131144:NJD131144 NSX131144:NSZ131144 OCT131144:OCV131144 OMP131144:OMR131144 OWL131144:OWN131144 PGH131144:PGJ131144 PQD131144:PQF131144 PZZ131144:QAB131144 QJV131144:QJX131144 QTR131144:QTT131144 RDN131144:RDP131144 RNJ131144:RNL131144 RXF131144:RXH131144 SHB131144:SHD131144 SQX131144:SQZ131144 TAT131144:TAV131144 TKP131144:TKR131144 TUL131144:TUN131144 UEH131144:UEJ131144 UOD131144:UOF131144 UXZ131144:UYB131144 VHV131144:VHX131144 VRR131144:VRT131144 WBN131144:WBP131144 WLJ131144:WLL131144 WVF131144:WVH131144 C196680:E196680 IT196680:IV196680 SP196680:SR196680 ACL196680:ACN196680 AMH196680:AMJ196680 AWD196680:AWF196680 BFZ196680:BGB196680 BPV196680:BPX196680 BZR196680:BZT196680 CJN196680:CJP196680 CTJ196680:CTL196680 DDF196680:DDH196680 DNB196680:DND196680 DWX196680:DWZ196680 EGT196680:EGV196680 EQP196680:EQR196680 FAL196680:FAN196680 FKH196680:FKJ196680 FUD196680:FUF196680 GDZ196680:GEB196680 GNV196680:GNX196680 GXR196680:GXT196680 HHN196680:HHP196680 HRJ196680:HRL196680 IBF196680:IBH196680 ILB196680:ILD196680 IUX196680:IUZ196680 JET196680:JEV196680 JOP196680:JOR196680 JYL196680:JYN196680 KIH196680:KIJ196680 KSD196680:KSF196680 LBZ196680:LCB196680 LLV196680:LLX196680 LVR196680:LVT196680 MFN196680:MFP196680 MPJ196680:MPL196680 MZF196680:MZH196680 NJB196680:NJD196680 NSX196680:NSZ196680 OCT196680:OCV196680 OMP196680:OMR196680 OWL196680:OWN196680 PGH196680:PGJ196680 PQD196680:PQF196680 PZZ196680:QAB196680 QJV196680:QJX196680 QTR196680:QTT196680 RDN196680:RDP196680 RNJ196680:RNL196680 RXF196680:RXH196680 SHB196680:SHD196680 SQX196680:SQZ196680 TAT196680:TAV196680 TKP196680:TKR196680 TUL196680:TUN196680 UEH196680:UEJ196680 UOD196680:UOF196680 UXZ196680:UYB196680 VHV196680:VHX196680 VRR196680:VRT196680 WBN196680:WBP196680 WLJ196680:WLL196680 WVF196680:WVH196680 C262216:E262216 IT262216:IV262216 SP262216:SR262216 ACL262216:ACN262216 AMH262216:AMJ262216 AWD262216:AWF262216 BFZ262216:BGB262216 BPV262216:BPX262216 BZR262216:BZT262216 CJN262216:CJP262216 CTJ262216:CTL262216 DDF262216:DDH262216 DNB262216:DND262216 DWX262216:DWZ262216 EGT262216:EGV262216 EQP262216:EQR262216 FAL262216:FAN262216 FKH262216:FKJ262216 FUD262216:FUF262216 GDZ262216:GEB262216 GNV262216:GNX262216 GXR262216:GXT262216 HHN262216:HHP262216 HRJ262216:HRL262216 IBF262216:IBH262216 ILB262216:ILD262216 IUX262216:IUZ262216 JET262216:JEV262216 JOP262216:JOR262216 JYL262216:JYN262216 KIH262216:KIJ262216 KSD262216:KSF262216 LBZ262216:LCB262216 LLV262216:LLX262216 LVR262216:LVT262216 MFN262216:MFP262216 MPJ262216:MPL262216 MZF262216:MZH262216 NJB262216:NJD262216 NSX262216:NSZ262216 OCT262216:OCV262216 OMP262216:OMR262216 OWL262216:OWN262216 PGH262216:PGJ262216 PQD262216:PQF262216 PZZ262216:QAB262216 QJV262216:QJX262216 QTR262216:QTT262216 RDN262216:RDP262216 RNJ262216:RNL262216 RXF262216:RXH262216 SHB262216:SHD262216 SQX262216:SQZ262216 TAT262216:TAV262216 TKP262216:TKR262216 TUL262216:TUN262216 UEH262216:UEJ262216 UOD262216:UOF262216 UXZ262216:UYB262216 VHV262216:VHX262216 VRR262216:VRT262216 WBN262216:WBP262216 WLJ262216:WLL262216 WVF262216:WVH262216 C327752:E327752 IT327752:IV327752 SP327752:SR327752 ACL327752:ACN327752 AMH327752:AMJ327752 AWD327752:AWF327752 BFZ327752:BGB327752 BPV327752:BPX327752 BZR327752:BZT327752 CJN327752:CJP327752 CTJ327752:CTL327752 DDF327752:DDH327752 DNB327752:DND327752 DWX327752:DWZ327752 EGT327752:EGV327752 EQP327752:EQR327752 FAL327752:FAN327752 FKH327752:FKJ327752 FUD327752:FUF327752 GDZ327752:GEB327752 GNV327752:GNX327752 GXR327752:GXT327752 HHN327752:HHP327752 HRJ327752:HRL327752 IBF327752:IBH327752 ILB327752:ILD327752 IUX327752:IUZ327752 JET327752:JEV327752 JOP327752:JOR327752 JYL327752:JYN327752 KIH327752:KIJ327752 KSD327752:KSF327752 LBZ327752:LCB327752 LLV327752:LLX327752 LVR327752:LVT327752 MFN327752:MFP327752 MPJ327752:MPL327752 MZF327752:MZH327752 NJB327752:NJD327752 NSX327752:NSZ327752 OCT327752:OCV327752 OMP327752:OMR327752 OWL327752:OWN327752 PGH327752:PGJ327752 PQD327752:PQF327752 PZZ327752:QAB327752 QJV327752:QJX327752 QTR327752:QTT327752 RDN327752:RDP327752 RNJ327752:RNL327752 RXF327752:RXH327752 SHB327752:SHD327752 SQX327752:SQZ327752 TAT327752:TAV327752 TKP327752:TKR327752 TUL327752:TUN327752 UEH327752:UEJ327752 UOD327752:UOF327752 UXZ327752:UYB327752 VHV327752:VHX327752 VRR327752:VRT327752 WBN327752:WBP327752 WLJ327752:WLL327752 WVF327752:WVH327752 C393288:E393288 IT393288:IV393288 SP393288:SR393288 ACL393288:ACN393288 AMH393288:AMJ393288 AWD393288:AWF393288 BFZ393288:BGB393288 BPV393288:BPX393288 BZR393288:BZT393288 CJN393288:CJP393288 CTJ393288:CTL393288 DDF393288:DDH393288 DNB393288:DND393288 DWX393288:DWZ393288 EGT393288:EGV393288 EQP393288:EQR393288 FAL393288:FAN393288 FKH393288:FKJ393288 FUD393288:FUF393288 GDZ393288:GEB393288 GNV393288:GNX393288 GXR393288:GXT393288 HHN393288:HHP393288 HRJ393288:HRL393288 IBF393288:IBH393288 ILB393288:ILD393288 IUX393288:IUZ393288 JET393288:JEV393288 JOP393288:JOR393288 JYL393288:JYN393288 KIH393288:KIJ393288 KSD393288:KSF393288 LBZ393288:LCB393288 LLV393288:LLX393288 LVR393288:LVT393288 MFN393288:MFP393288 MPJ393288:MPL393288 MZF393288:MZH393288 NJB393288:NJD393288 NSX393288:NSZ393288 OCT393288:OCV393288 OMP393288:OMR393288 OWL393288:OWN393288 PGH393288:PGJ393288 PQD393288:PQF393288 PZZ393288:QAB393288 QJV393288:QJX393288 QTR393288:QTT393288 RDN393288:RDP393288 RNJ393288:RNL393288 RXF393288:RXH393288 SHB393288:SHD393288 SQX393288:SQZ393288 TAT393288:TAV393288 TKP393288:TKR393288 TUL393288:TUN393288 UEH393288:UEJ393288 UOD393288:UOF393288 UXZ393288:UYB393288 VHV393288:VHX393288 VRR393288:VRT393288 WBN393288:WBP393288 WLJ393288:WLL393288 WVF393288:WVH393288 C458824:E458824 IT458824:IV458824 SP458824:SR458824 ACL458824:ACN458824 AMH458824:AMJ458824 AWD458824:AWF458824 BFZ458824:BGB458824 BPV458824:BPX458824 BZR458824:BZT458824 CJN458824:CJP458824 CTJ458824:CTL458824 DDF458824:DDH458824 DNB458824:DND458824 DWX458824:DWZ458824 EGT458824:EGV458824 EQP458824:EQR458824 FAL458824:FAN458824 FKH458824:FKJ458824 FUD458824:FUF458824 GDZ458824:GEB458824 GNV458824:GNX458824 GXR458824:GXT458824 HHN458824:HHP458824 HRJ458824:HRL458824 IBF458824:IBH458824 ILB458824:ILD458824 IUX458824:IUZ458824 JET458824:JEV458824 JOP458824:JOR458824 JYL458824:JYN458824 KIH458824:KIJ458824 KSD458824:KSF458824 LBZ458824:LCB458824 LLV458824:LLX458824 LVR458824:LVT458824 MFN458824:MFP458824 MPJ458824:MPL458824 MZF458824:MZH458824 NJB458824:NJD458824 NSX458824:NSZ458824 OCT458824:OCV458824 OMP458824:OMR458824 OWL458824:OWN458824 PGH458824:PGJ458824 PQD458824:PQF458824 PZZ458824:QAB458824 QJV458824:QJX458824 QTR458824:QTT458824 RDN458824:RDP458824 RNJ458824:RNL458824 RXF458824:RXH458824 SHB458824:SHD458824 SQX458824:SQZ458824 TAT458824:TAV458824 TKP458824:TKR458824 TUL458824:TUN458824 UEH458824:UEJ458824 UOD458824:UOF458824 UXZ458824:UYB458824 VHV458824:VHX458824 VRR458824:VRT458824 WBN458824:WBP458824 WLJ458824:WLL458824 WVF458824:WVH458824 C524360:E524360 IT524360:IV524360 SP524360:SR524360 ACL524360:ACN524360 AMH524360:AMJ524360 AWD524360:AWF524360 BFZ524360:BGB524360 BPV524360:BPX524360 BZR524360:BZT524360 CJN524360:CJP524360 CTJ524360:CTL524360 DDF524360:DDH524360 DNB524360:DND524360 DWX524360:DWZ524360 EGT524360:EGV524360 EQP524360:EQR524360 FAL524360:FAN524360 FKH524360:FKJ524360 FUD524360:FUF524360 GDZ524360:GEB524360 GNV524360:GNX524360 GXR524360:GXT524360 HHN524360:HHP524360 HRJ524360:HRL524360 IBF524360:IBH524360 ILB524360:ILD524360 IUX524360:IUZ524360 JET524360:JEV524360 JOP524360:JOR524360 JYL524360:JYN524360 KIH524360:KIJ524360 KSD524360:KSF524360 LBZ524360:LCB524360 LLV524360:LLX524360 LVR524360:LVT524360 MFN524360:MFP524360 MPJ524360:MPL524360 MZF524360:MZH524360 NJB524360:NJD524360 NSX524360:NSZ524360 OCT524360:OCV524360 OMP524360:OMR524360 OWL524360:OWN524360 PGH524360:PGJ524360 PQD524360:PQF524360 PZZ524360:QAB524360 QJV524360:QJX524360 QTR524360:QTT524360 RDN524360:RDP524360 RNJ524360:RNL524360 RXF524360:RXH524360 SHB524360:SHD524360 SQX524360:SQZ524360 TAT524360:TAV524360 TKP524360:TKR524360 TUL524360:TUN524360 UEH524360:UEJ524360 UOD524360:UOF524360 UXZ524360:UYB524360 VHV524360:VHX524360 VRR524360:VRT524360 WBN524360:WBP524360 WLJ524360:WLL524360 WVF524360:WVH524360 C589896:E589896 IT589896:IV589896 SP589896:SR589896 ACL589896:ACN589896 AMH589896:AMJ589896 AWD589896:AWF589896 BFZ589896:BGB589896 BPV589896:BPX589896 BZR589896:BZT589896 CJN589896:CJP589896 CTJ589896:CTL589896 DDF589896:DDH589896 DNB589896:DND589896 DWX589896:DWZ589896 EGT589896:EGV589896 EQP589896:EQR589896 FAL589896:FAN589896 FKH589896:FKJ589896 FUD589896:FUF589896 GDZ589896:GEB589896 GNV589896:GNX589896 GXR589896:GXT589896 HHN589896:HHP589896 HRJ589896:HRL589896 IBF589896:IBH589896 ILB589896:ILD589896 IUX589896:IUZ589896 JET589896:JEV589896 JOP589896:JOR589896 JYL589896:JYN589896 KIH589896:KIJ589896 KSD589896:KSF589896 LBZ589896:LCB589896 LLV589896:LLX589896 LVR589896:LVT589896 MFN589896:MFP589896 MPJ589896:MPL589896 MZF589896:MZH589896 NJB589896:NJD589896 NSX589896:NSZ589896 OCT589896:OCV589896 OMP589896:OMR589896 OWL589896:OWN589896 PGH589896:PGJ589896 PQD589896:PQF589896 PZZ589896:QAB589896 QJV589896:QJX589896 QTR589896:QTT589896 RDN589896:RDP589896 RNJ589896:RNL589896 RXF589896:RXH589896 SHB589896:SHD589896 SQX589896:SQZ589896 TAT589896:TAV589896 TKP589896:TKR589896 TUL589896:TUN589896 UEH589896:UEJ589896 UOD589896:UOF589896 UXZ589896:UYB589896 VHV589896:VHX589896 VRR589896:VRT589896 WBN589896:WBP589896 WLJ589896:WLL589896 WVF589896:WVH589896 C655432:E655432 IT655432:IV655432 SP655432:SR655432 ACL655432:ACN655432 AMH655432:AMJ655432 AWD655432:AWF655432 BFZ655432:BGB655432 BPV655432:BPX655432 BZR655432:BZT655432 CJN655432:CJP655432 CTJ655432:CTL655432 DDF655432:DDH655432 DNB655432:DND655432 DWX655432:DWZ655432 EGT655432:EGV655432 EQP655432:EQR655432 FAL655432:FAN655432 FKH655432:FKJ655432 FUD655432:FUF655432 GDZ655432:GEB655432 GNV655432:GNX655432 GXR655432:GXT655432 HHN655432:HHP655432 HRJ655432:HRL655432 IBF655432:IBH655432 ILB655432:ILD655432 IUX655432:IUZ655432 JET655432:JEV655432 JOP655432:JOR655432 JYL655432:JYN655432 KIH655432:KIJ655432 KSD655432:KSF655432 LBZ655432:LCB655432 LLV655432:LLX655432 LVR655432:LVT655432 MFN655432:MFP655432 MPJ655432:MPL655432 MZF655432:MZH655432 NJB655432:NJD655432 NSX655432:NSZ655432 OCT655432:OCV655432 OMP655432:OMR655432 OWL655432:OWN655432 PGH655432:PGJ655432 PQD655432:PQF655432 PZZ655432:QAB655432 QJV655432:QJX655432 QTR655432:QTT655432 RDN655432:RDP655432 RNJ655432:RNL655432 RXF655432:RXH655432 SHB655432:SHD655432 SQX655432:SQZ655432 TAT655432:TAV655432 TKP655432:TKR655432 TUL655432:TUN655432 UEH655432:UEJ655432 UOD655432:UOF655432 UXZ655432:UYB655432 VHV655432:VHX655432 VRR655432:VRT655432 WBN655432:WBP655432 WLJ655432:WLL655432 WVF655432:WVH655432 C720968:E720968 IT720968:IV720968 SP720968:SR720968 ACL720968:ACN720968 AMH720968:AMJ720968 AWD720968:AWF720968 BFZ720968:BGB720968 BPV720968:BPX720968 BZR720968:BZT720968 CJN720968:CJP720968 CTJ720968:CTL720968 DDF720968:DDH720968 DNB720968:DND720968 DWX720968:DWZ720968 EGT720968:EGV720968 EQP720968:EQR720968 FAL720968:FAN720968 FKH720968:FKJ720968 FUD720968:FUF720968 GDZ720968:GEB720968 GNV720968:GNX720968 GXR720968:GXT720968 HHN720968:HHP720968 HRJ720968:HRL720968 IBF720968:IBH720968 ILB720968:ILD720968 IUX720968:IUZ720968 JET720968:JEV720968 JOP720968:JOR720968 JYL720968:JYN720968 KIH720968:KIJ720968 KSD720968:KSF720968 LBZ720968:LCB720968 LLV720968:LLX720968 LVR720968:LVT720968 MFN720968:MFP720968 MPJ720968:MPL720968 MZF720968:MZH720968 NJB720968:NJD720968 NSX720968:NSZ720968 OCT720968:OCV720968 OMP720968:OMR720968 OWL720968:OWN720968 PGH720968:PGJ720968 PQD720968:PQF720968 PZZ720968:QAB720968 QJV720968:QJX720968 QTR720968:QTT720968 RDN720968:RDP720968 RNJ720968:RNL720968 RXF720968:RXH720968 SHB720968:SHD720968 SQX720968:SQZ720968 TAT720968:TAV720968 TKP720968:TKR720968 TUL720968:TUN720968 UEH720968:UEJ720968 UOD720968:UOF720968 UXZ720968:UYB720968 VHV720968:VHX720968 VRR720968:VRT720968 WBN720968:WBP720968 WLJ720968:WLL720968 WVF720968:WVH720968 C786504:E786504 IT786504:IV786504 SP786504:SR786504 ACL786504:ACN786504 AMH786504:AMJ786504 AWD786504:AWF786504 BFZ786504:BGB786504 BPV786504:BPX786504 BZR786504:BZT786504 CJN786504:CJP786504 CTJ786504:CTL786504 DDF786504:DDH786504 DNB786504:DND786504 DWX786504:DWZ786504 EGT786504:EGV786504 EQP786504:EQR786504 FAL786504:FAN786504 FKH786504:FKJ786504 FUD786504:FUF786504 GDZ786504:GEB786504 GNV786504:GNX786504 GXR786504:GXT786504 HHN786504:HHP786504 HRJ786504:HRL786504 IBF786504:IBH786504 ILB786504:ILD786504 IUX786504:IUZ786504 JET786504:JEV786504 JOP786504:JOR786504 JYL786504:JYN786504 KIH786504:KIJ786504 KSD786504:KSF786504 LBZ786504:LCB786504 LLV786504:LLX786504 LVR786504:LVT786504 MFN786504:MFP786504 MPJ786504:MPL786504 MZF786504:MZH786504 NJB786504:NJD786504 NSX786504:NSZ786504 OCT786504:OCV786504 OMP786504:OMR786504 OWL786504:OWN786504 PGH786504:PGJ786504 PQD786504:PQF786504 PZZ786504:QAB786504 QJV786504:QJX786504 QTR786504:QTT786504 RDN786504:RDP786504 RNJ786504:RNL786504 RXF786504:RXH786504 SHB786504:SHD786504 SQX786504:SQZ786504 TAT786504:TAV786504 TKP786504:TKR786504 TUL786504:TUN786504 UEH786504:UEJ786504 UOD786504:UOF786504 UXZ786504:UYB786504 VHV786504:VHX786504 VRR786504:VRT786504 WBN786504:WBP786504 WLJ786504:WLL786504 WVF786504:WVH786504 C852040:E852040 IT852040:IV852040 SP852040:SR852040 ACL852040:ACN852040 AMH852040:AMJ852040 AWD852040:AWF852040 BFZ852040:BGB852040 BPV852040:BPX852040 BZR852040:BZT852040 CJN852040:CJP852040 CTJ852040:CTL852040 DDF852040:DDH852040 DNB852040:DND852040 DWX852040:DWZ852040 EGT852040:EGV852040 EQP852040:EQR852040 FAL852040:FAN852040 FKH852040:FKJ852040 FUD852040:FUF852040 GDZ852040:GEB852040 GNV852040:GNX852040 GXR852040:GXT852040 HHN852040:HHP852040 HRJ852040:HRL852040 IBF852040:IBH852040 ILB852040:ILD852040 IUX852040:IUZ852040 JET852040:JEV852040 JOP852040:JOR852040 JYL852040:JYN852040 KIH852040:KIJ852040 KSD852040:KSF852040 LBZ852040:LCB852040 LLV852040:LLX852040 LVR852040:LVT852040 MFN852040:MFP852040 MPJ852040:MPL852040 MZF852040:MZH852040 NJB852040:NJD852040 NSX852040:NSZ852040 OCT852040:OCV852040 OMP852040:OMR852040 OWL852040:OWN852040 PGH852040:PGJ852040 PQD852040:PQF852040 PZZ852040:QAB852040 QJV852040:QJX852040 QTR852040:QTT852040 RDN852040:RDP852040 RNJ852040:RNL852040 RXF852040:RXH852040 SHB852040:SHD852040 SQX852040:SQZ852040 TAT852040:TAV852040 TKP852040:TKR852040 TUL852040:TUN852040 UEH852040:UEJ852040 UOD852040:UOF852040 UXZ852040:UYB852040 VHV852040:VHX852040 VRR852040:VRT852040 WBN852040:WBP852040 WLJ852040:WLL852040 WVF852040:WVH852040 C917576:E917576 IT917576:IV917576 SP917576:SR917576 ACL917576:ACN917576 AMH917576:AMJ917576 AWD917576:AWF917576 BFZ917576:BGB917576 BPV917576:BPX917576 BZR917576:BZT917576 CJN917576:CJP917576 CTJ917576:CTL917576 DDF917576:DDH917576 DNB917576:DND917576 DWX917576:DWZ917576 EGT917576:EGV917576 EQP917576:EQR917576 FAL917576:FAN917576 FKH917576:FKJ917576 FUD917576:FUF917576 GDZ917576:GEB917576 GNV917576:GNX917576 GXR917576:GXT917576 HHN917576:HHP917576 HRJ917576:HRL917576 IBF917576:IBH917576 ILB917576:ILD917576 IUX917576:IUZ917576 JET917576:JEV917576 JOP917576:JOR917576 JYL917576:JYN917576 KIH917576:KIJ917576 KSD917576:KSF917576 LBZ917576:LCB917576 LLV917576:LLX917576 LVR917576:LVT917576 MFN917576:MFP917576 MPJ917576:MPL917576 MZF917576:MZH917576 NJB917576:NJD917576 NSX917576:NSZ917576 OCT917576:OCV917576 OMP917576:OMR917576 OWL917576:OWN917576 PGH917576:PGJ917576 PQD917576:PQF917576 PZZ917576:QAB917576 QJV917576:QJX917576 QTR917576:QTT917576 RDN917576:RDP917576 RNJ917576:RNL917576 RXF917576:RXH917576 SHB917576:SHD917576 SQX917576:SQZ917576 TAT917576:TAV917576 TKP917576:TKR917576 TUL917576:TUN917576 UEH917576:UEJ917576 UOD917576:UOF917576 UXZ917576:UYB917576 VHV917576:VHX917576 VRR917576:VRT917576 WBN917576:WBP917576 WLJ917576:WLL917576 WVF917576:WVH917576 C983112:E983112 IT983112:IV983112 SP983112:SR983112 ACL983112:ACN983112 AMH983112:AMJ983112 AWD983112:AWF983112 BFZ983112:BGB983112 BPV983112:BPX983112 BZR983112:BZT983112 CJN983112:CJP983112 CTJ983112:CTL983112 DDF983112:DDH983112 DNB983112:DND983112 DWX983112:DWZ983112 EGT983112:EGV983112 EQP983112:EQR983112 FAL983112:FAN983112 FKH983112:FKJ983112 FUD983112:FUF983112 GDZ983112:GEB983112 GNV983112:GNX983112 GXR983112:GXT983112 HHN983112:HHP983112 HRJ983112:HRL983112 IBF983112:IBH983112 ILB983112:ILD983112 IUX983112:IUZ983112 JET983112:JEV983112 JOP983112:JOR983112 JYL983112:JYN983112 KIH983112:KIJ983112 KSD983112:KSF983112 LBZ983112:LCB983112 LLV983112:LLX983112 LVR983112:LVT983112 MFN983112:MFP983112 MPJ983112:MPL983112 MZF983112:MZH983112 NJB983112:NJD983112 NSX983112:NSZ983112 OCT983112:OCV983112 OMP983112:OMR983112 OWL983112:OWN983112 PGH983112:PGJ983112 PQD983112:PQF983112 PZZ983112:QAB983112 QJV983112:QJX983112 QTR983112:QTT983112 RDN983112:RDP983112 RNJ983112:RNL983112 RXF983112:RXH983112 SHB983112:SHD983112 SQX983112:SQZ983112 TAT983112:TAV983112 TKP983112:TKR983112 TUL983112:TUN983112 UEH983112:UEJ983112 UOD983112:UOF983112 UXZ983112:UYB983112 VHV983112:VHX983112 VRR983112:VRT983112 WBN983112:WBP983112 WLJ983112:WLL983112 D72:E72" xr:uid="{00000000-0002-0000-0000-000006000000}"/>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C79 IT79 SP79 ACL79 AMH79 AWD79 BFZ79 BPV79 BZR79 CJN79 CTJ79 DDF79 DNB79 DWX79 EGT79 EQP79 FAL79 FKH79 FUD79 GDZ79 GNV79 GXR79 HHN79 HRJ79 IBF79 ILB79 IUX79 JET79 JOP79 JYL79 KIH79 KSD79 LBZ79 LLV79 LVR79 MFN79 MPJ79 MZF79 NJB79 NSX79 OCT79 OMP79 OWL79 PGH79 PQD79 PZZ79 QJV79 QTR79 RDN79 RNJ79 RXF79 SHB79 SQX79 TAT79 TKP79 TUL79 UEH79 UOD79 UXZ79 VHV79 VRR79 WBN79 WLJ79 WVF79 C65615 IT65615 SP65615 ACL65615 AMH65615 AWD65615 BFZ65615 BPV65615 BZR65615 CJN65615 CTJ65615 DDF65615 DNB65615 DWX65615 EGT65615 EQP65615 FAL65615 FKH65615 FUD65615 GDZ65615 GNV65615 GXR65615 HHN65615 HRJ65615 IBF65615 ILB65615 IUX65615 JET65615 JOP65615 JYL65615 KIH65615 KSD65615 LBZ65615 LLV65615 LVR65615 MFN65615 MPJ65615 MZF65615 NJB65615 NSX65615 OCT65615 OMP65615 OWL65615 PGH65615 PQD65615 PZZ65615 QJV65615 QTR65615 RDN65615 RNJ65615 RXF65615 SHB65615 SQX65615 TAT65615 TKP65615 TUL65615 UEH65615 UOD65615 UXZ65615 VHV65615 VRR65615 WBN65615 WLJ65615 WVF65615 C131151 IT131151 SP131151 ACL131151 AMH131151 AWD131151 BFZ131151 BPV131151 BZR131151 CJN131151 CTJ131151 DDF131151 DNB131151 DWX131151 EGT131151 EQP131151 FAL131151 FKH131151 FUD131151 GDZ131151 GNV131151 GXR131151 HHN131151 HRJ131151 IBF131151 ILB131151 IUX131151 JET131151 JOP131151 JYL131151 KIH131151 KSD131151 LBZ131151 LLV131151 LVR131151 MFN131151 MPJ131151 MZF131151 NJB131151 NSX131151 OCT131151 OMP131151 OWL131151 PGH131151 PQD131151 PZZ131151 QJV131151 QTR131151 RDN131151 RNJ131151 RXF131151 SHB131151 SQX131151 TAT131151 TKP131151 TUL131151 UEH131151 UOD131151 UXZ131151 VHV131151 VRR131151 WBN131151 WLJ131151 WVF131151 C196687 IT196687 SP196687 ACL196687 AMH196687 AWD196687 BFZ196687 BPV196687 BZR196687 CJN196687 CTJ196687 DDF196687 DNB196687 DWX196687 EGT196687 EQP196687 FAL196687 FKH196687 FUD196687 GDZ196687 GNV196687 GXR196687 HHN196687 HRJ196687 IBF196687 ILB196687 IUX196687 JET196687 JOP196687 JYL196687 KIH196687 KSD196687 LBZ196687 LLV196687 LVR196687 MFN196687 MPJ196687 MZF196687 NJB196687 NSX196687 OCT196687 OMP196687 OWL196687 PGH196687 PQD196687 PZZ196687 QJV196687 QTR196687 RDN196687 RNJ196687 RXF196687 SHB196687 SQX196687 TAT196687 TKP196687 TUL196687 UEH196687 UOD196687 UXZ196687 VHV196687 VRR196687 WBN196687 WLJ196687 WVF196687 C262223 IT262223 SP262223 ACL262223 AMH262223 AWD262223 BFZ262223 BPV262223 BZR262223 CJN262223 CTJ262223 DDF262223 DNB262223 DWX262223 EGT262223 EQP262223 FAL262223 FKH262223 FUD262223 GDZ262223 GNV262223 GXR262223 HHN262223 HRJ262223 IBF262223 ILB262223 IUX262223 JET262223 JOP262223 JYL262223 KIH262223 KSD262223 LBZ262223 LLV262223 LVR262223 MFN262223 MPJ262223 MZF262223 NJB262223 NSX262223 OCT262223 OMP262223 OWL262223 PGH262223 PQD262223 PZZ262223 QJV262223 QTR262223 RDN262223 RNJ262223 RXF262223 SHB262223 SQX262223 TAT262223 TKP262223 TUL262223 UEH262223 UOD262223 UXZ262223 VHV262223 VRR262223 WBN262223 WLJ262223 WVF262223 C327759 IT327759 SP327759 ACL327759 AMH327759 AWD327759 BFZ327759 BPV327759 BZR327759 CJN327759 CTJ327759 DDF327759 DNB327759 DWX327759 EGT327759 EQP327759 FAL327759 FKH327759 FUD327759 GDZ327759 GNV327759 GXR327759 HHN327759 HRJ327759 IBF327759 ILB327759 IUX327759 JET327759 JOP327759 JYL327759 KIH327759 KSD327759 LBZ327759 LLV327759 LVR327759 MFN327759 MPJ327759 MZF327759 NJB327759 NSX327759 OCT327759 OMP327759 OWL327759 PGH327759 PQD327759 PZZ327759 QJV327759 QTR327759 RDN327759 RNJ327759 RXF327759 SHB327759 SQX327759 TAT327759 TKP327759 TUL327759 UEH327759 UOD327759 UXZ327759 VHV327759 VRR327759 WBN327759 WLJ327759 WVF327759 C393295 IT393295 SP393295 ACL393295 AMH393295 AWD393295 BFZ393295 BPV393295 BZR393295 CJN393295 CTJ393295 DDF393295 DNB393295 DWX393295 EGT393295 EQP393295 FAL393295 FKH393295 FUD393295 GDZ393295 GNV393295 GXR393295 HHN393295 HRJ393295 IBF393295 ILB393295 IUX393295 JET393295 JOP393295 JYL393295 KIH393295 KSD393295 LBZ393295 LLV393295 LVR393295 MFN393295 MPJ393295 MZF393295 NJB393295 NSX393295 OCT393295 OMP393295 OWL393295 PGH393295 PQD393295 PZZ393295 QJV393295 QTR393295 RDN393295 RNJ393295 RXF393295 SHB393295 SQX393295 TAT393295 TKP393295 TUL393295 UEH393295 UOD393295 UXZ393295 VHV393295 VRR393295 WBN393295 WLJ393295 WVF393295 C458831 IT458831 SP458831 ACL458831 AMH458831 AWD458831 BFZ458831 BPV458831 BZR458831 CJN458831 CTJ458831 DDF458831 DNB458831 DWX458831 EGT458831 EQP458831 FAL458831 FKH458831 FUD458831 GDZ458831 GNV458831 GXR458831 HHN458831 HRJ458831 IBF458831 ILB458831 IUX458831 JET458831 JOP458831 JYL458831 KIH458831 KSD458831 LBZ458831 LLV458831 LVR458831 MFN458831 MPJ458831 MZF458831 NJB458831 NSX458831 OCT458831 OMP458831 OWL458831 PGH458831 PQD458831 PZZ458831 QJV458831 QTR458831 RDN458831 RNJ458831 RXF458831 SHB458831 SQX458831 TAT458831 TKP458831 TUL458831 UEH458831 UOD458831 UXZ458831 VHV458831 VRR458831 WBN458831 WLJ458831 WVF458831 C524367 IT524367 SP524367 ACL524367 AMH524367 AWD524367 BFZ524367 BPV524367 BZR524367 CJN524367 CTJ524367 DDF524367 DNB524367 DWX524367 EGT524367 EQP524367 FAL524367 FKH524367 FUD524367 GDZ524367 GNV524367 GXR524367 HHN524367 HRJ524367 IBF524367 ILB524367 IUX524367 JET524367 JOP524367 JYL524367 KIH524367 KSD524367 LBZ524367 LLV524367 LVR524367 MFN524367 MPJ524367 MZF524367 NJB524367 NSX524367 OCT524367 OMP524367 OWL524367 PGH524367 PQD524367 PZZ524367 QJV524367 QTR524367 RDN524367 RNJ524367 RXF524367 SHB524367 SQX524367 TAT524367 TKP524367 TUL524367 UEH524367 UOD524367 UXZ524367 VHV524367 VRR524367 WBN524367 WLJ524367 WVF524367 C589903 IT589903 SP589903 ACL589903 AMH589903 AWD589903 BFZ589903 BPV589903 BZR589903 CJN589903 CTJ589903 DDF589903 DNB589903 DWX589903 EGT589903 EQP589903 FAL589903 FKH589903 FUD589903 GDZ589903 GNV589903 GXR589903 HHN589903 HRJ589903 IBF589903 ILB589903 IUX589903 JET589903 JOP589903 JYL589903 KIH589903 KSD589903 LBZ589903 LLV589903 LVR589903 MFN589903 MPJ589903 MZF589903 NJB589903 NSX589903 OCT589903 OMP589903 OWL589903 PGH589903 PQD589903 PZZ589903 QJV589903 QTR589903 RDN589903 RNJ589903 RXF589903 SHB589903 SQX589903 TAT589903 TKP589903 TUL589903 UEH589903 UOD589903 UXZ589903 VHV589903 VRR589903 WBN589903 WLJ589903 WVF589903 C655439 IT655439 SP655439 ACL655439 AMH655439 AWD655439 BFZ655439 BPV655439 BZR655439 CJN655439 CTJ655439 DDF655439 DNB655439 DWX655439 EGT655439 EQP655439 FAL655439 FKH655439 FUD655439 GDZ655439 GNV655439 GXR655439 HHN655439 HRJ655439 IBF655439 ILB655439 IUX655439 JET655439 JOP655439 JYL655439 KIH655439 KSD655439 LBZ655439 LLV655439 LVR655439 MFN655439 MPJ655439 MZF655439 NJB655439 NSX655439 OCT655439 OMP655439 OWL655439 PGH655439 PQD655439 PZZ655439 QJV655439 QTR655439 RDN655439 RNJ655439 RXF655439 SHB655439 SQX655439 TAT655439 TKP655439 TUL655439 UEH655439 UOD655439 UXZ655439 VHV655439 VRR655439 WBN655439 WLJ655439 WVF655439 C720975 IT720975 SP720975 ACL720975 AMH720975 AWD720975 BFZ720975 BPV720975 BZR720975 CJN720975 CTJ720975 DDF720975 DNB720975 DWX720975 EGT720975 EQP720975 FAL720975 FKH720975 FUD720975 GDZ720975 GNV720975 GXR720975 HHN720975 HRJ720975 IBF720975 ILB720975 IUX720975 JET720975 JOP720975 JYL720975 KIH720975 KSD720975 LBZ720975 LLV720975 LVR720975 MFN720975 MPJ720975 MZF720975 NJB720975 NSX720975 OCT720975 OMP720975 OWL720975 PGH720975 PQD720975 PZZ720975 QJV720975 QTR720975 RDN720975 RNJ720975 RXF720975 SHB720975 SQX720975 TAT720975 TKP720975 TUL720975 UEH720975 UOD720975 UXZ720975 VHV720975 VRR720975 WBN720975 WLJ720975 WVF720975 C786511 IT786511 SP786511 ACL786511 AMH786511 AWD786511 BFZ786511 BPV786511 BZR786511 CJN786511 CTJ786511 DDF786511 DNB786511 DWX786511 EGT786511 EQP786511 FAL786511 FKH786511 FUD786511 GDZ786511 GNV786511 GXR786511 HHN786511 HRJ786511 IBF786511 ILB786511 IUX786511 JET786511 JOP786511 JYL786511 KIH786511 KSD786511 LBZ786511 LLV786511 LVR786511 MFN786511 MPJ786511 MZF786511 NJB786511 NSX786511 OCT786511 OMP786511 OWL786511 PGH786511 PQD786511 PZZ786511 QJV786511 QTR786511 RDN786511 RNJ786511 RXF786511 SHB786511 SQX786511 TAT786511 TKP786511 TUL786511 UEH786511 UOD786511 UXZ786511 VHV786511 VRR786511 WBN786511 WLJ786511 WVF786511 C852047 IT852047 SP852047 ACL852047 AMH852047 AWD852047 BFZ852047 BPV852047 BZR852047 CJN852047 CTJ852047 DDF852047 DNB852047 DWX852047 EGT852047 EQP852047 FAL852047 FKH852047 FUD852047 GDZ852047 GNV852047 GXR852047 HHN852047 HRJ852047 IBF852047 ILB852047 IUX852047 JET852047 JOP852047 JYL852047 KIH852047 KSD852047 LBZ852047 LLV852047 LVR852047 MFN852047 MPJ852047 MZF852047 NJB852047 NSX852047 OCT852047 OMP852047 OWL852047 PGH852047 PQD852047 PZZ852047 QJV852047 QTR852047 RDN852047 RNJ852047 RXF852047 SHB852047 SQX852047 TAT852047 TKP852047 TUL852047 UEH852047 UOD852047 UXZ852047 VHV852047 VRR852047 WBN852047 WLJ852047 WVF852047 C917583 IT917583 SP917583 ACL917583 AMH917583 AWD917583 BFZ917583 BPV917583 BZR917583 CJN917583 CTJ917583 DDF917583 DNB917583 DWX917583 EGT917583 EQP917583 FAL917583 FKH917583 FUD917583 GDZ917583 GNV917583 GXR917583 HHN917583 HRJ917583 IBF917583 ILB917583 IUX917583 JET917583 JOP917583 JYL917583 KIH917583 KSD917583 LBZ917583 LLV917583 LVR917583 MFN917583 MPJ917583 MZF917583 NJB917583 NSX917583 OCT917583 OMP917583 OWL917583 PGH917583 PQD917583 PZZ917583 QJV917583 QTR917583 RDN917583 RNJ917583 RXF917583 SHB917583 SQX917583 TAT917583 TKP917583 TUL917583 UEH917583 UOD917583 UXZ917583 VHV917583 VRR917583 WBN917583 WLJ917583 WVF917583 C983119 IT983119 SP983119 ACL983119 AMH983119 AWD983119 BFZ983119 BPV983119 BZR983119 CJN983119 CTJ983119 DDF983119 DNB983119 DWX983119 EGT983119 EQP983119 FAL983119 FKH983119 FUD983119 GDZ983119 GNV983119 GXR983119 HHN983119 HRJ983119 IBF983119 ILB983119 IUX983119 JET983119 JOP983119 JYL983119 KIH983119 KSD983119 LBZ983119 LLV983119 LVR983119 MFN983119 MPJ983119 MZF983119 NJB983119 NSX983119 OCT983119 OMP983119 OWL983119 PGH983119 PQD983119 PZZ983119 QJV983119 QTR983119 RDN983119 RNJ983119 RXF983119 SHB983119 SQX983119 TAT983119 TKP983119 TUL983119 UEH983119 UOD983119 UXZ983119 VHV983119 VRR983119 WBN983119 WLJ983119 WVF983119" xr:uid="{00000000-0002-0000-0000-000007000000}"/>
    <dataValidation allowBlank="1" showErrorMessage="1" errorTitle="Unit Price" error="You must enter a number into this cell." promptTitle="Unit Price" sqref="J1:J1048576" xr:uid="{00000000-0002-0000-0000-000008000000}"/>
  </dataValidations>
  <pageMargins left="0.70866141732283472" right="0.70866141732283472" top="0.74803149606299213" bottom="0.74803149606299213" header="0.31496062992125984" footer="0.31496062992125984"/>
  <pageSetup paperSize="9" scale="60" orientation="portrait" horizontalDpi="4294967295" verticalDpi="4294967295" r:id="rId1"/>
  <drawing r:id="rId2"/>
  <extLst>
    <ext xmlns:x14="http://schemas.microsoft.com/office/spreadsheetml/2009/9/main" uri="{CCE6A557-97BC-4b89-ADB6-D9C93CAAB3DF}">
      <x14:dataValidations xmlns:xm="http://schemas.microsoft.com/office/excel/2006/main" count="10">
        <x14:dataValidation type="list" allowBlank="1" xr:uid="{C2818162-DC9A-8047-B4AE-CF0E7C12A554}">
          <x14:formula1>
            <xm:f>Items!$P$1:$P$3</xm:f>
          </x14:formula1>
          <xm:sqref>C65</xm:sqref>
        </x14:dataValidation>
        <x14:dataValidation type="list" allowBlank="1" showInputMessage="1" showErrorMessage="1" xr:uid="{34D96EEA-9498-8545-B85D-00C54763C107}">
          <x14:formula1>
            <xm:f>Items!$K$3:$K$4</xm:f>
          </x14:formula1>
          <xm:sqref>K14</xm:sqref>
        </x14:dataValidation>
        <x14:dataValidation type="list" allowBlank="1" xr:uid="{F673930E-D195-3548-8FB9-18FE6C8E9608}">
          <x14:formula1>
            <xm:f>Items!$U$6:$U$16</xm:f>
          </x14:formula1>
          <xm:sqref>C62</xm:sqref>
        </x14:dataValidation>
        <x14:dataValidation type="list" allowBlank="1" xr:uid="{21BDB697-6973-234B-9288-242C0F037915}">
          <x14:formula1>
            <xm:f>Items!$T$6:$T$10</xm:f>
          </x14:formula1>
          <xm:sqref>C61</xm:sqref>
        </x14:dataValidation>
        <x14:dataValidation type="list" allowBlank="1" xr:uid="{922197CC-645E-4744-AB13-4D7D30E71867}">
          <x14:formula1>
            <xm:f>Items!$S$6:$S$10</xm:f>
          </x14:formula1>
          <xm:sqref>C60</xm:sqref>
        </x14:dataValidation>
        <x14:dataValidation type="list" allowBlank="1" xr:uid="{9BC70B8E-4020-0542-8CD0-2D7BD3D6DBB5}">
          <x14:formula1>
            <xm:f>Items!$R$6:$R$8</xm:f>
          </x14:formula1>
          <xm:sqref>C59</xm:sqref>
        </x14:dataValidation>
        <x14:dataValidation type="list" allowBlank="1" xr:uid="{5DC44013-9563-834F-9B3C-965967102C48}">
          <x14:formula1>
            <xm:f>Items!$Q$6:$Q$10</xm:f>
          </x14:formula1>
          <xm:sqref>C58</xm:sqref>
        </x14:dataValidation>
        <x14:dataValidation type="list" allowBlank="1" showInputMessage="1" showErrorMessage="1" xr:uid="{7BEA2EBF-424B-C04B-910C-42A0CDE66131}">
          <x14:formula1>
            <xm:f>Items!$AD$8:$AD$17</xm:f>
          </x14:formula1>
          <xm:sqref>C66</xm:sqref>
        </x14:dataValidation>
        <x14:dataValidation type="list" allowBlank="1" xr:uid="{E93D7CC0-5A81-DA45-B4C5-6087A9292917}">
          <x14:formula1>
            <xm:f>'Client List'!$B:$B</xm:f>
          </x14:formula1>
          <xm:sqref>C11</xm:sqref>
        </x14:dataValidation>
        <x14:dataValidation type="list" allowBlank="1" showInputMessage="1" showErrorMessage="1" xr:uid="{288E46F4-1770-824E-8C34-B74874D77639}">
          <x14:formula1>
            <xm:f>'Client List'!$B2:$B622</xm:f>
          </x14:formula1>
          <xm:sqref>D11:G11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1:AA40"/>
  <sheetViews>
    <sheetView showGridLines="0" topLeftCell="C1" zoomScaleNormal="100" workbookViewId="0">
      <selection activeCell="I15" sqref="I15"/>
    </sheetView>
  </sheetViews>
  <sheetFormatPr baseColWidth="10" defaultColWidth="9.1640625" defaultRowHeight="14"/>
  <cols>
    <col min="1" max="1" width="9.1640625" style="50"/>
    <col min="2" max="2" width="10" style="50" bestFit="1" customWidth="1"/>
    <col min="3" max="3" width="31.83203125" style="51" bestFit="1" customWidth="1"/>
    <col min="4" max="4" width="15.1640625" style="51" customWidth="1"/>
    <col min="5" max="5" width="9.1640625" style="50"/>
    <col min="6" max="6" width="18" style="50" customWidth="1"/>
    <col min="7" max="8" width="9.1640625" style="50"/>
    <col min="9" max="9" width="18.5" style="50" customWidth="1"/>
    <col min="10" max="10" width="13.1640625" style="50" customWidth="1"/>
    <col min="11" max="11" width="4.6640625" style="50" customWidth="1"/>
    <col min="12" max="12" width="9.1640625" style="50"/>
    <col min="13" max="13" width="11.5" style="50" hidden="1" customWidth="1"/>
    <col min="14" max="14" width="10.6640625" style="50" hidden="1" customWidth="1"/>
    <col min="15" max="15" width="13" style="50" hidden="1" customWidth="1"/>
    <col min="16" max="16" width="14.83203125" style="50" hidden="1" customWidth="1"/>
    <col min="17" max="17" width="12.33203125" style="50" hidden="1" customWidth="1"/>
    <col min="18" max="18" width="16.83203125" style="50" hidden="1" customWidth="1"/>
    <col min="19" max="19" width="17.5" style="50" hidden="1" customWidth="1"/>
    <col min="20" max="21" width="11.83203125" style="50" hidden="1" customWidth="1"/>
    <col min="22" max="22" width="15.1640625" style="50" hidden="1" customWidth="1"/>
    <col min="23" max="24" width="16.33203125" style="50" hidden="1" customWidth="1"/>
    <col min="25" max="25" width="16.6640625" style="50" hidden="1" customWidth="1"/>
    <col min="26" max="27" width="17.1640625" style="50" hidden="1" customWidth="1"/>
    <col min="28" max="16384" width="9.1640625" style="50"/>
  </cols>
  <sheetData>
    <row r="1" spans="2:27" ht="15" thickBot="1"/>
    <row r="2" spans="2:27" ht="16" thickTop="1" thickBot="1">
      <c r="B2" s="56"/>
      <c r="C2" s="57"/>
      <c r="D2" s="57"/>
      <c r="E2" s="58"/>
      <c r="F2" s="58"/>
      <c r="G2" s="59"/>
      <c r="I2" s="82" t="s">
        <v>1741</v>
      </c>
      <c r="J2" s="299"/>
      <c r="K2" s="83" t="s">
        <v>1742</v>
      </c>
      <c r="L2" s="359"/>
    </row>
    <row r="3" spans="2:27" ht="20" thickTop="1" thickBot="1">
      <c r="B3" s="60"/>
      <c r="C3" s="376" t="s">
        <v>2501</v>
      </c>
      <c r="D3" s="377"/>
      <c r="E3" s="377"/>
      <c r="F3" s="378"/>
      <c r="G3" s="61"/>
      <c r="I3" s="84"/>
      <c r="J3" s="79"/>
      <c r="K3" s="85"/>
    </row>
    <row r="4" spans="2:27" ht="19" thickTop="1">
      <c r="B4" s="60"/>
      <c r="C4" s="66"/>
      <c r="D4" s="66"/>
      <c r="E4" s="66"/>
      <c r="F4" s="66"/>
      <c r="G4" s="61"/>
      <c r="I4" s="86" t="s">
        <v>1276</v>
      </c>
      <c r="J4" s="291" t="str">
        <f ca="1">IFERROR(INVOICE!K14&amp;" "&amp;TEXT(IF(I12="DISPLAY TAX",ROUND(SUM(INVOICE!K68:K69)/J9,2),ROUND(INVOICE!K66/J9,2)),"#,##0.00"),"")</f>
        <v>GH₵ 22,230.06</v>
      </c>
      <c r="K4" s="87"/>
      <c r="U4" s="360" t="str">
        <f ca="1">IF(NOW()&gt;INVOICE!Q13,"","AUTOMATE")</f>
        <v>AUTOMATE</v>
      </c>
    </row>
    <row r="5" spans="2:27" ht="28" customHeight="1">
      <c r="B5" s="342"/>
      <c r="C5" s="379" t="str">
        <f>IF(OR(D$7="Hybrid",D$7="Mini-grid"),D$7&amp;" Solar System with "&amp;'Customer Base'!$J$7&amp;"kVA inverter, ",IF(D$7="Grid-Tied","Grid-Tied Solar System with "&amp;'Customer Base'!$J$7&amp;"kVA inverter, ",IF(D$7="Mini-Grid","Mini-Grid Solar System with ",IF(D$7="Backup","Backup System with "&amp;'Customer Base'!$J$7&amp;"kVA inverter, ",""))))&amp;IF(OR(D$7="Hybrid",D$7="Mini-grid"),'Customer Base'!$J$8&amp;"kWh Battery, ","")&amp;IF(D$7="Backup","and "&amp;'Customer Base'!$J$8&amp;"kWh Battery","")&amp;IF(AND(OR(D19="Lithium",D34="Yes"),OR(D$7="Hybrid",D$7="Mini-grid",D$7="Grid-Tied")),'Customer Base'!$J$9&amp;"kWp Solar Panels and Remote Monitoring","")&amp;IF(AND(D19&lt;&gt;"Lithium",D34="No",OR(D$7="Hybrid",D$7="Mini-grid",D$7="Grid-Tied")),"and "&amp;'Customer Base'!$J$9&amp;"kWp Solar Panels","")&amp;IF(D7="",INVOICE!C17,"")</f>
        <v>Hybrid Solar System with 5kVA inverter, 10kWh Battery, 5.085kWp Solar Panels and Remote Monitoring</v>
      </c>
      <c r="D5" s="380"/>
      <c r="E5" s="380"/>
      <c r="F5" s="381"/>
      <c r="G5" s="61"/>
      <c r="I5" s="86" t="s">
        <v>1242</v>
      </c>
      <c r="J5" s="296">
        <v>16.7</v>
      </c>
      <c r="K5" s="87"/>
      <c r="U5" s="360" t="s">
        <v>2478</v>
      </c>
    </row>
    <row r="6" spans="2:27" ht="14" customHeight="1">
      <c r="B6" s="60"/>
      <c r="C6" s="382"/>
      <c r="D6" s="383"/>
      <c r="E6" s="383"/>
      <c r="F6" s="384"/>
      <c r="G6" s="61"/>
      <c r="I6" s="88"/>
      <c r="J6" s="81"/>
      <c r="K6" s="87"/>
    </row>
    <row r="7" spans="2:27">
      <c r="B7" s="60"/>
      <c r="C7" s="69" t="s">
        <v>2460</v>
      </c>
      <c r="D7" s="274" t="s">
        <v>2462</v>
      </c>
      <c r="F7" s="61"/>
      <c r="G7" s="61"/>
      <c r="I7" s="89" t="s">
        <v>1217</v>
      </c>
      <c r="J7" s="290">
        <f>'Customer Base'!D$14*'Customer Base'!D$15</f>
        <v>5</v>
      </c>
      <c r="K7" s="90" t="s">
        <v>1231</v>
      </c>
      <c r="M7" s="52" t="s">
        <v>2711</v>
      </c>
      <c r="N7" s="52" t="s">
        <v>2464</v>
      </c>
      <c r="O7" s="52" t="s">
        <v>2200</v>
      </c>
      <c r="P7" s="52" t="s">
        <v>2477</v>
      </c>
      <c r="Q7" s="52" t="s">
        <v>2465</v>
      </c>
      <c r="R7" s="52" t="s">
        <v>2666</v>
      </c>
      <c r="S7" s="52" t="s">
        <v>2665</v>
      </c>
      <c r="T7" s="52" t="s">
        <v>2469</v>
      </c>
      <c r="U7" s="52" t="s">
        <v>2466</v>
      </c>
      <c r="V7" s="52" t="s">
        <v>1218</v>
      </c>
      <c r="W7" s="52" t="s">
        <v>2472</v>
      </c>
      <c r="X7" s="52" t="s">
        <v>2663</v>
      </c>
      <c r="Y7" s="52" t="s">
        <v>2492</v>
      </c>
      <c r="Z7" s="53" t="s">
        <v>2496</v>
      </c>
      <c r="AA7" s="52"/>
    </row>
    <row r="8" spans="2:27">
      <c r="B8" s="60"/>
      <c r="C8" s="69" t="s">
        <v>2471</v>
      </c>
      <c r="D8" s="274">
        <v>48</v>
      </c>
      <c r="F8" s="61"/>
      <c r="G8" s="61"/>
      <c r="I8" s="86" t="s">
        <v>1218</v>
      </c>
      <c r="J8" s="291">
        <f>SUM(Items!AO205:AO236)</f>
        <v>10</v>
      </c>
      <c r="K8" s="91" t="s">
        <v>1232</v>
      </c>
      <c r="M8" s="50" t="s">
        <v>2198</v>
      </c>
      <c r="N8" s="50" t="s">
        <v>2201</v>
      </c>
      <c r="O8" s="51" cm="1">
        <f t="array" ref="O8">IF(OR(ISNUMBER(SEARCH({"Hybrid","Backup","Mini-Grid"},D$7))),48,"")</f>
        <v>48</v>
      </c>
      <c r="P8" s="51">
        <v>1</v>
      </c>
      <c r="Q8" s="50" t="str" cm="1">
        <f t="array" ref="Q8">IF(OR(ISNUMBER(SEARCH({"Mini-Grid","Hybrid","Backup"},D$7))),"Victron","")</f>
        <v>Victron</v>
      </c>
      <c r="R8" s="50" cm="1">
        <f t="array" ref="R8">IF(OR(AND(ISNUMBER(SEARCH({"Victron"},D$13)),ISNUMBER(SEARCH({"Phoenix"},E$13)),OR(ISNUMBER(SEARCH({12,24,48},D$8)))),AND(ISNUMBER(SEARCH({"Victron"},D$13)),ISNUMBER(SEARCH({"Multiplus"},E$13)),OR(ISNUMBER(SEARCH({12,24,48},D$8))))),0.25,"")</f>
        <v>0.25</v>
      </c>
      <c r="S8" s="50" t="str" cm="1">
        <f t="array" ref="S8">IF(OR(AND(ISNUMBER(SEARCH({"Victron"},F$13)),ISNUMBER(SEARCH({"Phoenix"},E$13)),OR(ISNUMBER(SEARCH({12,24,48},D$8)))),AND(ISNUMBER(SEARCH({"Victron"},F$13)),ISNUMBER(SEARCH({"Multiplus"},E$13)),OR(ISNUMBER(SEARCH({12,24,48},D$8))))),0.25,"")</f>
        <v/>
      </c>
      <c r="T8" s="50" t="str" cm="1">
        <f t="array" ref="T8">IF(AND(OR(ISNUMBER(SEARCH({"Hybrid","Backup","Mini-Grid"},D$7))),D8=48),"Lithium","")</f>
        <v>Lithium</v>
      </c>
      <c r="U8" s="50" t="str" cm="1">
        <f t="array" ref="U8">IF(AND(OR(ISNUMBER(SEARCH({"Lithium"},D$19))),D$7&lt;&gt;"Grid-Tied"),"BYD","")</f>
        <v>BYD</v>
      </c>
      <c r="V8" s="50" t="str">
        <f>IF(AND(D$19="12V Lead-Acid",D$20="Victron"),8,"")</f>
        <v/>
      </c>
      <c r="W8" s="50" t="s">
        <v>2475</v>
      </c>
      <c r="X8" s="50" t="str">
        <f>IF(D$25="Victron",115,"")</f>
        <v/>
      </c>
      <c r="Y8" s="50" t="s">
        <v>2493</v>
      </c>
      <c r="Z8" s="50" t="s">
        <v>2495</v>
      </c>
    </row>
    <row r="9" spans="2:27">
      <c r="B9" s="60"/>
      <c r="C9" s="69" t="s">
        <v>2477</v>
      </c>
      <c r="D9" s="275">
        <v>1</v>
      </c>
      <c r="F9" s="61"/>
      <c r="G9" s="61"/>
      <c r="I9" s="92" t="s">
        <v>1219</v>
      </c>
      <c r="J9" s="292">
        <f>SUM(Items!AO242:AO254)</f>
        <v>5.0849999999999991</v>
      </c>
      <c r="K9" s="93" t="s">
        <v>1233</v>
      </c>
      <c r="M9" s="50" t="s">
        <v>2202</v>
      </c>
      <c r="N9" s="50" t="s">
        <v>2461</v>
      </c>
      <c r="O9" s="50" cm="1">
        <f t="array" ref="O9">IF(OR(ISNUMBER(SEARCH({"Hybrid","Backup","Mini-Grid"},D$7))),24,"")</f>
        <v>24</v>
      </c>
      <c r="P9" s="50">
        <v>3</v>
      </c>
      <c r="Q9" s="50" t="str" cm="1">
        <f t="array" ref="Q9">IF(OR(ISNUMBER(SEARCH({"Hybrid","Backup"},D$7))),"Deye","")</f>
        <v>Deye</v>
      </c>
      <c r="S9" s="50" t="str" cm="1">
        <f t="array" ref="S9">IF(OR(AND(ISNUMBER(SEARCH({"Victron"},F$13)),ISNUMBER(SEARCH({"Phoenix"},E$13)),OR(ISNUMBER(SEARCH({12,24,48},D$8)))),AND(ISNUMBER(SEARCH({"Victron"},F$13)),ISNUMBER(SEARCH({"Multiplus"},E$13)),OR(ISNUMBER(SEARCH({12,24,48},D$8))))),0.375,"")</f>
        <v/>
      </c>
      <c r="T9" s="50" t="str" cm="1">
        <f t="array" ref="T9">IF(AND(OR(ISNUMBER(SEARCH({"Hybrid","Backup","Mini-Grid"},D$7)))),"12V Lead-Acid","")</f>
        <v>12V Lead-Acid</v>
      </c>
      <c r="U9" s="50" t="str" cm="1">
        <f t="array" ref="U9">IF(AND(OR(ISNUMBER(SEARCH({"Lithium"},D$19))),D$7&lt;&gt;"Grid-Tied"),"Jinko","")</f>
        <v>Jinko</v>
      </c>
      <c r="V9" s="50" t="str">
        <f>IF(AND(D$19="12V Lead-Acid",D$20="Victron"),14,"")</f>
        <v/>
      </c>
      <c r="W9" s="50" t="s">
        <v>2468</v>
      </c>
      <c r="X9" s="50" t="str">
        <f>IF(D$25="Victron",270,"")</f>
        <v/>
      </c>
      <c r="Y9" s="50" t="s">
        <v>2494</v>
      </c>
      <c r="Z9" s="50" t="s">
        <v>2497</v>
      </c>
    </row>
    <row r="10" spans="2:27">
      <c r="B10" s="60"/>
      <c r="C10" s="70"/>
      <c r="D10" s="71"/>
      <c r="E10" s="64"/>
      <c r="F10" s="65"/>
      <c r="G10" s="61"/>
      <c r="I10" s="94"/>
      <c r="J10" s="80"/>
      <c r="K10" s="95"/>
      <c r="M10" s="50" t="s">
        <v>2203</v>
      </c>
      <c r="N10" s="50" t="s">
        <v>2462</v>
      </c>
      <c r="O10" s="305" cm="1">
        <f t="array" ref="O10">IF(OR(ISNUMBER(SEARCH({"Hybrid","Backup","Mini-Grid"},D$7))),12,"")</f>
        <v>12</v>
      </c>
      <c r="Q10" s="50" t="str" cm="1">
        <f t="array" ref="Q10">IF(OR(ISNUMBER(SEARCH({"Hybrid","Backup"},D$7))),"Phocos","")</f>
        <v>Phocos</v>
      </c>
      <c r="R10" s="50" cm="1">
        <f t="array" ref="R10">IF(OR(AND(ISNUMBER(SEARCH({"Victron"},D$13)),ISNUMBER(SEARCH({"Phoenix"},E$13)),OR(ISNUMBER(SEARCH({12,24,48},D$8)))),AND(ISNUMBER(SEARCH({"Victron"},D$13)),ISNUMBER(SEARCH({"Multiplus"},E$13)),OR(ISNUMBER(SEARCH({12,24,48},D$8))))),0.5,"")</f>
        <v>0.5</v>
      </c>
      <c r="S10" s="50" t="str" cm="1">
        <f t="array" ref="S10">IF(OR(AND(ISNUMBER(SEARCH({"Victron"},F$13)),ISNUMBER(SEARCH({"Phoenix"},E$13)),OR(ISNUMBER(SEARCH({12,24,48},D$8)))),AND(ISNUMBER(SEARCH({"Victron"},F$13)),ISNUMBER(SEARCH({"Multiplus"},E$13)),OR(ISNUMBER(SEARCH({12,24,48},D$8))))),0.5,"")</f>
        <v/>
      </c>
      <c r="T10" s="50" t="str" cm="1">
        <f t="array" ref="T10">IF(AND(OR(ISNUMBER(SEARCH({"Hybrid","Backup","Mini-Grid"},D$7)))),"2V OPzS","")</f>
        <v>2V OPzS</v>
      </c>
      <c r="U10" s="50" t="str" cm="1">
        <f t="array" ref="U10">IF(AND(OR(ISNUMBER(SEARCH({"12V Lead-Acid","2V OPzS","2V OPzV"},D$19))),D$7&lt;&gt;"Grid-Tied"),"Victron","")</f>
        <v/>
      </c>
      <c r="V10" s="50" t="str">
        <f>IF(AND(D$19="12V Lead-Acid",D$20="Victron"),22,"")</f>
        <v/>
      </c>
      <c r="W10" s="50" t="s">
        <v>2467</v>
      </c>
      <c r="X10" s="50" t="str">
        <f>IF(D$25="Victron",305,"")</f>
        <v/>
      </c>
      <c r="Z10" s="50" t="s">
        <v>2498</v>
      </c>
    </row>
    <row r="11" spans="2:27">
      <c r="B11" s="60"/>
      <c r="C11" s="54"/>
      <c r="D11" s="55"/>
      <c r="G11" s="61"/>
      <c r="I11" s="88"/>
      <c r="J11" s="81"/>
      <c r="K11" s="87"/>
      <c r="N11" s="50" t="s">
        <v>2463</v>
      </c>
      <c r="O11" s="305" t="str" cm="1">
        <f t="array" ref="O11">IF(OR(ISNUMBER(SEARCH({"Grid-Tied"},D$7))),"230/400","")</f>
        <v/>
      </c>
      <c r="Q11" s="50" t="str" cm="1">
        <f t="array" ref="Q11">IF(OR(ISNUMBER(SEARCH({"Mini-Grid","Grid-Tied"},D$7))),"Fronius","")</f>
        <v/>
      </c>
      <c r="R11" s="50" cm="1">
        <f t="array" ref="R11">IF(OR(AND(ISNUMBER(SEARCH({"Victron"},D$13)),ISNUMBER(SEARCH({"Phoenix"},E$13)),OR(ISNUMBER(SEARCH({12,24,48},D$8)))),AND(ISNUMBER(SEARCH({"Victron"},D$13)),ISNUMBER(SEARCH({"Multiplus"},E$13)),OR(ISNUMBER(SEARCH({12,24,48},D$8))))),0.8,"")</f>
        <v>0.8</v>
      </c>
      <c r="S11" s="50" t="str" cm="1">
        <f t="array" ref="S11">IF(OR(AND(ISNUMBER(SEARCH({"Victron"},F$13)),ISNUMBER(SEARCH({"Phoenix"},E$13)),OR(ISNUMBER(SEARCH({12,24,48},D$8)))),AND(ISNUMBER(SEARCH({"Victron"},F$13)),ISNUMBER(SEARCH({"Multiplus"},E$13)),OR(ISNUMBER(SEARCH({12,24,48},D$8))))),0.8,"")</f>
        <v/>
      </c>
      <c r="T11" s="50" t="str" cm="1">
        <f t="array" ref="T11">IF(AND(OR(ISNUMBER(SEARCH({"Hybrid","Backup","Mini-Grid"},D$7)))),"2V OPzV","")</f>
        <v>2V OPzV</v>
      </c>
      <c r="U11" s="50" t="str" cm="1">
        <f t="array" ref="U11">IF(AND(OR(ISNUMBER(SEARCH({"12V Lead-Acid","2V OPzS","2V OPzV"},D$19))),D$7&lt;&gt;"Grid-Tied"),"Hoppecke","")</f>
        <v/>
      </c>
      <c r="V11" s="50" t="str">
        <f>IF(AND(D$19="12V Lead-Acid",D$20="Victron"),38,"")</f>
        <v/>
      </c>
      <c r="W11" s="50" t="s">
        <v>1827</v>
      </c>
      <c r="X11" s="50" t="str">
        <f>IF(D$25="Victron",330,"")</f>
        <v/>
      </c>
    </row>
    <row r="12" spans="2:27">
      <c r="B12" s="60"/>
      <c r="C12" s="67"/>
      <c r="D12" s="68"/>
      <c r="E12" s="58"/>
      <c r="F12" s="59"/>
      <c r="G12" s="61"/>
      <c r="I12" s="297" t="s">
        <v>1466</v>
      </c>
      <c r="J12" s="81"/>
      <c r="K12" s="87"/>
      <c r="Q12" s="50" t="str" cm="1">
        <f t="array" ref="Q12">IF(OR(ISNUMBER(SEARCH({"Mini-Grid","Grid-Tied"},D$7))),"Huawei","")</f>
        <v/>
      </c>
      <c r="R12" s="50" cm="1">
        <f t="array" ref="R12">IF(OR(AND(ISNUMBER(SEARCH({"Victron"},D$13)),ISNUMBER(SEARCH({"Phoenix"},E$13)),OR(ISNUMBER(SEARCH({12,24,48},D$8)))),AND(ISNUMBER(SEARCH({"Victron"},D$13)),ISNUMBER(SEARCH({"Multiplus"},E$13)),OR(ISNUMBER(SEARCH({12,24,48},D$8))))),1.2,"")</f>
        <v>1.2</v>
      </c>
      <c r="S12" s="50" t="str" cm="1">
        <f t="array" ref="S12">IF(OR(AND(ISNUMBER(SEARCH({"Victron"},F$13)),ISNUMBER(SEARCH({"Phoenix"},E$13)),OR(ISNUMBER(SEARCH({12,24,48},D$8)))),AND(ISNUMBER(SEARCH({"Victron"},F$13)),ISNUMBER(SEARCH({"Multiplus"},E$13)),OR(ISNUMBER(SEARCH({12,24,48},D$8))))),1.2,"")</f>
        <v/>
      </c>
      <c r="U12" s="50" t="str" cm="1">
        <f t="array" ref="U12">IF(AND(OR(ISNUMBER(SEARCH({"Lithium"},D$19))),D$7&lt;&gt;"Grid-Tied"),"Freedom Won","")</f>
        <v>Freedom Won</v>
      </c>
      <c r="V12" s="50" t="str">
        <f>IF(AND(D$19="12V Lead-Acid",D$20="Victron"),60,"")</f>
        <v/>
      </c>
      <c r="W12" s="50" t="s">
        <v>2476</v>
      </c>
      <c r="X12" s="50" t="str">
        <f>IF(D$25="Sharp",415,"")</f>
        <v/>
      </c>
    </row>
    <row r="13" spans="2:27">
      <c r="B13" s="60"/>
      <c r="C13" s="69" t="s">
        <v>2459</v>
      </c>
      <c r="D13" s="274" t="s">
        <v>1827</v>
      </c>
      <c r="E13" s="316" t="s">
        <v>2202</v>
      </c>
      <c r="F13" s="274" t="s">
        <v>2670</v>
      </c>
      <c r="G13" s="61"/>
      <c r="I13" s="96"/>
      <c r="J13" s="79"/>
      <c r="K13" s="85"/>
      <c r="R13" s="50" cm="1">
        <f t="array" ref="R13">IF(OR(AND(ISNUMBER(SEARCH({"Victron"},D$13)),ISNUMBER(SEARCH({"Phoenix"},E$13)),ISNUMBER(SEARCH({48},D$8))),AND(ISNUMBER(SEARCH({"Victron"},D$13)),ISNUMBER(SEARCH({"Multiplus"},E$13)),OR(ISNUMBER(SEARCH({12,24,48},D$8))))),1.6,"")</f>
        <v>1.6</v>
      </c>
      <c r="S13" s="50" t="str" cm="1">
        <f t="array" ref="S13">IF(OR(AND(ISNUMBER(SEARCH({"Victron"},F$13)),ISNUMBER(SEARCH({"Phoenix"},E$13)),OR(ISNUMBER(SEARCH({12,24,48},D$8)))),AND(ISNUMBER(SEARCH({"Victron"},F$13)),ISNUMBER(SEARCH({"Multiplus"},E$13)),OR(ISNUMBER(SEARCH({12,24,48},D$8))))),1.6,"")</f>
        <v/>
      </c>
      <c r="V13" s="50" t="str">
        <f>IF(AND(D$19="12V Lead-Acid",D$20="Victron"),90,"")</f>
        <v/>
      </c>
      <c r="X13" s="50" t="str">
        <f>IF(D$25="BYD",530,"")</f>
        <v/>
      </c>
    </row>
    <row r="14" spans="2:27">
      <c r="B14" s="60"/>
      <c r="C14" s="69" t="str">
        <f>IF(AND(D7&lt;&gt;"Mini-Grid",D13="Victron"),"Inverter Rating (kVA):",IF(AND(D7&lt;&gt;"Mini-Grid",D13&lt;&gt;"Victron"),"Inverter Rating (kW):",IF(D7="Mini-Grid","Inverter Rating (kVA + kW):","")))</f>
        <v>Inverter Rating (kVA):</v>
      </c>
      <c r="D14" s="307">
        <v>5</v>
      </c>
      <c r="E14" s="56"/>
      <c r="F14" s="317">
        <v>15</v>
      </c>
      <c r="G14" s="61"/>
      <c r="I14" s="86"/>
      <c r="J14" s="81"/>
      <c r="K14" s="87"/>
      <c r="R14" s="50" cm="1">
        <f t="array" ref="R14">IF(OR(AND(ISNUMBER(SEARCH({"Victron"},D$13)),ISNUMBER(SEARCH({"Phoenix"},E$13)),ISNUMBER(SEARCH({48},D$8))),AND(ISNUMBER(SEARCH({"Victron"},D$13)),ISNUMBER(SEARCH({"Multiplus"},E$13)),OR(ISNUMBER(SEARCH({12,24,48},D$8)))),AND(OR(ISNUMBER(SEARCH({"Fronius","Huawei"},D$13))),ISNUMBER(SEARCH({"230/400"},D$8)))),2,"")</f>
        <v>2</v>
      </c>
      <c r="S14" s="50" t="str" cm="1">
        <f t="array" ref="S14">IF(OR(AND(ISNUMBER(SEARCH({"Victron"},F$13)),ISNUMBER(SEARCH({"Phoenix"},E$13)),OR(ISNUMBER(SEARCH({12,24,48},D$8)))),AND(ISNUMBER(SEARCH({"Victron"},F$13)),ISNUMBER(SEARCH({"Multiplus"},E$13)),OR(ISNUMBER(SEARCH({12,24,48},D$8)))),AND(OR(ISNUMBER(SEARCH({"Fronius","Huawei"},F$13))),ISNUMBER(SEARCH({"Mini-Grid"},D$7)))),2,"")</f>
        <v/>
      </c>
      <c r="V14" s="50" t="str">
        <f>IF(AND(D$19="12V Lead-Acid",D$20="Victron"),110,"")</f>
        <v/>
      </c>
      <c r="X14" s="50" t="str">
        <f>IF(D$25="BYD",545,"")</f>
        <v/>
      </c>
    </row>
    <row r="15" spans="2:27">
      <c r="B15" s="60"/>
      <c r="C15" s="69" t="s">
        <v>2470</v>
      </c>
      <c r="D15" s="276">
        <v>1</v>
      </c>
      <c r="F15" s="318">
        <v>1</v>
      </c>
      <c r="G15" s="61"/>
      <c r="I15" s="297" t="s">
        <v>2478</v>
      </c>
      <c r="J15" s="97" t="s">
        <v>991</v>
      </c>
      <c r="K15" s="298"/>
      <c r="R15" s="50" cm="1">
        <f t="array" ref="R15">IF(OR(AND(ISNUMBER(SEARCH({"Victron"},D$13)),ISNUMBER(SEARCH({"Phoenix"},E$13)),ISNUMBER(SEARCH({48},D$8))),AND(ISNUMBER(SEARCH({"Victron"},D$13)),ISNUMBER(SEARCH({"Multiplus"},E$13)),OR(ISNUMBER(SEARCH({24,48},D$8)))),AND(OR(ISNUMBER(SEARCH({"Deye","Phocos"},D$13))),ISNUMBER(SEARCH({48},D$8))),AND(ISNUMBER(SEARCH({"Phocos"},D$13)),ISNUMBER(SEARCH({24},D$8))),AND(OR(ISNUMBER(SEARCH({"Fronius","Huawei"},D$13))),ISNUMBER(SEARCH({"230/400"},D$8)))),3,"")</f>
        <v>3</v>
      </c>
      <c r="S15" s="50" t="str" cm="1">
        <f t="array" ref="S15">IF(OR(AND(ISNUMBER(SEARCH({"Victron"},F$13)),ISNUMBER(SEARCH({"Phoenix"},E$13)),OR(ISNUMBER(SEARCH({12,24,48},D$8)))),AND(ISNUMBER(SEARCH({"Victron"},F$13)),ISNUMBER(SEARCH({"Multiplus"},E$13)),OR(ISNUMBER(SEARCH({12,24,48},D$8)))),AND(OR(ISNUMBER(SEARCH({"Deye","Phocos"},F$13))),ISNUMBER(SEARCH({48},D$8))),AND(ISNUMBER(SEARCH({"Phocos"},F$13)),ISNUMBER(SEARCH({24},D$8))),AND(OR(ISNUMBER(SEARCH({"Fronius","Huawei"},F$13))),ISNUMBER(SEARCH({"Mini-Grid"},D$7)))),3,"")</f>
        <v/>
      </c>
      <c r="V15" s="50" t="str">
        <f>IF(AND(D$19="12V Lead-Acid",D$20="Victron"),200,"")</f>
        <v/>
      </c>
      <c r="X15" s="50" t="str">
        <f>IF(D$25="Jinko",555,"")</f>
        <v/>
      </c>
    </row>
    <row r="16" spans="2:27">
      <c r="B16" s="60"/>
      <c r="C16" s="70"/>
      <c r="D16" s="72"/>
      <c r="E16" s="64"/>
      <c r="F16" s="65"/>
      <c r="G16" s="61"/>
      <c r="I16" s="88"/>
      <c r="J16" s="81"/>
      <c r="K16" s="87"/>
      <c r="R16" s="50" cm="1">
        <f t="array" ref="R16">IF(OR(AND(ISNUMBER(SEARCH({"Victron"},D$13)),ISNUMBER(SEARCH({"Phoenix"},E$13)),ISNUMBER(SEARCH({48},D$8))),AND(ISNUMBER(SEARCH({"Victron"},D$13)),ISNUMBER(SEARCH({"Multiplus"},E$13)),ISNUMBER(SEARCH({48},D$8))),AND(ISNUMBER(SEARCH({"Victron"},D$13)),ISNUMBER(SEARCH({"Quattro"},E$13)),ISNUMBER(SEARCH({48},D$8))),AND(OR(ISNUMBER(SEARCH({"Deye","Phocos"},D$13))),ISNUMBER(SEARCH({48},D$8))),AND(OR(ISNUMBER(SEARCH({"Fronius","Huawei"},D$13))),ISNUMBER(SEARCH({"230/400"},D$8)))),5,"")</f>
        <v>5</v>
      </c>
      <c r="S16" s="50" t="str" cm="1">
        <f t="array" ref="S16">IF(OR(AND(ISNUMBER(SEARCH({"Victron"},F$13)),ISNUMBER(SEARCH({"Phoenix"},E$13)),OR(ISNUMBER(SEARCH({24,48},D$8)))),AND(ISNUMBER(SEARCH({"Victron"},F$13)),ISNUMBER(SEARCH({"Multiplus"},E$13)),OR(ISNUMBER(SEARCH({24,48},D$8)))),AND(OR(ISNUMBER(SEARCH({"Deye","Phocos"},F$13))),ISNUMBER(SEARCH({48},D$8))),AND(OR(ISNUMBER(SEARCH({"Fronius","Huawei"},F$13))),ISNUMBER(SEARCH({"Mini-Grid"},D$7)))),5,"")</f>
        <v/>
      </c>
      <c r="V16" s="50" t="str">
        <f>IF(AND(D$19="12V Lead-Acid",D$20="Victron"),220,"")</f>
        <v/>
      </c>
      <c r="X16" s="50">
        <f>IF(D$25="JA Solar",565,"")</f>
        <v>565</v>
      </c>
    </row>
    <row r="17" spans="2:22">
      <c r="B17" s="60"/>
      <c r="C17" s="54"/>
      <c r="D17" s="54"/>
      <c r="G17" s="61"/>
      <c r="I17" s="297" t="s">
        <v>800</v>
      </c>
      <c r="J17" s="98" t="s">
        <v>997</v>
      </c>
      <c r="K17" s="298"/>
      <c r="R17" s="50" cm="1">
        <f t="array" ref="R17">IF(OR(AND(ISNUMBER(SEARCH({"Victron"},D$13)),ISNUMBER(SEARCH({"Multiplus"},E$13)),ISNUMBER(SEARCH({48},D$8))),AND(ISNUMBER(SEARCH({"Deye"},D$13)),ISNUMBER(SEARCH({48},D$8))),AND(ISNUMBER(SEARCH({"Fronius"},D$13)),ISNUMBER(SEARCH({"230/400"},D$8)))),6,"")</f>
        <v>6</v>
      </c>
      <c r="S17" s="50" t="str" cm="1">
        <f t="array" ref="S17">IF(OR(AND(ISNUMBER(SEARCH({"Victron"},F$13)),ISNUMBER(SEARCH({"Multiplus"},E$13)),ISNUMBER(SEARCH({48},D$8))),AND(ISNUMBER(SEARCH({"Deye"},F$13)),ISNUMBER(SEARCH({48},D$8))),AND(ISNUMBER(SEARCH({"Fronius"},F$13)),ISNUMBER(SEARCH({"Mini-Grid"},D$7)))),6,"")</f>
        <v/>
      </c>
      <c r="V17" s="50" t="str">
        <f>IF(AND(D$19="12V Lead-Acid",D$20="Hoppecke"),150,"")</f>
        <v/>
      </c>
    </row>
    <row r="18" spans="2:22" ht="16" thickBot="1">
      <c r="B18" s="60"/>
      <c r="C18" s="67"/>
      <c r="D18" s="68"/>
      <c r="E18" s="58"/>
      <c r="F18" s="59"/>
      <c r="G18" s="61"/>
      <c r="I18" s="99"/>
      <c r="J18" s="100"/>
      <c r="K18" s="101"/>
      <c r="R18" s="50" cm="1">
        <f t="array" ref="R18">IF(OR(AND(ISNUMBER(SEARCH({"Victron"},D$13)),ISNUMBER(SEARCH({"Multiplus"},E$13)),ISNUMBER(SEARCH({48},D$8))),AND(ISNUMBER(SEARCH({"Victron"},D$13)),ISNUMBER(SEARCH({"Quattro"},E$13)),ISNUMBER(SEARCH({48},D$8))),AND(ISNUMBER(SEARCH({"Deye"},D$13)),ISNUMBER(SEARCH({48},D$8))),AND(ISNUMBER(SEARCH({"Phocos"},D$13)),ISNUMBER(SEARCH({48},D$8))),AND(ISNUMBER(SEARCH({"Fronius"},D$13)),ISNUMBER(SEARCH({"230/400"},D$8)))),8,"")</f>
        <v>8</v>
      </c>
      <c r="S18" s="50" t="str" cm="1">
        <f t="array" ref="S18">IF(OR(AND(ISNUMBER(SEARCH({"Victron"},F$13)),ISNUMBER(SEARCH({"Multiplus"},E$13)),ISNUMBER(SEARCH({48},D$8))),AND(ISNUMBER(SEARCH({"Victron"},F$13)),ISNUMBER(SEARCH({"Quattro"},E$13)),ISNUMBER(SEARCH({48},D$8))),AND(ISNUMBER(SEARCH({"Deye"},F$13)),ISNUMBER(SEARCH({48},D$8))),AND(ISNUMBER(SEARCH({"Phocos"},F$13)),ISNUMBER(SEARCH({48},D$8))),AND(ISNUMBER(SEARCH({"Fronius"},F$13)),ISNUMBER(SEARCH({"Mini-Grid"},D$7)))),8,"")</f>
        <v/>
      </c>
      <c r="V18" s="50" t="str">
        <f>IF(AND(D$19="12V Lead-Acid",D$20="Hoppecke"),250,"")</f>
        <v/>
      </c>
    </row>
    <row r="19" spans="2:22" ht="15" thickTop="1">
      <c r="B19" s="60"/>
      <c r="C19" s="69" t="s">
        <v>2469</v>
      </c>
      <c r="D19" s="274" t="s">
        <v>1826</v>
      </c>
      <c r="F19" s="61"/>
      <c r="G19" s="61"/>
      <c r="R19" s="50" cm="1">
        <f t="array" ref="R19">IF(OR(AND(ISNUMBER(SEARCH({"Victron"},D$13)),ISNUMBER(SEARCH({"Multiplus"},E$13)),ISNUMBER(SEARCH({48},D$8))),AND(ISNUMBER(SEARCH({"Victron"},D$13)),ISNUMBER(SEARCH({"Quattro"},E$13)),ISNUMBER(SEARCH({48},D$8))),AND(ISNUMBER(SEARCH({"Deye"},D$13)),ISNUMBER(SEARCH({48},D$8))),AND(OR(ISNUMBER(SEARCH({"Fronius","Huawei"},D$13))),ISNUMBER(SEARCH({"230/400"},D$8)))),10,"")</f>
        <v>10</v>
      </c>
      <c r="S19" s="50" t="str" cm="1">
        <f t="array" ref="S19">IF(OR(AND(ISNUMBER(SEARCH({"Victron"},F$13)),ISNUMBER(SEARCH({"Multiplus"},E$13)),ISNUMBER(SEARCH({48},D$8))),AND(ISNUMBER(SEARCH({"Victron"},F$13)),ISNUMBER(SEARCH({"Quattro"},E$13)),ISNUMBER(SEARCH({48},D$8))),AND(ISNUMBER(SEARCH({"Deye"},F$13)),ISNUMBER(SEARCH({48},D$8))),AND(OR(ISNUMBER(SEARCH({"Fronius","Huawei"},F$13))),ISNUMBER(SEARCH({"Mini-Grid"},D$7)))),10,"")</f>
        <v/>
      </c>
      <c r="V19" s="50" t="str">
        <f>IF(AND(D$19="2V OPzV",D$20="Hoppecke"),1250,"")</f>
        <v/>
      </c>
    </row>
    <row r="20" spans="2:22">
      <c r="B20" s="60"/>
      <c r="C20" s="69" t="s">
        <v>2671</v>
      </c>
      <c r="D20" s="274" t="s">
        <v>2467</v>
      </c>
      <c r="E20" s="306">
        <v>5</v>
      </c>
      <c r="F20" s="314" t="str">
        <f>IF(OR(D20="Jinko",D20="BYD"),"kWh",IF(OR(D20="Victron",D20="Hoppecke"),"Ah",""))</f>
        <v>kWh</v>
      </c>
      <c r="G20" s="61"/>
      <c r="R20" s="50" t="str" cm="1">
        <f t="array" ref="R20">IF(AND(ISNUMBER(SEARCH({"Deye"},D$13)),ISNUMBER(SEARCH({48},D$8))),12,"")</f>
        <v/>
      </c>
      <c r="S20" s="50" t="str" cm="1">
        <f t="array" ref="S20">IF(AND(ISNUMBER(SEARCH({"Deye"},F$13)),ISNUMBER(SEARCH({48},D$8))),12,"")</f>
        <v/>
      </c>
      <c r="V20" s="50" t="str">
        <f>IF(AND(D$19="2V OPzS",D$20="Hoppecke"),1520,"")</f>
        <v/>
      </c>
    </row>
    <row r="21" spans="2:22">
      <c r="B21" s="60"/>
      <c r="C21" s="69" t="s">
        <v>2672</v>
      </c>
      <c r="D21" s="276">
        <v>2</v>
      </c>
      <c r="F21" s="61"/>
      <c r="G21" s="61"/>
      <c r="R21" s="50" cm="1">
        <f t="array" ref="R21">IF(OR(AND(ISNUMBER(SEARCH({"Victron"},D$13)),ISNUMBER(SEARCH({"Multiplus"},E$13)),ISNUMBER(SEARCH({48},D$8))),AND(ISNUMBER(SEARCH({"Victron"},D$13)),ISNUMBER(SEARCH({"Quattro"},E$13)),ISNUMBER(SEARCH({48},D$8))),AND(ISNUMBER(SEARCH({"Fronius"},D$13)),ISNUMBER(SEARCH({"230/400"},D$8)))),15,"")</f>
        <v>15</v>
      </c>
      <c r="S21" s="50" t="str" cm="1">
        <f t="array" ref="S21">IF(OR(AND(ISNUMBER(SEARCH({"Victron"},F$13)),ISNUMBER(SEARCH({"Multiplus"},E$13)),ISNUMBER(SEARCH({48},D$8))),AND(ISNUMBER(SEARCH({"Victron"},F$13)),ISNUMBER(SEARCH({"Quattro"},E$13)),ISNUMBER(SEARCH({48},D$8))),AND(ISNUMBER(SEARCH({"Fronius"},F$13)),ISNUMBER(SEARCH({"Mini-Grid"},D$7)))),15,"")</f>
        <v/>
      </c>
      <c r="V21" s="50" t="str">
        <f>IF(AND(D$19="2V OPzS",D$20="Victron"),900,"")</f>
        <v/>
      </c>
    </row>
    <row r="22" spans="2:22">
      <c r="B22" s="60"/>
      <c r="C22" s="70"/>
      <c r="D22" s="74"/>
      <c r="E22" s="64"/>
      <c r="F22" s="65"/>
      <c r="G22" s="61"/>
      <c r="R22" s="50" t="str" cm="1">
        <f t="array" ref="R22">IF(AND(ISNUMBER(SEARCH({"Deye"},D$13)),ISNUMBER(SEARCH({48},D$8))),16,"")</f>
        <v/>
      </c>
      <c r="S22" s="50" t="str" cm="1">
        <f t="array" ref="S22">IF(AND(ISNUMBER(SEARCH({"Deye"},F$13)),ISNUMBER(SEARCH({48},D$8))),16,"")</f>
        <v/>
      </c>
      <c r="V22" s="50" t="str">
        <f>IF(AND(D$19="2V OPzV",D$20="Victron"),1200,"")</f>
        <v/>
      </c>
    </row>
    <row r="23" spans="2:22">
      <c r="B23" s="60"/>
      <c r="C23" s="54"/>
      <c r="D23" s="54"/>
      <c r="G23" s="61"/>
      <c r="R23" s="50" t="str" cm="1">
        <f t="array" ref="R23">IF(AND(ISNUMBER(SEARCH({"Fronius"},D$13)),ISNUMBER(SEARCH({"230/400"},D$8))),17.5,"")</f>
        <v/>
      </c>
      <c r="S23" s="50" t="str" cm="1">
        <f t="array" ref="S23">IF(AND(ISNUMBER(SEARCH({"Fronius"},F$13)),ISNUMBER(SEARCH({"Mini-Grid"},D$7))),17.5,"")</f>
        <v/>
      </c>
      <c r="V23" s="50">
        <f>IF(AND(D$19="Lithium",D$20="BYD"),5,"")</f>
        <v>5</v>
      </c>
    </row>
    <row r="24" spans="2:22">
      <c r="B24" s="60"/>
      <c r="C24" s="67"/>
      <c r="D24" s="68"/>
      <c r="E24" s="58"/>
      <c r="F24" s="59"/>
      <c r="G24" s="61"/>
      <c r="R24" s="50" t="str" cm="1">
        <f t="array" ref="R24">IF(AND(OR(ISNUMBER(SEARCH({"Fronius","Huawei"},D$13))),ISNUMBER(SEARCH({"230/400"},D$8))),20,"")</f>
        <v/>
      </c>
      <c r="S24" s="50" t="str" cm="1">
        <f t="array" ref="S24">IF(AND(OR(ISNUMBER(SEARCH({"Fronius","Huawei"},F$13))),ISNUMBER(SEARCH({"Mini-Grid"},D$7))),20,"")</f>
        <v/>
      </c>
      <c r="V24" s="50">
        <f>IF(AND(D$19="Lithium",D$20="BYD"),15,"")</f>
        <v>15</v>
      </c>
    </row>
    <row r="25" spans="2:22">
      <c r="B25" s="60"/>
      <c r="C25" s="69" t="s">
        <v>2473</v>
      </c>
      <c r="D25" s="277" t="s">
        <v>2475</v>
      </c>
      <c r="E25" s="273">
        <f ca="1">IF(D13="Victron",SUM(Items!A242:A254)-IF('Client List'!IL474="",0,'Client List'!IL474),SUM(Items!A242:A254))</f>
        <v>9</v>
      </c>
      <c r="F25" s="61" t="s">
        <v>2511</v>
      </c>
      <c r="G25" s="61"/>
      <c r="R25" s="50" t="str" cm="1">
        <f t="array" ref="R25">IF(AND(ISNUMBER(SEARCH({"Fronius"},D$13)),ISNUMBER(SEARCH({"230/400"},D$8))),25,"")</f>
        <v/>
      </c>
      <c r="S25" s="50" t="str" cm="1">
        <f t="array" ref="S25">IF(AND(ISNUMBER(SEARCH({"Fronius"},F$13)),ISNUMBER(SEARCH({"Mini-Grid"},D$7))),25,"")</f>
        <v/>
      </c>
      <c r="V25" s="50" t="str">
        <f>IF(AND(D$19="Lithium",D$20="Jinko"),4.8,"")</f>
        <v/>
      </c>
    </row>
    <row r="26" spans="2:22">
      <c r="B26" s="60"/>
      <c r="C26" s="69" t="s">
        <v>2664</v>
      </c>
      <c r="D26" s="277">
        <v>565</v>
      </c>
      <c r="E26" s="305"/>
      <c r="F26" s="61"/>
      <c r="G26" s="61"/>
      <c r="R26" s="50" t="str" cm="1">
        <f t="array" ref="R26">IF(AND(ISNUMBER(SEARCH({"Fronius"},D$13)),ISNUMBER(SEARCH({"230/400"},D$8))),27,"")</f>
        <v/>
      </c>
      <c r="S26" s="50" t="str" cm="1">
        <f t="array" ref="S26">IF(AND(ISNUMBER(SEARCH({"Fronius"},F$13)),ISNUMBER(SEARCH({"Mini-Grid"},D$7))),27,"")</f>
        <v/>
      </c>
    </row>
    <row r="27" spans="2:22">
      <c r="B27" s="60"/>
      <c r="C27" s="69" t="s">
        <v>2474</v>
      </c>
      <c r="D27" s="276">
        <v>5</v>
      </c>
      <c r="E27" s="308">
        <f>IF(D7="Grid-Tied",ROUNDUP(1.2*((D14*D15)),0),(D21*IF(D19="Lithium",E20,IF(OR(D19="2V OPzV",D19="2V OPzS"),E20*2/1000,IF(D19="12V Lead-Acid",E20*12/1000,0)))/4)+(0.5*((D14*D15))))</f>
        <v>5</v>
      </c>
      <c r="F27" s="61" t="s">
        <v>2510</v>
      </c>
      <c r="G27" s="61"/>
      <c r="R27" s="50" t="str" cm="1">
        <f t="array" ref="R27">IF(AND(OR(ISNUMBER(SEARCH({"Fronius","Huawei"},D$13))),ISNUMBER(SEARCH({"230/400"},D$8))),30,"")</f>
        <v/>
      </c>
      <c r="S27" s="50" t="str" cm="1">
        <f t="array" ref="S27">IF(AND(ISNUMBER(SEARCH({"Huawei"},F$13)),ISNUMBER(SEARCH({"Mini-Grid"},D$7))),30,"")</f>
        <v/>
      </c>
    </row>
    <row r="28" spans="2:22">
      <c r="B28" s="60"/>
      <c r="C28" s="70"/>
      <c r="D28" s="72"/>
      <c r="E28" s="64"/>
      <c r="F28" s="65"/>
      <c r="G28" s="61"/>
      <c r="R28" s="50" t="str" cm="1">
        <f t="array" ref="R28">IF(AND(ISNUMBER(SEARCH({"Fronius"},D$13)),ISNUMBER(SEARCH({"230/400"},D$8))),33.3,"")</f>
        <v/>
      </c>
      <c r="S28" s="50" t="str" cm="1">
        <f t="array" ref="S28">IF(AND(ISNUMBER(SEARCH({"Huawei"},F$13)),ISNUMBER(SEARCH({"Mini-Grid"},D$7))),40,"")</f>
        <v/>
      </c>
    </row>
    <row r="29" spans="2:22">
      <c r="B29" s="60"/>
      <c r="C29" s="54"/>
      <c r="D29" s="54"/>
      <c r="G29" s="61"/>
      <c r="R29" s="50" t="str" cm="1">
        <f t="array" ref="R29">IF(AND(ISNUMBER(SEARCH({"Huawei"},D$13)),ISNUMBER(SEARCH({"230/400"},D$8))),40,"")</f>
        <v/>
      </c>
      <c r="S29" s="50" t="str" cm="1">
        <f t="array" ref="S29">IF(AND(OR(ISNUMBER(SEARCH({"Fronius","Huawei"},F$13))),ISNUMBER(SEARCH({"Mini-Grid"},D$7))),50,"")</f>
        <v/>
      </c>
    </row>
    <row r="30" spans="2:22">
      <c r="B30" s="60"/>
      <c r="C30" s="67"/>
      <c r="D30" s="68"/>
      <c r="E30" s="58"/>
      <c r="F30" s="59"/>
      <c r="G30" s="61"/>
      <c r="R30" s="50" t="str" cm="1">
        <f t="array" ref="R30">IF(AND(OR(ISNUMBER(SEARCH({"Fronius","Huawei"},D$13))),ISNUMBER(SEARCH({"230/400"},D$8))),50,"")</f>
        <v/>
      </c>
      <c r="S30" s="50" t="str" cm="1">
        <f t="array" ref="S30">IF(AND(ISNUMBER(SEARCH({"Fronius"},F$13)),ISNUMBER(SEARCH({"Mini-Grid"},D$7))),100,"")</f>
        <v/>
      </c>
    </row>
    <row r="31" spans="2:22">
      <c r="B31" s="60"/>
      <c r="C31" s="69" t="s">
        <v>2479</v>
      </c>
      <c r="D31" s="276">
        <v>20</v>
      </c>
      <c r="F31" s="61"/>
      <c r="G31" s="61"/>
      <c r="R31" s="50" t="str" cm="1">
        <f t="array" ref="R31">IF(AND(ISNUMBER(SEARCH({"Fronius"},D$13)),ISNUMBER(SEARCH({"230/400"},D$8))),100,"")</f>
        <v/>
      </c>
    </row>
    <row r="32" spans="2:22">
      <c r="B32" s="60"/>
      <c r="C32" s="69" t="s">
        <v>2480</v>
      </c>
      <c r="D32" s="276">
        <v>10</v>
      </c>
      <c r="F32" s="61"/>
      <c r="G32" s="61"/>
    </row>
    <row r="33" spans="2:7">
      <c r="B33" s="60"/>
      <c r="C33" s="69"/>
      <c r="D33" s="54"/>
      <c r="F33" s="61"/>
      <c r="G33" s="61"/>
    </row>
    <row r="34" spans="2:7">
      <c r="B34" s="60"/>
      <c r="C34" s="69" t="str">
        <f>IF(D7="Grid-Tied","Hybrid Controller:","Remote Monitoring:")</f>
        <v>Remote Monitoring:</v>
      </c>
      <c r="D34" s="274" t="s">
        <v>2494</v>
      </c>
      <c r="E34" s="315">
        <v>1</v>
      </c>
      <c r="F34" s="61" t="s">
        <v>2652</v>
      </c>
      <c r="G34" s="61"/>
    </row>
    <row r="35" spans="2:7">
      <c r="B35" s="60"/>
      <c r="C35" s="69"/>
      <c r="D35" s="54"/>
      <c r="F35" s="61"/>
      <c r="G35" s="61"/>
    </row>
    <row r="36" spans="2:7">
      <c r="B36" s="60"/>
      <c r="C36" s="69" t="s">
        <v>2496</v>
      </c>
      <c r="D36" s="274" t="s">
        <v>2495</v>
      </c>
      <c r="F36" s="61"/>
      <c r="G36" s="61"/>
    </row>
    <row r="37" spans="2:7">
      <c r="B37" s="60"/>
      <c r="C37" s="73"/>
      <c r="D37" s="63"/>
      <c r="E37" s="64"/>
      <c r="F37" s="65"/>
      <c r="G37" s="61"/>
    </row>
    <row r="38" spans="2:7">
      <c r="B38" s="60"/>
      <c r="G38" s="61"/>
    </row>
    <row r="39" spans="2:7">
      <c r="B39" s="60"/>
      <c r="C39" s="54" t="s">
        <v>2502</v>
      </c>
      <c r="D39" s="272" t="str">
        <f ca="1">INVOICE!K70</f>
        <v>GH₵ 113,039.88</v>
      </c>
      <c r="G39" s="61"/>
    </row>
    <row r="40" spans="2:7">
      <c r="B40" s="62"/>
      <c r="C40" s="63"/>
      <c r="D40" s="63"/>
      <c r="E40" s="64"/>
      <c r="F40" s="64"/>
      <c r="G40" s="65"/>
    </row>
  </sheetData>
  <mergeCells count="3">
    <mergeCell ref="C3:F3"/>
    <mergeCell ref="C5:F5"/>
    <mergeCell ref="C6:F6"/>
  </mergeCells>
  <conditionalFormatting sqref="C31">
    <cfRule type="expression" dxfId="43" priority="15">
      <formula>ISERROR(MATCH($D$7,$N$8:$N$10,0))</formula>
    </cfRule>
  </conditionalFormatting>
  <conditionalFormatting sqref="D8">
    <cfRule type="expression" dxfId="41" priority="24">
      <formula>ISERROR(MATCH($D$8,$O$8:$O$11,0))</formula>
    </cfRule>
  </conditionalFormatting>
  <conditionalFormatting sqref="D13">
    <cfRule type="expression" dxfId="40" priority="9">
      <formula>ISERROR(MATCH($D$13,$Q$8:$Q$12,0))</formula>
    </cfRule>
  </conditionalFormatting>
  <conditionalFormatting sqref="D14">
    <cfRule type="expression" dxfId="39" priority="8">
      <formula>ISERROR(MATCH($D$14,$R$8:$R$31,0))</formula>
    </cfRule>
  </conditionalFormatting>
  <conditionalFormatting sqref="D19">
    <cfRule type="expression" dxfId="38" priority="28">
      <formula>ISERROR(MATCH($D$19,$T$8:$T$11,0))</formula>
    </cfRule>
  </conditionalFormatting>
  <conditionalFormatting sqref="D19:D20">
    <cfRule type="expression" dxfId="37" priority="12">
      <formula>ISERROR(MATCH($D$7,$N$9:$N$11,0))</formula>
    </cfRule>
  </conditionalFormatting>
  <conditionalFormatting sqref="D20">
    <cfRule type="expression" dxfId="36" priority="29">
      <formula>ISERROR(MATCH($D$20,$U$8:$U$12,0))</formula>
    </cfRule>
  </conditionalFormatting>
  <conditionalFormatting sqref="D21">
    <cfRule type="expression" dxfId="35" priority="20">
      <formula>ISERROR(MATCH($D$19,$T$8:$T$11,0))</formula>
    </cfRule>
    <cfRule type="expression" dxfId="34" priority="27">
      <formula>ISERROR(MATCH($D$7,$N$9:$N$11,0))</formula>
    </cfRule>
  </conditionalFormatting>
  <conditionalFormatting sqref="D25">
    <cfRule type="expression" dxfId="32" priority="4">
      <formula>ISERROR(MATCH($D$7,$N$8:$N$10,0))</formula>
    </cfRule>
  </conditionalFormatting>
  <conditionalFormatting sqref="D26">
    <cfRule type="expression" dxfId="31" priority="31" stopIfTrue="1">
      <formula>ISERROR(MATCH($D$26,$X$8:$X$18,0))</formula>
    </cfRule>
    <cfRule type="expression" dxfId="30" priority="34">
      <formula>ISERROR(MATCH($D$7,$N$8:$N$10,0))</formula>
    </cfRule>
  </conditionalFormatting>
  <conditionalFormatting sqref="D27">
    <cfRule type="expression" dxfId="29" priority="32">
      <formula>ISERROR(MATCH($D$7,$N$8:$N$10,0))</formula>
    </cfRule>
  </conditionalFormatting>
  <conditionalFormatting sqref="D31">
    <cfRule type="expression" dxfId="27" priority="14">
      <formula>ISERROR(MATCH($D$7,$N$8:$N$10,0))</formula>
    </cfRule>
  </conditionalFormatting>
  <conditionalFormatting sqref="E13">
    <cfRule type="expression" dxfId="25" priority="3">
      <formula>$D$13&lt;&gt;"Victron"</formula>
    </cfRule>
  </conditionalFormatting>
  <conditionalFormatting sqref="E20">
    <cfRule type="expression" dxfId="24" priority="30">
      <formula>ISERROR(MATCH($E$20,$V$8:$V$25,0))</formula>
    </cfRule>
  </conditionalFormatting>
  <conditionalFormatting sqref="E27">
    <cfRule type="expression" dxfId="21" priority="19">
      <formula>ISERROR(MATCH($D$7,$N$8:$N$10,0))</formula>
    </cfRule>
  </conditionalFormatting>
  <conditionalFormatting sqref="E34">
    <cfRule type="expression" dxfId="20" priority="11">
      <formula>OR($C$34="Remote Monitoring:",AND($D$34="No",$C$34="Hybrid Controller:"))</formula>
    </cfRule>
  </conditionalFormatting>
  <conditionalFormatting sqref="E20:F20">
    <cfRule type="expression" dxfId="19" priority="25">
      <formula>$D$7="Grid-Tied"</formula>
    </cfRule>
  </conditionalFormatting>
  <conditionalFormatting sqref="E25:F25">
    <cfRule type="expression" dxfId="18" priority="16">
      <formula>ISERROR(MATCH($D$7,$N$8:$N$10,0))</formula>
    </cfRule>
  </conditionalFormatting>
  <conditionalFormatting sqref="F13">
    <cfRule type="expression" dxfId="17" priority="7" stopIfTrue="1">
      <formula>OR($D$7="Hybrid",$D$7="Grid-Tied",$D$7="Backup")</formula>
    </cfRule>
    <cfRule type="expression" dxfId="16" priority="22">
      <formula>ISERROR(MATCH($F$13,$Q$8:$Q$12,0))</formula>
    </cfRule>
  </conditionalFormatting>
  <conditionalFormatting sqref="F14">
    <cfRule type="expression" dxfId="15" priority="23" stopIfTrue="1">
      <formula>ISERROR(MATCH($F$14,$S$8:$S$30,0))</formula>
    </cfRule>
    <cfRule type="expression" dxfId="14" priority="6">
      <formula>OR($D$7="Hybrid",$D$7="Grid-Tied",$D$7="Backup")</formula>
    </cfRule>
  </conditionalFormatting>
  <conditionalFormatting sqref="F15">
    <cfRule type="expression" dxfId="13" priority="5" stopIfTrue="1">
      <formula>OR($D$7="Hybrid",$D$7="Grid-Tied",$D$7="Backup")</formula>
    </cfRule>
  </conditionalFormatting>
  <conditionalFormatting sqref="F27">
    <cfRule type="expression" dxfId="12" priority="18">
      <formula>ISERROR(MATCH($D$7,$N$8:$N$10,0))</formula>
    </cfRule>
  </conditionalFormatting>
  <conditionalFormatting sqref="F34">
    <cfRule type="expression" dxfId="11" priority="10">
      <formula>OR($C$34="Remote Monitoring:",AND($D$34="No",$C$34="Hybrid Controller:"))</formula>
    </cfRule>
  </conditionalFormatting>
  <dataValidations count="15">
    <dataValidation type="list" allowBlank="1" showInputMessage="1" showErrorMessage="1" sqref="D7" xr:uid="{A74FF90B-596A-7241-92DA-02BC80A8E7FC}">
      <formula1>$N$8:$N$12</formula1>
    </dataValidation>
    <dataValidation type="list" allowBlank="1" showInputMessage="1" showErrorMessage="1" sqref="D19" xr:uid="{25A587C7-7316-3448-B9DB-0D7D964937DE}">
      <formula1>$T$8:$T$12</formula1>
    </dataValidation>
    <dataValidation type="list" allowBlank="1" showInputMessage="1" showErrorMessage="1" sqref="D20" xr:uid="{926091E8-ABC8-D641-B967-9F3878BE06AC}">
      <formula1>$U$8:$U$13</formula1>
    </dataValidation>
    <dataValidation type="list" allowBlank="1" showInputMessage="1" showErrorMessage="1" sqref="D8" xr:uid="{6CCFB66E-701B-DD48-8972-CE9FE61E788C}">
      <formula1>$O$8:$O$12</formula1>
    </dataValidation>
    <dataValidation type="list" allowBlank="1" showInputMessage="1" showErrorMessage="1" sqref="D25" xr:uid="{903EE527-8F35-1D4B-831B-DAED7E47E0CD}">
      <formula1>$W$8:$W$13</formula1>
    </dataValidation>
    <dataValidation type="list" allowBlank="1" showInputMessage="1" showErrorMessage="1" sqref="D9 D11" xr:uid="{17AD6FDE-9D64-CC4C-9707-1390A8144D08}">
      <formula1>$P$8:$P$10</formula1>
    </dataValidation>
    <dataValidation type="list" allowBlank="1" showInputMessage="1" showErrorMessage="1" sqref="D34" xr:uid="{22A66072-E262-4A49-9B65-290900EA719C}">
      <formula1>$Y$8:$Y$10</formula1>
    </dataValidation>
    <dataValidation type="list" allowBlank="1" showInputMessage="1" showErrorMessage="1" sqref="D36" xr:uid="{C635EEBA-6DD3-3344-B282-EA141A542ACA}">
      <formula1>$Z$8:$Z$11</formula1>
    </dataValidation>
    <dataValidation type="list" allowBlank="1" showInputMessage="1" showErrorMessage="1" sqref="E20" xr:uid="{3D4497B3-7B20-1A48-854C-F0A86B38C2F5}">
      <formula1>$V$8:$V$25</formula1>
    </dataValidation>
    <dataValidation type="list" allowBlank="1" showInputMessage="1" showErrorMessage="1" sqref="D26" xr:uid="{0324D087-DBFF-D64E-A398-3E259BF7DAF0}">
      <formula1>$X$8:$X$19</formula1>
    </dataValidation>
    <dataValidation type="list" allowBlank="1" showInputMessage="1" showErrorMessage="1" sqref="D14" xr:uid="{7D457672-3670-E843-A5EF-C5945E59CFD3}">
      <formula1>$R$8:$R$31</formula1>
    </dataValidation>
    <dataValidation type="list" allowBlank="1" showInputMessage="1" showErrorMessage="1" sqref="F14" xr:uid="{115F70E0-7099-7E4B-AFD7-70465CD8EC68}">
      <formula1>$S$8:$S$31</formula1>
    </dataValidation>
    <dataValidation type="list" allowBlank="1" showInputMessage="1" showErrorMessage="1" sqref="E13" xr:uid="{FFD1FE1C-1F6B-F446-B933-B529875AB8DD}">
      <formula1>$M$8:$M$11</formula1>
    </dataValidation>
    <dataValidation type="list" allowBlank="1" showInputMessage="1" showErrorMessage="1" sqref="D13 F13" xr:uid="{330FB31E-CFC1-7743-AD4B-674E28279E01}">
      <formula1>$Q$8:$Q$13</formula1>
    </dataValidation>
    <dataValidation type="list" allowBlank="1" showInputMessage="1" showErrorMessage="1" sqref="I15" xr:uid="{A9AED772-979B-2F4D-9C2D-23616C60BBFE}">
      <formula1>$U$4:$U$6</formula1>
    </dataValidation>
  </dataValidation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2" id="{4B8A505F-7521-4E4F-A5F7-F847AEA9B8CC}">
            <xm:f>$C$5&lt;&gt;INVOICE!$C$17</xm:f>
            <x14:dxf>
              <font>
                <color rgb="FF9C0006"/>
              </font>
              <fill>
                <patternFill>
                  <bgColor rgb="FFFFC7CE"/>
                </patternFill>
              </fill>
            </x14:dxf>
          </x14:cfRule>
          <xm:sqref>C5:F5</xm:sqref>
        </x14:conditionalFormatting>
        <x14:conditionalFormatting xmlns:xm="http://schemas.microsoft.com/office/excel/2006/main">
          <x14:cfRule type="expression" priority="33" id="{F3C5D0A2-5E36-0641-9C04-4EE98B28DB62}">
            <xm:f>COUNTIF(INVOICE!$B$18:$B$56,0)&gt;0</xm:f>
            <x14:dxf>
              <font>
                <color rgb="FF9C0006"/>
              </font>
              <fill>
                <patternFill>
                  <bgColor rgb="FFFFC7CE"/>
                </patternFill>
              </fill>
            </x14:dxf>
          </x14:cfRule>
          <xm:sqref>D25</xm:sqref>
        </x14:conditionalFormatting>
        <x14:conditionalFormatting xmlns:xm="http://schemas.microsoft.com/office/excel/2006/main">
          <x14:cfRule type="expression" priority="37" id="{959F3578-A66A-8846-B7A8-B2C96C8D8A5E}">
            <xm:f>'CABLE SIZING TOOL'!$H$104&gt;=3%</xm:f>
            <x14:dxf>
              <font>
                <color rgb="FF9C0006"/>
              </font>
              <fill>
                <patternFill>
                  <bgColor rgb="FFFFC7CE"/>
                </patternFill>
              </fill>
            </x14:dxf>
          </x14:cfRule>
          <x14:cfRule type="expression" priority="36" stopIfTrue="1" id="{28AB3B5B-41FF-EF47-AA7A-79B56525FC41}">
            <xm:f>AND('CABLE SIZING TOOL'!$H$104&lt;=3%,3%&lt;'CABLE SIZING TOOL'!$G$104)</xm:f>
            <x14:dxf>
              <font>
                <color rgb="FF9C5700"/>
              </font>
              <fill>
                <patternFill>
                  <bgColor rgb="FFFFEB9C"/>
                </patternFill>
              </fill>
            </x14:dxf>
          </x14:cfRule>
          <xm:sqref>D31</xm:sqref>
        </x14:conditionalFormatting>
        <x14:conditionalFormatting xmlns:xm="http://schemas.microsoft.com/office/excel/2006/main">
          <x14:cfRule type="expression" priority="9943" stopIfTrue="1" id="{278B350F-99A4-2245-80E8-F663818AB25B}">
            <xm:f>$E$25&lt;SUM(Items!$A$242:$A$254)</xm:f>
            <x14:dxf>
              <font>
                <color rgb="FF9C0006"/>
              </font>
              <fill>
                <patternFill>
                  <bgColor rgb="FFFFC7CE"/>
                </patternFill>
              </fill>
            </x14:dxf>
          </x14:cfRule>
          <x14:cfRule type="expression" priority="9942" id="{6E760702-88E6-F242-A506-1F9C98051E08}">
            <xm:f>$E$25&gt;SUM(Items!$A$242:$A$254)</xm:f>
            <x14:dxf>
              <font>
                <color rgb="FF9C5700"/>
              </font>
              <fill>
                <patternFill>
                  <bgColor rgb="FFFFEB9C"/>
                </patternFill>
              </fill>
            </x14:dxf>
          </x14:cfRule>
          <xm:sqref>E25</xm:sqref>
        </x14:conditionalFormatting>
        <x14:conditionalFormatting xmlns:xm="http://schemas.microsoft.com/office/excel/2006/main">
          <x14:cfRule type="expression" priority="1" id="{00000000-000E-0000-0300-000001000000}">
            <xm:f>INVOICE!$C$17&lt;&gt;$C$5:$C$5</xm:f>
            <x14:dxf>
              <font>
                <color rgb="FF9C0006"/>
              </font>
              <fill>
                <patternFill>
                  <bgColor rgb="FFFFC7CE"/>
                </patternFill>
              </fill>
            </x14:dxf>
          </x14:cfRule>
          <xm:sqref>K12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0AB7494-6352-5F44-BFCC-73C7DC011E3F}">
          <x14:formula1>
            <xm:f>Items!$W$6:$W$8</xm:f>
          </x14:formula1>
          <xm:sqref>I12</xm:sqref>
        </x14:dataValidation>
        <x14:dataValidation type="list" allowBlank="1" showInputMessage="1" showErrorMessage="1" xr:uid="{7056B175-94F8-AE4C-91B5-522703E4E788}">
          <x14:formula1>
            <xm:f>Items!$J$1:$J$5</xm:f>
          </x14:formula1>
          <xm:sqref>I17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7943-853A-F143-80A3-318BF27F3636}">
  <sheetPr codeName="Sheet10"/>
  <dimension ref="B3:AC442"/>
  <sheetViews>
    <sheetView showGridLines="0" showRowColHeaders="0" topLeftCell="A70" zoomScale="130" zoomScaleNormal="130" workbookViewId="0">
      <selection activeCell="O51" sqref="O51"/>
    </sheetView>
  </sheetViews>
  <sheetFormatPr baseColWidth="10" defaultColWidth="9.1640625" defaultRowHeight="16"/>
  <cols>
    <col min="1" max="1" width="9.1640625" style="105"/>
    <col min="2" max="2" width="10" style="105" customWidth="1"/>
    <col min="3" max="3" width="10.1640625" style="105" customWidth="1"/>
    <col min="4" max="5" width="10" style="105" customWidth="1"/>
    <col min="6" max="6" width="10.1640625" style="105" customWidth="1"/>
    <col min="7" max="7" width="11.33203125" style="105" customWidth="1"/>
    <col min="8" max="8" width="10.6640625" style="105" customWidth="1"/>
    <col min="9" max="9" width="11.5" style="105" customWidth="1"/>
    <col min="10" max="10" width="10" style="105" customWidth="1"/>
    <col min="11" max="11" width="11.83203125" style="105" customWidth="1"/>
    <col min="12" max="12" width="11.5" style="105" customWidth="1"/>
    <col min="13" max="14" width="9.1640625" style="105"/>
    <col min="15" max="15" width="13" style="105" customWidth="1"/>
    <col min="16" max="16" width="12.6640625" style="105" customWidth="1"/>
    <col min="17" max="17" width="9.83203125" style="105" customWidth="1"/>
    <col min="18" max="16384" width="9.1640625" style="105"/>
  </cols>
  <sheetData>
    <row r="3" spans="2:29">
      <c r="B3" s="105" t="s">
        <v>1948</v>
      </c>
      <c r="P3" s="106" t="s">
        <v>1949</v>
      </c>
      <c r="U3" s="105" t="s">
        <v>1950</v>
      </c>
    </row>
    <row r="4" spans="2:29">
      <c r="I4" s="107"/>
      <c r="AB4" s="107"/>
    </row>
    <row r="5" spans="2:29" ht="68">
      <c r="B5" s="108" t="s">
        <v>1951</v>
      </c>
      <c r="C5" s="108" t="s">
        <v>1952</v>
      </c>
      <c r="D5" s="108" t="s">
        <v>1953</v>
      </c>
      <c r="E5" s="108" t="s">
        <v>1954</v>
      </c>
      <c r="F5" s="108" t="s">
        <v>1955</v>
      </c>
      <c r="G5" s="108" t="s">
        <v>1956</v>
      </c>
      <c r="H5" s="108" t="s">
        <v>1957</v>
      </c>
      <c r="I5" s="108" t="s">
        <v>1958</v>
      </c>
      <c r="J5" s="108" t="s">
        <v>1959</v>
      </c>
      <c r="K5" s="108" t="s">
        <v>1960</v>
      </c>
      <c r="L5" s="108" t="s">
        <v>1961</v>
      </c>
      <c r="M5" s="109" t="s">
        <v>1962</v>
      </c>
      <c r="P5" s="105" t="s">
        <v>1963</v>
      </c>
      <c r="Q5" s="105" t="s">
        <v>1964</v>
      </c>
      <c r="U5" s="108" t="s">
        <v>1951</v>
      </c>
      <c r="V5" s="108" t="s">
        <v>1952</v>
      </c>
      <c r="W5" s="108" t="s">
        <v>1953</v>
      </c>
      <c r="X5" s="108" t="s">
        <v>1954</v>
      </c>
      <c r="Y5" s="108" t="s">
        <v>1965</v>
      </c>
      <c r="Z5" s="108" t="s">
        <v>1966</v>
      </c>
      <c r="AA5" s="108" t="s">
        <v>1967</v>
      </c>
      <c r="AB5" s="108" t="s">
        <v>1968</v>
      </c>
      <c r="AC5" s="108" t="s">
        <v>1962</v>
      </c>
    </row>
    <row r="6" spans="2:29">
      <c r="B6" s="105">
        <v>11</v>
      </c>
      <c r="C6" s="105">
        <v>10.5</v>
      </c>
      <c r="D6" s="105">
        <v>13.5</v>
      </c>
      <c r="E6" s="105">
        <v>12</v>
      </c>
      <c r="F6" s="105">
        <v>15.5</v>
      </c>
      <c r="G6" s="105">
        <v>14</v>
      </c>
      <c r="M6" s="110">
        <v>1</v>
      </c>
      <c r="P6" s="105">
        <v>0.5</v>
      </c>
      <c r="Q6" s="105">
        <v>36</v>
      </c>
      <c r="U6" s="105">
        <v>44</v>
      </c>
      <c r="V6" s="105">
        <v>44</v>
      </c>
      <c r="W6" s="105">
        <v>44</v>
      </c>
      <c r="X6" s="105">
        <v>44</v>
      </c>
      <c r="Y6" s="105">
        <v>38</v>
      </c>
      <c r="Z6" s="105">
        <v>38</v>
      </c>
      <c r="AA6" s="105">
        <v>38</v>
      </c>
      <c r="AB6" s="105">
        <v>38</v>
      </c>
      <c r="AC6" s="105">
        <v>1</v>
      </c>
    </row>
    <row r="7" spans="2:29">
      <c r="B7" s="105">
        <v>14.5</v>
      </c>
      <c r="C7" s="105">
        <v>13.5</v>
      </c>
      <c r="D7" s="105">
        <v>17.5</v>
      </c>
      <c r="E7" s="105">
        <v>15.5</v>
      </c>
      <c r="F7" s="105">
        <v>20</v>
      </c>
      <c r="G7" s="105">
        <v>18</v>
      </c>
      <c r="M7" s="105">
        <v>1.5</v>
      </c>
      <c r="P7" s="105">
        <v>0.75</v>
      </c>
      <c r="Q7" s="105">
        <v>24.5</v>
      </c>
      <c r="U7" s="105">
        <v>29</v>
      </c>
      <c r="V7" s="105">
        <v>29</v>
      </c>
      <c r="W7" s="105">
        <v>29</v>
      </c>
      <c r="X7" s="105">
        <v>29</v>
      </c>
      <c r="Y7" s="105">
        <v>25</v>
      </c>
      <c r="Z7" s="105">
        <v>25</v>
      </c>
      <c r="AA7" s="105">
        <v>25</v>
      </c>
      <c r="AB7" s="105">
        <v>25</v>
      </c>
      <c r="AC7" s="105">
        <v>1.5</v>
      </c>
    </row>
    <row r="8" spans="2:29">
      <c r="B8" s="105">
        <v>20</v>
      </c>
      <c r="C8" s="105">
        <v>18</v>
      </c>
      <c r="D8" s="105">
        <v>24</v>
      </c>
      <c r="E8" s="105">
        <v>21</v>
      </c>
      <c r="F8" s="105">
        <v>27</v>
      </c>
      <c r="G8" s="105">
        <v>25</v>
      </c>
      <c r="M8" s="110">
        <v>2.5</v>
      </c>
      <c r="P8" s="105">
        <v>1</v>
      </c>
      <c r="Q8" s="105">
        <v>18.100000000000001</v>
      </c>
      <c r="U8" s="105">
        <v>18</v>
      </c>
      <c r="V8" s="105">
        <v>18</v>
      </c>
      <c r="W8" s="105">
        <v>18</v>
      </c>
      <c r="X8" s="105">
        <v>18</v>
      </c>
      <c r="Y8" s="105">
        <v>15</v>
      </c>
      <c r="Z8" s="105">
        <v>15</v>
      </c>
      <c r="AA8" s="105">
        <v>15</v>
      </c>
      <c r="AB8" s="105">
        <v>15</v>
      </c>
      <c r="AC8" s="105">
        <v>2.5</v>
      </c>
    </row>
    <row r="9" spans="2:29">
      <c r="B9" s="105">
        <v>26</v>
      </c>
      <c r="C9" s="105">
        <v>24</v>
      </c>
      <c r="D9" s="105">
        <v>32</v>
      </c>
      <c r="E9" s="105">
        <v>28</v>
      </c>
      <c r="F9" s="105">
        <v>37</v>
      </c>
      <c r="G9" s="105">
        <v>33</v>
      </c>
      <c r="M9" s="105">
        <v>4</v>
      </c>
      <c r="P9" s="105">
        <v>1.5</v>
      </c>
      <c r="Q9" s="105">
        <v>12.1</v>
      </c>
      <c r="U9" s="105">
        <v>11</v>
      </c>
      <c r="V9" s="105">
        <v>11</v>
      </c>
      <c r="W9" s="105">
        <v>11</v>
      </c>
      <c r="X9" s="105">
        <v>11</v>
      </c>
      <c r="Y9" s="105">
        <v>9.5</v>
      </c>
      <c r="Z9" s="105">
        <v>9.5</v>
      </c>
      <c r="AA9" s="105">
        <v>9.5</v>
      </c>
      <c r="AB9" s="105">
        <v>9.5</v>
      </c>
      <c r="AC9" s="105">
        <v>4</v>
      </c>
    </row>
    <row r="10" spans="2:29">
      <c r="B10" s="105">
        <v>34</v>
      </c>
      <c r="C10" s="105">
        <v>31</v>
      </c>
      <c r="D10" s="105">
        <v>41</v>
      </c>
      <c r="E10" s="105">
        <v>36</v>
      </c>
      <c r="F10" s="105">
        <v>47</v>
      </c>
      <c r="G10" s="105">
        <v>43</v>
      </c>
      <c r="M10" s="110">
        <v>6</v>
      </c>
      <c r="P10" s="105">
        <v>2.5</v>
      </c>
      <c r="Q10" s="105">
        <v>7.41</v>
      </c>
      <c r="U10" s="105">
        <v>7.3</v>
      </c>
      <c r="V10" s="105">
        <v>7.3</v>
      </c>
      <c r="W10" s="105">
        <v>7.3</v>
      </c>
      <c r="X10" s="105">
        <v>7.3</v>
      </c>
      <c r="Y10" s="105">
        <v>6.4</v>
      </c>
      <c r="Z10" s="105">
        <v>6.4</v>
      </c>
      <c r="AA10" s="105">
        <v>6.4</v>
      </c>
      <c r="AB10" s="105">
        <v>6.4</v>
      </c>
      <c r="AC10" s="105">
        <v>6</v>
      </c>
    </row>
    <row r="11" spans="2:29">
      <c r="B11" s="105">
        <v>46</v>
      </c>
      <c r="C11" s="105">
        <v>42</v>
      </c>
      <c r="D11" s="105">
        <v>57</v>
      </c>
      <c r="E11" s="105">
        <v>50</v>
      </c>
      <c r="F11" s="105">
        <v>65</v>
      </c>
      <c r="G11" s="105">
        <v>59</v>
      </c>
      <c r="M11" s="105">
        <v>10</v>
      </c>
      <c r="P11" s="105">
        <v>4</v>
      </c>
      <c r="Q11" s="105">
        <v>4.6100000000000003</v>
      </c>
      <c r="U11" s="105">
        <v>4.4000000000000004</v>
      </c>
      <c r="V11" s="105">
        <v>4.4000000000000004</v>
      </c>
      <c r="W11" s="105">
        <v>4.4000000000000004</v>
      </c>
      <c r="X11" s="105">
        <v>4.4000000000000004</v>
      </c>
      <c r="Y11" s="105">
        <v>3.8</v>
      </c>
      <c r="Z11" s="105">
        <v>3.8</v>
      </c>
      <c r="AA11" s="105">
        <v>3.8</v>
      </c>
      <c r="AB11" s="105">
        <v>3.8</v>
      </c>
      <c r="AC11" s="105">
        <v>10</v>
      </c>
    </row>
    <row r="12" spans="2:29">
      <c r="B12" s="105">
        <v>61</v>
      </c>
      <c r="C12" s="105">
        <v>56</v>
      </c>
      <c r="D12" s="105">
        <v>76</v>
      </c>
      <c r="E12" s="105">
        <v>68</v>
      </c>
      <c r="F12" s="105">
        <v>87</v>
      </c>
      <c r="G12" s="105">
        <v>79</v>
      </c>
      <c r="M12" s="110">
        <v>16</v>
      </c>
      <c r="P12" s="105">
        <v>6</v>
      </c>
      <c r="Q12" s="105">
        <v>3.08</v>
      </c>
      <c r="U12" s="105">
        <v>2.8</v>
      </c>
      <c r="V12" s="105">
        <v>2.8</v>
      </c>
      <c r="W12" s="105">
        <v>2.8</v>
      </c>
      <c r="X12" s="105">
        <v>2.8</v>
      </c>
      <c r="Y12" s="105">
        <v>2.4</v>
      </c>
      <c r="Z12" s="105">
        <v>2.4</v>
      </c>
      <c r="AA12" s="105">
        <v>2.4</v>
      </c>
      <c r="AB12" s="105">
        <v>2.4</v>
      </c>
      <c r="AC12" s="105">
        <v>16</v>
      </c>
    </row>
    <row r="13" spans="2:29">
      <c r="B13" s="105">
        <v>80</v>
      </c>
      <c r="C13" s="105">
        <v>73</v>
      </c>
      <c r="D13" s="105">
        <v>101</v>
      </c>
      <c r="E13" s="105">
        <v>89</v>
      </c>
      <c r="F13" s="105">
        <v>114</v>
      </c>
      <c r="G13" s="105">
        <v>104</v>
      </c>
      <c r="H13" s="105">
        <v>131</v>
      </c>
      <c r="I13" s="105">
        <v>114</v>
      </c>
      <c r="J13" s="105">
        <v>110</v>
      </c>
      <c r="K13" s="105">
        <v>146</v>
      </c>
      <c r="L13" s="105">
        <v>130</v>
      </c>
      <c r="M13" s="105">
        <v>25</v>
      </c>
      <c r="P13" s="105">
        <v>10</v>
      </c>
      <c r="Q13" s="105">
        <v>1.83</v>
      </c>
      <c r="U13" s="105">
        <v>1.75</v>
      </c>
      <c r="V13" s="105">
        <v>1.8</v>
      </c>
      <c r="W13" s="105">
        <v>1.75</v>
      </c>
      <c r="X13" s="105">
        <v>1.75</v>
      </c>
      <c r="Y13" s="105">
        <v>1.5</v>
      </c>
      <c r="Z13" s="105">
        <v>1.5</v>
      </c>
      <c r="AA13" s="105">
        <v>1.5</v>
      </c>
      <c r="AB13" s="105">
        <v>1.5</v>
      </c>
      <c r="AC13" s="105">
        <v>25</v>
      </c>
    </row>
    <row r="14" spans="2:29">
      <c r="B14" s="105">
        <v>99</v>
      </c>
      <c r="C14" s="105">
        <v>89</v>
      </c>
      <c r="D14" s="105">
        <v>125</v>
      </c>
      <c r="E14" s="105">
        <v>110</v>
      </c>
      <c r="F14" s="105">
        <v>141</v>
      </c>
      <c r="G14" s="105">
        <v>129</v>
      </c>
      <c r="H14" s="105">
        <v>162</v>
      </c>
      <c r="I14" s="105">
        <v>143</v>
      </c>
      <c r="J14" s="105">
        <v>137</v>
      </c>
      <c r="K14" s="105">
        <v>181</v>
      </c>
      <c r="L14" s="105">
        <v>162</v>
      </c>
      <c r="M14" s="110">
        <v>35</v>
      </c>
      <c r="P14" s="105">
        <v>16</v>
      </c>
      <c r="Q14" s="105">
        <v>1.1499999999999999</v>
      </c>
      <c r="U14" s="105">
        <v>1.25</v>
      </c>
      <c r="V14" s="105">
        <v>1.3</v>
      </c>
      <c r="W14" s="105">
        <v>1.25</v>
      </c>
      <c r="X14" s="105">
        <v>1.25</v>
      </c>
      <c r="Y14" s="105">
        <v>1.1000000000000001</v>
      </c>
      <c r="Z14" s="105">
        <v>1.1000000000000001</v>
      </c>
      <c r="AA14" s="105">
        <v>1.1000000000000001</v>
      </c>
      <c r="AB14" s="105">
        <v>1.1000000000000001</v>
      </c>
      <c r="AC14" s="105">
        <v>35</v>
      </c>
    </row>
    <row r="15" spans="2:29">
      <c r="B15" s="105">
        <v>119</v>
      </c>
      <c r="C15" s="105">
        <v>108</v>
      </c>
      <c r="D15" s="105">
        <v>151</v>
      </c>
      <c r="E15" s="105">
        <v>134</v>
      </c>
      <c r="F15" s="105">
        <v>182</v>
      </c>
      <c r="G15" s="105">
        <v>167</v>
      </c>
      <c r="H15" s="105">
        <v>196</v>
      </c>
      <c r="I15" s="105">
        <v>174</v>
      </c>
      <c r="J15" s="105">
        <v>167</v>
      </c>
      <c r="K15" s="105">
        <v>219</v>
      </c>
      <c r="L15" s="105">
        <v>197</v>
      </c>
      <c r="M15" s="105">
        <v>50</v>
      </c>
      <c r="P15" s="105">
        <v>25</v>
      </c>
      <c r="Q15" s="105">
        <v>0.72699999999999998</v>
      </c>
      <c r="U15" s="105">
        <v>0.93</v>
      </c>
      <c r="V15" s="105">
        <v>0.95</v>
      </c>
      <c r="W15" s="105">
        <v>0.93</v>
      </c>
      <c r="X15" s="105">
        <v>0.93</v>
      </c>
      <c r="Y15" s="105">
        <v>0.81</v>
      </c>
      <c r="Z15" s="105">
        <v>0.8</v>
      </c>
      <c r="AA15" s="105">
        <v>0.8</v>
      </c>
      <c r="AB15" s="105">
        <v>0.8</v>
      </c>
      <c r="AC15" s="105">
        <v>50</v>
      </c>
    </row>
    <row r="16" spans="2:29">
      <c r="B16" s="105">
        <v>151</v>
      </c>
      <c r="C16" s="105">
        <v>136</v>
      </c>
      <c r="D16" s="105">
        <v>192</v>
      </c>
      <c r="E16" s="105">
        <v>171</v>
      </c>
      <c r="F16" s="105">
        <v>234</v>
      </c>
      <c r="G16" s="105">
        <v>214</v>
      </c>
      <c r="H16" s="105">
        <v>251</v>
      </c>
      <c r="I16" s="105">
        <v>225</v>
      </c>
      <c r="J16" s="105">
        <v>216</v>
      </c>
      <c r="K16" s="105">
        <v>281</v>
      </c>
      <c r="L16" s="105">
        <v>254</v>
      </c>
      <c r="M16" s="110">
        <v>70</v>
      </c>
      <c r="P16" s="105">
        <v>35</v>
      </c>
      <c r="Q16" s="105">
        <v>0.52400000000000002</v>
      </c>
      <c r="U16" s="105">
        <v>0.63</v>
      </c>
      <c r="V16" s="105">
        <v>0.65</v>
      </c>
      <c r="W16" s="105">
        <v>0.63</v>
      </c>
      <c r="X16" s="105">
        <v>0.63</v>
      </c>
      <c r="Y16" s="105">
        <v>0.56000000000000005</v>
      </c>
      <c r="Z16" s="105">
        <v>0.55000000000000004</v>
      </c>
      <c r="AA16" s="105">
        <v>0.55000000000000004</v>
      </c>
      <c r="AB16" s="105">
        <v>0.55000000000000004</v>
      </c>
      <c r="AC16" s="105">
        <v>70</v>
      </c>
    </row>
    <row r="17" spans="2:29">
      <c r="B17" s="105">
        <v>182</v>
      </c>
      <c r="C17" s="105">
        <v>164</v>
      </c>
      <c r="D17" s="105">
        <v>232</v>
      </c>
      <c r="E17" s="105">
        <v>207</v>
      </c>
      <c r="F17" s="105">
        <v>284</v>
      </c>
      <c r="G17" s="105">
        <v>261</v>
      </c>
      <c r="H17" s="105">
        <v>304</v>
      </c>
      <c r="I17" s="105">
        <v>275</v>
      </c>
      <c r="J17" s="105">
        <v>264</v>
      </c>
      <c r="K17" s="105">
        <v>341</v>
      </c>
      <c r="L17" s="105">
        <v>311</v>
      </c>
      <c r="M17" s="105">
        <v>95</v>
      </c>
      <c r="P17" s="105">
        <v>50</v>
      </c>
      <c r="Q17" s="105">
        <v>0.38700000000000001</v>
      </c>
      <c r="U17" s="105">
        <v>0.46</v>
      </c>
      <c r="V17" s="105">
        <v>0.49</v>
      </c>
      <c r="W17" s="105">
        <v>0.47</v>
      </c>
      <c r="X17" s="105">
        <v>0.47</v>
      </c>
      <c r="Y17" s="105">
        <v>0.42</v>
      </c>
      <c r="Z17" s="105">
        <v>0.41</v>
      </c>
      <c r="AA17" s="105">
        <v>0.41</v>
      </c>
      <c r="AB17" s="105">
        <v>0.4</v>
      </c>
      <c r="AC17" s="105">
        <v>95</v>
      </c>
    </row>
    <row r="18" spans="2:29">
      <c r="B18" s="105">
        <v>210</v>
      </c>
      <c r="C18" s="105">
        <v>188</v>
      </c>
      <c r="D18" s="105">
        <v>269</v>
      </c>
      <c r="E18" s="105">
        <v>239</v>
      </c>
      <c r="F18" s="105">
        <v>330</v>
      </c>
      <c r="G18" s="105">
        <v>303</v>
      </c>
      <c r="H18" s="105">
        <v>352</v>
      </c>
      <c r="I18" s="105">
        <v>321</v>
      </c>
      <c r="J18" s="105">
        <v>308</v>
      </c>
      <c r="K18" s="105">
        <v>396</v>
      </c>
      <c r="L18" s="105">
        <v>362</v>
      </c>
      <c r="M18" s="110">
        <v>120</v>
      </c>
      <c r="P18" s="105">
        <v>70</v>
      </c>
      <c r="Q18" s="105">
        <v>0.26800000000000002</v>
      </c>
      <c r="U18" s="105">
        <v>0.36</v>
      </c>
      <c r="V18" s="105">
        <v>0.39</v>
      </c>
      <c r="W18" s="105">
        <v>0.37</v>
      </c>
      <c r="X18" s="105">
        <v>0.37</v>
      </c>
      <c r="Y18" s="105">
        <v>0.33</v>
      </c>
      <c r="Z18" s="105">
        <v>0.32</v>
      </c>
      <c r="AA18" s="105">
        <v>0.32</v>
      </c>
      <c r="AB18" s="105">
        <v>0.32</v>
      </c>
      <c r="AC18" s="105">
        <v>120</v>
      </c>
    </row>
    <row r="19" spans="2:29">
      <c r="B19" s="105">
        <v>240</v>
      </c>
      <c r="C19" s="105">
        <v>216</v>
      </c>
      <c r="D19" s="105">
        <v>300</v>
      </c>
      <c r="E19" s="105">
        <v>262</v>
      </c>
      <c r="F19" s="105">
        <v>381</v>
      </c>
      <c r="G19" s="105">
        <v>349</v>
      </c>
      <c r="H19" s="105">
        <v>406</v>
      </c>
      <c r="I19" s="105">
        <v>372</v>
      </c>
      <c r="J19" s="105">
        <v>356</v>
      </c>
      <c r="K19" s="105">
        <v>456</v>
      </c>
      <c r="L19" s="105">
        <v>419</v>
      </c>
      <c r="M19" s="105">
        <v>150</v>
      </c>
      <c r="P19" s="105">
        <v>95</v>
      </c>
      <c r="Q19" s="105">
        <v>0.19500000000000001</v>
      </c>
      <c r="U19" s="105">
        <v>0.28999999999999998</v>
      </c>
      <c r="V19" s="105">
        <v>0.31</v>
      </c>
      <c r="W19" s="105">
        <v>0.3</v>
      </c>
      <c r="X19" s="105">
        <v>0.28999999999999998</v>
      </c>
      <c r="Y19" s="105">
        <v>0.27</v>
      </c>
      <c r="Z19" s="105">
        <v>0.26</v>
      </c>
      <c r="AA19" s="105">
        <v>0.26</v>
      </c>
      <c r="AB19" s="105">
        <v>0.26</v>
      </c>
      <c r="AC19" s="105">
        <v>150</v>
      </c>
    </row>
    <row r="20" spans="2:29">
      <c r="B20" s="105">
        <v>273</v>
      </c>
      <c r="C20" s="105">
        <v>245</v>
      </c>
      <c r="D20" s="105">
        <v>341</v>
      </c>
      <c r="E20" s="105">
        <v>296</v>
      </c>
      <c r="F20" s="105">
        <v>436</v>
      </c>
      <c r="G20" s="105">
        <v>400</v>
      </c>
      <c r="H20" s="105">
        <v>463</v>
      </c>
      <c r="I20" s="105">
        <v>427</v>
      </c>
      <c r="J20" s="105">
        <v>409</v>
      </c>
      <c r="K20" s="105">
        <v>521</v>
      </c>
      <c r="L20" s="105">
        <v>480</v>
      </c>
      <c r="M20" s="110">
        <v>185</v>
      </c>
      <c r="P20" s="105">
        <v>120</v>
      </c>
      <c r="Q20" s="105">
        <v>0.153</v>
      </c>
      <c r="U20" s="105">
        <v>0.23</v>
      </c>
      <c r="V20" s="105">
        <v>0.25</v>
      </c>
      <c r="W20" s="105">
        <v>0.24</v>
      </c>
      <c r="X20" s="105">
        <v>0.24</v>
      </c>
      <c r="Y20" s="105">
        <v>0.22</v>
      </c>
      <c r="Z20" s="105">
        <v>0.21</v>
      </c>
      <c r="AA20" s="105">
        <v>0.21</v>
      </c>
      <c r="AB20" s="105">
        <v>0.21</v>
      </c>
      <c r="AC20" s="105">
        <v>185</v>
      </c>
    </row>
    <row r="21" spans="2:29">
      <c r="B21" s="105">
        <v>321</v>
      </c>
      <c r="C21" s="105">
        <v>286</v>
      </c>
      <c r="D21" s="105">
        <v>400</v>
      </c>
      <c r="E21" s="105">
        <v>346</v>
      </c>
      <c r="F21" s="105">
        <v>515</v>
      </c>
      <c r="G21" s="105">
        <v>472</v>
      </c>
      <c r="H21" s="105">
        <v>546</v>
      </c>
      <c r="I21" s="105">
        <v>507</v>
      </c>
      <c r="J21" s="105">
        <v>485</v>
      </c>
      <c r="K21" s="105">
        <v>615</v>
      </c>
      <c r="L21" s="105">
        <v>569</v>
      </c>
      <c r="M21" s="105">
        <v>240</v>
      </c>
      <c r="P21" s="105">
        <v>150</v>
      </c>
      <c r="Q21" s="105">
        <v>0.124</v>
      </c>
      <c r="U21" s="105">
        <v>0.18</v>
      </c>
      <c r="V21" s="105">
        <v>0.19500000000000001</v>
      </c>
      <c r="W21" s="105">
        <v>0.185</v>
      </c>
      <c r="X21" s="105">
        <v>0.185</v>
      </c>
      <c r="Y21" s="105">
        <v>0.17</v>
      </c>
      <c r="Z21" s="105">
        <v>0.16</v>
      </c>
      <c r="AA21" s="105">
        <v>0.16</v>
      </c>
      <c r="AB21" s="105">
        <v>0.16</v>
      </c>
      <c r="AC21" s="105">
        <v>240</v>
      </c>
    </row>
    <row r="22" spans="2:29">
      <c r="B22" s="105">
        <v>367</v>
      </c>
      <c r="C22" s="105">
        <v>328</v>
      </c>
      <c r="D22" s="105">
        <v>458</v>
      </c>
      <c r="E22" s="105">
        <v>394</v>
      </c>
      <c r="F22" s="105">
        <v>594</v>
      </c>
      <c r="G22" s="105">
        <v>545</v>
      </c>
      <c r="H22" s="105">
        <v>629</v>
      </c>
      <c r="I22" s="105">
        <v>587</v>
      </c>
      <c r="J22" s="105">
        <v>561</v>
      </c>
      <c r="K22" s="105">
        <v>709</v>
      </c>
      <c r="L22" s="105">
        <v>659</v>
      </c>
      <c r="M22" s="110">
        <v>300</v>
      </c>
      <c r="P22" s="105">
        <v>185</v>
      </c>
      <c r="Q22" s="105">
        <v>9.9099999999999994E-2</v>
      </c>
      <c r="U22" s="105">
        <v>0.14499999999999999</v>
      </c>
      <c r="V22" s="105">
        <v>0.16</v>
      </c>
      <c r="W22" s="105">
        <v>0.15</v>
      </c>
      <c r="X22" s="105">
        <v>0.15</v>
      </c>
      <c r="Y22" s="105">
        <v>0.14000000000000001</v>
      </c>
      <c r="Z22" s="105">
        <v>0.13</v>
      </c>
      <c r="AA22" s="105">
        <v>0.13</v>
      </c>
      <c r="AB22" s="105">
        <v>0.13</v>
      </c>
      <c r="AC22" s="105">
        <v>300</v>
      </c>
    </row>
    <row r="23" spans="2:29">
      <c r="D23" s="105">
        <v>546</v>
      </c>
      <c r="E23" s="105">
        <v>467</v>
      </c>
      <c r="F23" s="105">
        <v>694</v>
      </c>
      <c r="G23" s="105">
        <v>634</v>
      </c>
      <c r="H23" s="105">
        <v>754</v>
      </c>
      <c r="I23" s="105">
        <v>689</v>
      </c>
      <c r="J23" s="105">
        <v>656</v>
      </c>
      <c r="K23" s="105">
        <v>852</v>
      </c>
      <c r="L23" s="105">
        <v>795</v>
      </c>
      <c r="M23" s="105">
        <v>400</v>
      </c>
      <c r="P23" s="105">
        <v>240</v>
      </c>
      <c r="Q23" s="105">
        <v>7.5399999999999995E-2</v>
      </c>
      <c r="U23" s="105">
        <v>0.105</v>
      </c>
      <c r="V23" s="105">
        <v>0.13</v>
      </c>
      <c r="W23" s="105">
        <v>0.12</v>
      </c>
      <c r="X23" s="105">
        <v>0.115</v>
      </c>
      <c r="Y23" s="105">
        <v>0.12</v>
      </c>
      <c r="Z23" s="105">
        <v>0.105</v>
      </c>
      <c r="AA23" s="105">
        <v>0.105</v>
      </c>
      <c r="AB23" s="105">
        <v>0.1</v>
      </c>
      <c r="AC23" s="105">
        <v>400</v>
      </c>
    </row>
    <row r="24" spans="2:29">
      <c r="D24" s="105">
        <v>626</v>
      </c>
      <c r="E24" s="105">
        <v>533</v>
      </c>
      <c r="F24" s="105">
        <v>792</v>
      </c>
      <c r="G24" s="105">
        <v>723</v>
      </c>
      <c r="H24" s="105">
        <v>868</v>
      </c>
      <c r="I24" s="105">
        <v>789</v>
      </c>
      <c r="J24" s="105">
        <v>749</v>
      </c>
      <c r="K24" s="105">
        <v>982</v>
      </c>
      <c r="L24" s="105">
        <v>920</v>
      </c>
      <c r="M24" s="105">
        <v>500</v>
      </c>
      <c r="P24" s="105">
        <v>300</v>
      </c>
      <c r="Q24" s="105">
        <v>6.0100000000000001E-2</v>
      </c>
      <c r="U24" s="105">
        <v>8.5999999999999993E-2</v>
      </c>
      <c r="V24" s="105">
        <v>0.11</v>
      </c>
      <c r="W24" s="105">
        <v>9.8000000000000004E-2</v>
      </c>
      <c r="X24" s="105">
        <v>9.2999999999999999E-2</v>
      </c>
      <c r="Y24" s="105">
        <v>0.1</v>
      </c>
      <c r="Z24" s="105">
        <v>8.5999999999999993E-2</v>
      </c>
      <c r="AA24" s="105">
        <v>8.5999999999999993E-2</v>
      </c>
      <c r="AB24" s="105">
        <v>8.1000000000000003E-2</v>
      </c>
      <c r="AC24" s="105">
        <v>500</v>
      </c>
    </row>
    <row r="25" spans="2:29">
      <c r="D25" s="105">
        <v>720</v>
      </c>
      <c r="E25" s="105">
        <v>611</v>
      </c>
      <c r="F25" s="105">
        <v>904</v>
      </c>
      <c r="G25" s="105">
        <v>826</v>
      </c>
      <c r="H25" s="105">
        <v>1005</v>
      </c>
      <c r="I25" s="105">
        <v>905</v>
      </c>
      <c r="J25" s="105">
        <v>855</v>
      </c>
      <c r="K25" s="105">
        <v>1138</v>
      </c>
      <c r="L25" s="105">
        <v>1070</v>
      </c>
      <c r="M25" s="105">
        <v>630</v>
      </c>
      <c r="P25" s="105">
        <v>400</v>
      </c>
      <c r="Q25" s="105">
        <v>4.7E-2</v>
      </c>
      <c r="U25" s="105">
        <v>6.8000000000000005E-2</v>
      </c>
      <c r="V25" s="105">
        <v>9.4E-2</v>
      </c>
      <c r="W25" s="105">
        <v>8.1000000000000003E-2</v>
      </c>
      <c r="X25" s="105">
        <v>7.5999999999999998E-2</v>
      </c>
      <c r="Y25" s="105">
        <v>0.08</v>
      </c>
      <c r="Z25" s="105">
        <v>7.1999999999999995E-2</v>
      </c>
      <c r="AA25" s="105">
        <v>7.1999999999999995E-2</v>
      </c>
      <c r="AB25" s="105">
        <v>6.6000000000000003E-2</v>
      </c>
      <c r="AC25" s="105">
        <v>630</v>
      </c>
    </row>
    <row r="26" spans="2:29">
      <c r="F26" s="105">
        <v>1030</v>
      </c>
      <c r="G26" s="105">
        <v>943</v>
      </c>
      <c r="H26" s="105">
        <v>1086</v>
      </c>
      <c r="I26" s="105">
        <v>1020</v>
      </c>
      <c r="J26" s="105">
        <v>971</v>
      </c>
      <c r="K26" s="105">
        <v>1265</v>
      </c>
      <c r="L26" s="105">
        <v>1188</v>
      </c>
      <c r="M26" s="105">
        <v>800</v>
      </c>
      <c r="P26" s="105">
        <v>500</v>
      </c>
      <c r="Q26" s="105">
        <v>3.6600000000000001E-2</v>
      </c>
      <c r="U26" s="105">
        <v>5.2999999999999999E-2</v>
      </c>
      <c r="W26" s="105">
        <v>6.8000000000000005E-2</v>
      </c>
      <c r="X26" s="105">
        <v>6.0999999999999999E-2</v>
      </c>
      <c r="Z26" s="105">
        <v>0.06</v>
      </c>
      <c r="AA26" s="105">
        <v>0.06</v>
      </c>
      <c r="AB26" s="105">
        <v>5.2999999999999999E-2</v>
      </c>
      <c r="AC26" s="105">
        <v>800</v>
      </c>
    </row>
    <row r="27" spans="2:29">
      <c r="F27" s="105">
        <v>1154</v>
      </c>
      <c r="G27" s="105">
        <v>1058</v>
      </c>
      <c r="H27" s="105">
        <v>1216</v>
      </c>
      <c r="I27" s="105">
        <v>1149</v>
      </c>
      <c r="J27" s="105">
        <v>1079</v>
      </c>
      <c r="K27" s="105">
        <v>1420</v>
      </c>
      <c r="L27" s="105">
        <v>1337</v>
      </c>
      <c r="M27" s="105">
        <v>1000</v>
      </c>
      <c r="P27" s="105">
        <v>630</v>
      </c>
      <c r="Q27" s="105">
        <v>2.2100000000000002E-2</v>
      </c>
      <c r="U27" s="105">
        <v>4.2000000000000003E-2</v>
      </c>
      <c r="W27" s="105">
        <v>5.8999999999999997E-2</v>
      </c>
      <c r="X27" s="105">
        <v>0.05</v>
      </c>
      <c r="Z27" s="105">
        <v>5.1999999999999998E-2</v>
      </c>
      <c r="AA27" s="105">
        <v>5.1999999999999998E-2</v>
      </c>
      <c r="AB27" s="105">
        <v>4.3999999999999997E-2</v>
      </c>
      <c r="AC27" s="105">
        <v>1000</v>
      </c>
    </row>
    <row r="28" spans="2:29">
      <c r="P28" s="105">
        <v>1000</v>
      </c>
      <c r="Q28" s="105">
        <v>1.7600000000000001E-2</v>
      </c>
    </row>
    <row r="29" spans="2:29">
      <c r="P29" s="105">
        <v>2000</v>
      </c>
      <c r="Q29" s="105">
        <v>8.9999999999999993E-3</v>
      </c>
    </row>
    <row r="30" spans="2:29">
      <c r="B30" s="105" t="s">
        <v>1969</v>
      </c>
      <c r="U30" s="105" t="s">
        <v>1970</v>
      </c>
    </row>
    <row r="31" spans="2:29">
      <c r="I31" s="107"/>
    </row>
    <row r="32" spans="2:29" ht="51">
      <c r="B32" s="108" t="s">
        <v>1951</v>
      </c>
      <c r="C32" s="108" t="s">
        <v>1952</v>
      </c>
      <c r="D32" s="108" t="s">
        <v>1953</v>
      </c>
      <c r="E32" s="108" t="s">
        <v>1954</v>
      </c>
      <c r="F32" s="108" t="s">
        <v>1965</v>
      </c>
      <c r="G32" s="108" t="s">
        <v>1966</v>
      </c>
      <c r="H32" s="108" t="s">
        <v>1967</v>
      </c>
      <c r="I32" s="108" t="s">
        <v>1968</v>
      </c>
      <c r="J32" s="108" t="s">
        <v>1962</v>
      </c>
      <c r="U32" s="108" t="s">
        <v>1971</v>
      </c>
      <c r="V32" s="108" t="s">
        <v>1972</v>
      </c>
      <c r="W32" s="108" t="s">
        <v>1973</v>
      </c>
      <c r="X32" s="108" t="s">
        <v>1962</v>
      </c>
    </row>
    <row r="33" spans="2:24">
      <c r="B33" s="105">
        <v>11</v>
      </c>
      <c r="C33" s="105">
        <v>10</v>
      </c>
      <c r="D33" s="105">
        <v>13</v>
      </c>
      <c r="E33" s="105">
        <v>11.5</v>
      </c>
      <c r="F33" s="105">
        <v>15</v>
      </c>
      <c r="G33" s="105">
        <v>13.5</v>
      </c>
      <c r="H33" s="105">
        <v>17</v>
      </c>
      <c r="I33" s="105">
        <v>14.5</v>
      </c>
      <c r="J33" s="105">
        <v>1</v>
      </c>
      <c r="U33" s="105">
        <v>44</v>
      </c>
      <c r="V33" s="105">
        <v>44</v>
      </c>
      <c r="W33" s="105">
        <v>38</v>
      </c>
      <c r="X33" s="105">
        <v>1</v>
      </c>
    </row>
    <row r="34" spans="2:24">
      <c r="B34" s="105">
        <v>14</v>
      </c>
      <c r="C34" s="105">
        <v>13</v>
      </c>
      <c r="D34" s="105">
        <v>16.5</v>
      </c>
      <c r="E34" s="105">
        <v>15</v>
      </c>
      <c r="F34" s="105">
        <v>19.5</v>
      </c>
      <c r="G34" s="105">
        <v>17.5</v>
      </c>
      <c r="H34" s="105">
        <v>22</v>
      </c>
      <c r="I34" s="105">
        <v>18.5</v>
      </c>
      <c r="J34" s="105">
        <v>1.5</v>
      </c>
      <c r="U34" s="105">
        <v>29</v>
      </c>
      <c r="V34" s="105">
        <v>29</v>
      </c>
      <c r="W34" s="105">
        <v>25</v>
      </c>
      <c r="X34" s="105">
        <v>1.5</v>
      </c>
    </row>
    <row r="35" spans="2:24">
      <c r="B35" s="105">
        <v>18.5</v>
      </c>
      <c r="C35" s="105">
        <v>17.5</v>
      </c>
      <c r="D35" s="105">
        <v>23</v>
      </c>
      <c r="E35" s="105">
        <v>20</v>
      </c>
      <c r="F35" s="105">
        <v>27</v>
      </c>
      <c r="G35" s="105">
        <v>24</v>
      </c>
      <c r="H35" s="105">
        <v>30</v>
      </c>
      <c r="I35" s="105">
        <v>25</v>
      </c>
      <c r="J35" s="105">
        <v>2.5</v>
      </c>
      <c r="U35" s="105">
        <v>18</v>
      </c>
      <c r="V35" s="105">
        <v>18</v>
      </c>
      <c r="W35" s="105">
        <v>15</v>
      </c>
      <c r="X35" s="105">
        <v>2.5</v>
      </c>
    </row>
    <row r="36" spans="2:24">
      <c r="B36" s="105">
        <v>25</v>
      </c>
      <c r="C36" s="105">
        <v>23</v>
      </c>
      <c r="D36" s="105">
        <v>30</v>
      </c>
      <c r="E36" s="105">
        <v>27</v>
      </c>
      <c r="F36" s="105">
        <v>36</v>
      </c>
      <c r="G36" s="105">
        <v>32</v>
      </c>
      <c r="H36" s="105">
        <v>40</v>
      </c>
      <c r="I36" s="105">
        <v>34</v>
      </c>
      <c r="J36" s="105">
        <v>4</v>
      </c>
      <c r="U36" s="105">
        <v>11</v>
      </c>
      <c r="V36" s="105">
        <v>11</v>
      </c>
      <c r="W36" s="105">
        <v>9.5</v>
      </c>
      <c r="X36" s="105">
        <v>4</v>
      </c>
    </row>
    <row r="37" spans="2:24">
      <c r="B37" s="105">
        <v>32</v>
      </c>
      <c r="C37" s="105">
        <v>29</v>
      </c>
      <c r="D37" s="105">
        <v>38</v>
      </c>
      <c r="E37" s="105">
        <v>34</v>
      </c>
      <c r="F37" s="105">
        <v>46</v>
      </c>
      <c r="G37" s="105">
        <v>41</v>
      </c>
      <c r="H37" s="105">
        <v>51</v>
      </c>
      <c r="I37" s="105">
        <v>43</v>
      </c>
      <c r="J37" s="105">
        <v>6</v>
      </c>
      <c r="U37" s="105">
        <v>7.3</v>
      </c>
      <c r="V37" s="105">
        <v>7.3</v>
      </c>
      <c r="W37" s="105">
        <v>6.4</v>
      </c>
      <c r="X37" s="105">
        <v>6</v>
      </c>
    </row>
    <row r="38" spans="2:24">
      <c r="B38" s="105">
        <v>43</v>
      </c>
      <c r="C38" s="105">
        <v>39</v>
      </c>
      <c r="D38" s="105">
        <v>52</v>
      </c>
      <c r="E38" s="105">
        <v>46</v>
      </c>
      <c r="F38" s="105">
        <v>63</v>
      </c>
      <c r="G38" s="105">
        <v>57</v>
      </c>
      <c r="H38" s="105">
        <v>70</v>
      </c>
      <c r="I38" s="105">
        <v>60</v>
      </c>
      <c r="J38" s="105">
        <v>10</v>
      </c>
      <c r="U38" s="105">
        <v>4.4000000000000004</v>
      </c>
      <c r="V38" s="105">
        <v>4.4000000000000004</v>
      </c>
      <c r="W38" s="105">
        <v>3.8</v>
      </c>
      <c r="X38" s="105">
        <v>10</v>
      </c>
    </row>
    <row r="39" spans="2:24">
      <c r="B39" s="105">
        <v>57</v>
      </c>
      <c r="C39" s="105">
        <v>52</v>
      </c>
      <c r="D39" s="105">
        <v>69</v>
      </c>
      <c r="E39" s="105">
        <v>62</v>
      </c>
      <c r="F39" s="105">
        <v>85</v>
      </c>
      <c r="G39" s="105">
        <v>76</v>
      </c>
      <c r="H39" s="105">
        <v>94</v>
      </c>
      <c r="I39" s="105">
        <v>80</v>
      </c>
      <c r="J39" s="105">
        <v>16</v>
      </c>
      <c r="U39" s="105">
        <v>2.8</v>
      </c>
      <c r="V39" s="105">
        <v>2.8</v>
      </c>
      <c r="W39" s="105">
        <v>2.4</v>
      </c>
      <c r="X39" s="105">
        <v>16</v>
      </c>
    </row>
    <row r="40" spans="2:24">
      <c r="B40" s="105">
        <v>75</v>
      </c>
      <c r="C40" s="105">
        <v>68</v>
      </c>
      <c r="D40" s="105">
        <v>90</v>
      </c>
      <c r="E40" s="105">
        <v>80</v>
      </c>
      <c r="F40" s="105">
        <v>112</v>
      </c>
      <c r="G40" s="105">
        <v>96</v>
      </c>
      <c r="H40" s="105">
        <v>119</v>
      </c>
      <c r="I40" s="105">
        <v>101</v>
      </c>
      <c r="J40" s="105">
        <v>25</v>
      </c>
      <c r="U40" s="105">
        <v>1.75</v>
      </c>
      <c r="V40" s="105">
        <v>1.75</v>
      </c>
      <c r="W40" s="105">
        <v>1.5</v>
      </c>
      <c r="X40" s="105">
        <v>25</v>
      </c>
    </row>
    <row r="41" spans="2:24">
      <c r="B41" s="105">
        <v>92</v>
      </c>
      <c r="C41" s="105">
        <v>83</v>
      </c>
      <c r="D41" s="105">
        <v>111</v>
      </c>
      <c r="E41" s="105">
        <v>118</v>
      </c>
      <c r="F41" s="105">
        <v>138</v>
      </c>
      <c r="G41" s="105">
        <v>119</v>
      </c>
      <c r="H41" s="105">
        <v>148</v>
      </c>
      <c r="I41" s="105">
        <v>126</v>
      </c>
      <c r="J41" s="105">
        <v>35</v>
      </c>
      <c r="U41" s="105">
        <v>1.25</v>
      </c>
      <c r="V41" s="105">
        <v>1.25</v>
      </c>
      <c r="W41" s="105">
        <v>1.1000000000000001</v>
      </c>
      <c r="X41" s="105">
        <v>35</v>
      </c>
    </row>
    <row r="42" spans="2:24">
      <c r="B42" s="105">
        <v>110</v>
      </c>
      <c r="C42" s="105">
        <v>99</v>
      </c>
      <c r="D42" s="105">
        <v>133</v>
      </c>
      <c r="E42" s="105">
        <v>149</v>
      </c>
      <c r="F42" s="105">
        <v>168</v>
      </c>
      <c r="G42" s="105">
        <v>144</v>
      </c>
      <c r="H42" s="105">
        <v>180</v>
      </c>
      <c r="I42" s="105">
        <v>153</v>
      </c>
      <c r="J42" s="105">
        <v>50</v>
      </c>
      <c r="U42" s="105">
        <v>0.93</v>
      </c>
      <c r="V42" s="105">
        <v>0.93</v>
      </c>
      <c r="W42" s="105">
        <v>0.8</v>
      </c>
      <c r="X42" s="105">
        <v>50</v>
      </c>
    </row>
    <row r="43" spans="2:24">
      <c r="B43" s="105">
        <v>139</v>
      </c>
      <c r="C43" s="105">
        <v>125</v>
      </c>
      <c r="D43" s="105">
        <v>168</v>
      </c>
      <c r="E43" s="105">
        <v>179</v>
      </c>
      <c r="F43" s="105">
        <v>213</v>
      </c>
      <c r="G43" s="105">
        <v>184</v>
      </c>
      <c r="H43" s="105">
        <v>232</v>
      </c>
      <c r="I43" s="105">
        <v>196</v>
      </c>
      <c r="J43" s="105">
        <v>70</v>
      </c>
      <c r="U43" s="105">
        <v>0.63</v>
      </c>
      <c r="V43" s="105">
        <v>0.63</v>
      </c>
      <c r="W43" s="105">
        <v>0.55000000000000004</v>
      </c>
      <c r="X43" s="105">
        <v>70</v>
      </c>
    </row>
    <row r="44" spans="2:24">
      <c r="B44" s="105">
        <v>167</v>
      </c>
      <c r="C44" s="105">
        <v>150</v>
      </c>
      <c r="D44" s="105">
        <v>201</v>
      </c>
      <c r="E44" s="105">
        <v>206</v>
      </c>
      <c r="F44" s="105">
        <v>258</v>
      </c>
      <c r="G44" s="105">
        <v>223</v>
      </c>
      <c r="H44" s="105">
        <v>282</v>
      </c>
      <c r="I44" s="105">
        <v>238</v>
      </c>
      <c r="J44" s="105">
        <v>95</v>
      </c>
      <c r="U44" s="105">
        <v>0.46</v>
      </c>
      <c r="V44" s="105">
        <v>0.47</v>
      </c>
      <c r="W44" s="105">
        <v>0.41</v>
      </c>
      <c r="X44" s="105">
        <v>95</v>
      </c>
    </row>
    <row r="45" spans="2:24">
      <c r="B45" s="105">
        <v>192</v>
      </c>
      <c r="C45" s="105">
        <v>172</v>
      </c>
      <c r="D45" s="105">
        <v>232</v>
      </c>
      <c r="E45" s="105">
        <v>225</v>
      </c>
      <c r="F45" s="105">
        <v>299</v>
      </c>
      <c r="G45" s="105">
        <v>259</v>
      </c>
      <c r="H45" s="105">
        <v>328</v>
      </c>
      <c r="I45" s="105">
        <v>276</v>
      </c>
      <c r="J45" s="105">
        <v>120</v>
      </c>
      <c r="U45" s="105">
        <v>0.36</v>
      </c>
      <c r="V45" s="105">
        <v>0.38</v>
      </c>
      <c r="W45" s="105">
        <v>0.33</v>
      </c>
      <c r="X45" s="105">
        <v>120</v>
      </c>
    </row>
    <row r="46" spans="2:24">
      <c r="B46" s="105">
        <v>219</v>
      </c>
      <c r="C46" s="105">
        <v>196</v>
      </c>
      <c r="D46" s="105">
        <v>258</v>
      </c>
      <c r="E46" s="105">
        <v>255</v>
      </c>
      <c r="F46" s="105">
        <v>344</v>
      </c>
      <c r="G46" s="105">
        <v>299</v>
      </c>
      <c r="H46" s="105">
        <v>379</v>
      </c>
      <c r="I46" s="105">
        <v>319</v>
      </c>
      <c r="J46" s="105">
        <v>150</v>
      </c>
      <c r="U46" s="105">
        <v>0.28999999999999998</v>
      </c>
      <c r="V46" s="105">
        <v>0.3</v>
      </c>
      <c r="W46" s="105">
        <v>0.26</v>
      </c>
      <c r="X46" s="105">
        <v>150</v>
      </c>
    </row>
    <row r="47" spans="2:24">
      <c r="B47" s="105">
        <v>248</v>
      </c>
      <c r="C47" s="105">
        <v>223</v>
      </c>
      <c r="D47" s="105">
        <v>294</v>
      </c>
      <c r="E47" s="105">
        <v>297</v>
      </c>
      <c r="F47" s="105">
        <v>392</v>
      </c>
      <c r="G47" s="105">
        <v>341</v>
      </c>
      <c r="H47" s="105">
        <v>434</v>
      </c>
      <c r="I47" s="105">
        <v>364</v>
      </c>
      <c r="J47" s="105">
        <v>185</v>
      </c>
      <c r="U47" s="105">
        <v>0.23</v>
      </c>
      <c r="V47" s="105">
        <v>0.25</v>
      </c>
      <c r="W47" s="105">
        <v>0.21</v>
      </c>
      <c r="X47" s="105">
        <v>185</v>
      </c>
    </row>
    <row r="48" spans="2:24">
      <c r="B48" s="105">
        <v>291</v>
      </c>
      <c r="C48" s="105">
        <v>261</v>
      </c>
      <c r="D48" s="105">
        <v>344</v>
      </c>
      <c r="E48" s="105">
        <v>339</v>
      </c>
      <c r="F48" s="105">
        <v>461</v>
      </c>
      <c r="G48" s="105">
        <v>403</v>
      </c>
      <c r="H48" s="105">
        <v>514</v>
      </c>
      <c r="I48" s="105">
        <v>430</v>
      </c>
      <c r="J48" s="105">
        <v>240</v>
      </c>
      <c r="U48" s="105">
        <v>0.18</v>
      </c>
      <c r="V48" s="105">
        <v>0.19</v>
      </c>
      <c r="W48" s="105">
        <v>0.16500000000000001</v>
      </c>
      <c r="X48" s="105">
        <v>240</v>
      </c>
    </row>
    <row r="49" spans="2:28">
      <c r="B49" s="105">
        <v>334</v>
      </c>
      <c r="C49" s="105">
        <v>298</v>
      </c>
      <c r="D49" s="105">
        <v>394</v>
      </c>
      <c r="E49" s="105">
        <v>402</v>
      </c>
      <c r="F49" s="105">
        <v>530</v>
      </c>
      <c r="G49" s="105">
        <v>464</v>
      </c>
      <c r="H49" s="105">
        <v>593</v>
      </c>
      <c r="I49" s="105">
        <v>497</v>
      </c>
      <c r="J49" s="105">
        <v>300</v>
      </c>
      <c r="U49" s="105">
        <v>0.14499999999999999</v>
      </c>
      <c r="V49" s="105">
        <v>0.155</v>
      </c>
      <c r="W49" s="105">
        <v>0.13500000000000001</v>
      </c>
      <c r="X49" s="105">
        <v>300</v>
      </c>
    </row>
    <row r="50" spans="2:28">
      <c r="D50" s="105">
        <v>470</v>
      </c>
      <c r="E50" s="105">
        <v>402</v>
      </c>
      <c r="F50" s="105">
        <v>634</v>
      </c>
      <c r="G50" s="105">
        <v>557</v>
      </c>
      <c r="H50" s="105">
        <v>715</v>
      </c>
      <c r="I50" s="105">
        <v>597</v>
      </c>
      <c r="J50" s="105">
        <v>400</v>
      </c>
      <c r="U50" s="105">
        <v>0.105</v>
      </c>
      <c r="V50" s="105">
        <v>0.115</v>
      </c>
      <c r="W50" s="105">
        <v>0.1</v>
      </c>
      <c r="X50" s="105">
        <v>400</v>
      </c>
    </row>
    <row r="53" spans="2:28">
      <c r="B53" s="105" t="s">
        <v>1974</v>
      </c>
      <c r="P53" s="106" t="s">
        <v>1975</v>
      </c>
      <c r="U53" s="105" t="s">
        <v>1976</v>
      </c>
    </row>
    <row r="54" spans="2:28">
      <c r="I54" s="107"/>
      <c r="AB54" s="107"/>
    </row>
    <row r="55" spans="2:28" ht="68">
      <c r="B55" s="108" t="s">
        <v>1955</v>
      </c>
      <c r="C55" s="108" t="s">
        <v>1977</v>
      </c>
      <c r="D55" s="108" t="s">
        <v>1957</v>
      </c>
      <c r="E55" s="108" t="s">
        <v>1958</v>
      </c>
      <c r="F55" s="108" t="s">
        <v>1959</v>
      </c>
      <c r="G55" s="108" t="s">
        <v>1978</v>
      </c>
      <c r="H55" s="108" t="s">
        <v>1979</v>
      </c>
      <c r="I55" s="108" t="s">
        <v>1980</v>
      </c>
      <c r="J55" s="108" t="s">
        <v>1981</v>
      </c>
      <c r="K55" s="108" t="s">
        <v>1982</v>
      </c>
      <c r="L55" s="108" t="s">
        <v>1983</v>
      </c>
      <c r="M55" s="109" t="s">
        <v>1962</v>
      </c>
      <c r="P55" s="105" t="s">
        <v>1963</v>
      </c>
      <c r="Q55" s="105" t="s">
        <v>1964</v>
      </c>
      <c r="U55" s="108" t="s">
        <v>1951</v>
      </c>
      <c r="V55" s="108" t="s">
        <v>1952</v>
      </c>
      <c r="W55" s="108" t="s">
        <v>1953</v>
      </c>
      <c r="X55" s="108" t="s">
        <v>1954</v>
      </c>
      <c r="Y55" s="108" t="s">
        <v>1965</v>
      </c>
      <c r="Z55" s="108" t="s">
        <v>1966</v>
      </c>
      <c r="AA55" s="108" t="s">
        <v>1962</v>
      </c>
    </row>
    <row r="56" spans="2:28">
      <c r="B56" s="105">
        <v>193</v>
      </c>
      <c r="C56" s="105">
        <v>179</v>
      </c>
      <c r="D56" s="105">
        <v>205</v>
      </c>
      <c r="E56" s="105">
        <v>189</v>
      </c>
      <c r="F56" s="105">
        <v>181</v>
      </c>
      <c r="G56" s="105">
        <v>229</v>
      </c>
      <c r="H56" s="105">
        <v>216</v>
      </c>
      <c r="I56" s="105">
        <v>229</v>
      </c>
      <c r="J56" s="105">
        <v>217</v>
      </c>
      <c r="K56" s="105">
        <v>230</v>
      </c>
      <c r="L56" s="105">
        <v>212</v>
      </c>
      <c r="M56" s="110">
        <v>50</v>
      </c>
      <c r="P56" s="105">
        <v>16</v>
      </c>
      <c r="U56" s="105">
        <v>0.93</v>
      </c>
      <c r="V56" s="105">
        <v>0.93</v>
      </c>
      <c r="W56" s="105">
        <v>0.92</v>
      </c>
      <c r="X56" s="105">
        <v>0.8</v>
      </c>
      <c r="Y56" s="105">
        <v>0.79</v>
      </c>
      <c r="Z56" s="105">
        <v>0.79</v>
      </c>
      <c r="AA56" s="105">
        <v>50</v>
      </c>
    </row>
    <row r="57" spans="2:28">
      <c r="B57" s="105">
        <v>245</v>
      </c>
      <c r="C57" s="105">
        <v>225</v>
      </c>
      <c r="D57" s="105">
        <v>259</v>
      </c>
      <c r="E57" s="105">
        <v>238</v>
      </c>
      <c r="F57" s="105">
        <v>231</v>
      </c>
      <c r="G57" s="105">
        <v>294</v>
      </c>
      <c r="H57" s="105">
        <v>279</v>
      </c>
      <c r="I57" s="105">
        <v>287</v>
      </c>
      <c r="J57" s="105">
        <v>272</v>
      </c>
      <c r="K57" s="105">
        <v>286</v>
      </c>
      <c r="L57" s="105">
        <v>263</v>
      </c>
      <c r="M57" s="105">
        <v>70</v>
      </c>
      <c r="P57" s="105">
        <v>25</v>
      </c>
      <c r="U57" s="105">
        <v>0.63</v>
      </c>
      <c r="V57" s="105">
        <v>0.64</v>
      </c>
      <c r="W57" s="105">
        <v>0.66</v>
      </c>
      <c r="X57" s="105">
        <v>0.56000000000000005</v>
      </c>
      <c r="Y57" s="105">
        <v>0.56999999999999995</v>
      </c>
      <c r="Z57" s="105">
        <v>0.59</v>
      </c>
      <c r="AA57" s="105">
        <v>70</v>
      </c>
    </row>
    <row r="58" spans="2:28">
      <c r="B58" s="105">
        <v>296</v>
      </c>
      <c r="C58" s="105">
        <v>269</v>
      </c>
      <c r="D58" s="105">
        <v>313</v>
      </c>
      <c r="E58" s="105">
        <v>285</v>
      </c>
      <c r="F58" s="105">
        <v>280</v>
      </c>
      <c r="G58" s="105">
        <v>357</v>
      </c>
      <c r="H58" s="105">
        <v>340</v>
      </c>
      <c r="I58" s="105">
        <v>349</v>
      </c>
      <c r="J58" s="105">
        <v>332</v>
      </c>
      <c r="K58" s="105">
        <v>338</v>
      </c>
      <c r="L58" s="105">
        <v>313</v>
      </c>
      <c r="M58" s="110">
        <v>95</v>
      </c>
      <c r="P58" s="105">
        <v>35</v>
      </c>
      <c r="U58" s="105">
        <v>0.46</v>
      </c>
      <c r="V58" s="105">
        <v>0.48</v>
      </c>
      <c r="W58" s="105">
        <v>0.51</v>
      </c>
      <c r="X58" s="105">
        <v>0.42</v>
      </c>
      <c r="Y58" s="105">
        <v>0.44</v>
      </c>
      <c r="Z58" s="105">
        <v>0.47</v>
      </c>
      <c r="AA58" s="105">
        <v>95</v>
      </c>
    </row>
    <row r="59" spans="2:28">
      <c r="B59" s="105">
        <v>342</v>
      </c>
      <c r="C59" s="105">
        <v>309</v>
      </c>
      <c r="D59" s="105">
        <v>360</v>
      </c>
      <c r="E59" s="105">
        <v>327</v>
      </c>
      <c r="F59" s="105">
        <v>324</v>
      </c>
      <c r="G59" s="105">
        <v>415</v>
      </c>
      <c r="H59" s="105">
        <v>396</v>
      </c>
      <c r="I59" s="105">
        <v>401</v>
      </c>
      <c r="J59" s="105">
        <v>383</v>
      </c>
      <c r="K59" s="105">
        <v>385</v>
      </c>
      <c r="L59" s="105">
        <v>357</v>
      </c>
      <c r="M59" s="105">
        <v>120</v>
      </c>
      <c r="P59" s="105">
        <v>50</v>
      </c>
      <c r="U59" s="105">
        <v>0.36</v>
      </c>
      <c r="V59" s="105">
        <v>0.39</v>
      </c>
      <c r="W59" s="105">
        <v>0.42</v>
      </c>
      <c r="X59" s="105">
        <v>0.33</v>
      </c>
      <c r="Y59" s="105">
        <v>0.36</v>
      </c>
      <c r="Z59" s="105">
        <v>0.4</v>
      </c>
      <c r="AA59" s="105">
        <v>120</v>
      </c>
    </row>
    <row r="60" spans="2:28">
      <c r="B60" s="105">
        <v>393</v>
      </c>
      <c r="C60" s="105">
        <v>352</v>
      </c>
      <c r="D60" s="105">
        <v>413</v>
      </c>
      <c r="E60" s="105">
        <v>373</v>
      </c>
      <c r="F60" s="105">
        <v>373</v>
      </c>
      <c r="G60" s="105">
        <v>479</v>
      </c>
      <c r="H60" s="105">
        <v>458</v>
      </c>
      <c r="I60" s="105">
        <v>449</v>
      </c>
      <c r="J60" s="105">
        <v>429</v>
      </c>
      <c r="K60" s="105">
        <v>436</v>
      </c>
      <c r="L60" s="105">
        <v>405</v>
      </c>
      <c r="M60" s="110">
        <v>150</v>
      </c>
      <c r="P60" s="105">
        <v>70</v>
      </c>
      <c r="U60" s="105">
        <v>0.28999999999999998</v>
      </c>
      <c r="V60" s="105">
        <v>0.31</v>
      </c>
      <c r="W60" s="105">
        <v>0.34</v>
      </c>
      <c r="X60" s="105">
        <v>0.27</v>
      </c>
      <c r="Y60" s="105">
        <v>0.3</v>
      </c>
      <c r="Z60" s="105">
        <v>0.34</v>
      </c>
      <c r="AA60" s="105">
        <v>150</v>
      </c>
    </row>
    <row r="61" spans="2:28">
      <c r="B61" s="105">
        <v>447</v>
      </c>
      <c r="C61" s="105">
        <v>399</v>
      </c>
      <c r="D61" s="105">
        <v>469</v>
      </c>
      <c r="E61" s="105">
        <v>422</v>
      </c>
      <c r="F61" s="105">
        <v>425</v>
      </c>
      <c r="G61" s="105">
        <v>548</v>
      </c>
      <c r="H61" s="105">
        <v>525</v>
      </c>
      <c r="I61" s="105">
        <v>511</v>
      </c>
      <c r="J61" s="105">
        <v>489</v>
      </c>
      <c r="K61" s="105">
        <v>490</v>
      </c>
      <c r="L61" s="105">
        <v>456</v>
      </c>
      <c r="M61" s="105">
        <v>185</v>
      </c>
      <c r="P61" s="105">
        <v>95</v>
      </c>
      <c r="U61" s="105">
        <v>0.23</v>
      </c>
      <c r="V61" s="105">
        <v>0.26</v>
      </c>
      <c r="W61" s="105">
        <v>0.28999999999999998</v>
      </c>
      <c r="X61" s="105">
        <v>0.22</v>
      </c>
      <c r="Y61" s="105">
        <v>0.25</v>
      </c>
      <c r="Z61" s="105">
        <v>0.28999999999999998</v>
      </c>
      <c r="AA61" s="105">
        <v>185</v>
      </c>
    </row>
    <row r="62" spans="2:28">
      <c r="B62" s="105">
        <v>525</v>
      </c>
      <c r="C62" s="105">
        <v>465</v>
      </c>
      <c r="D62" s="105">
        <v>550</v>
      </c>
      <c r="E62" s="105">
        <v>492</v>
      </c>
      <c r="F62" s="105">
        <v>501</v>
      </c>
      <c r="G62" s="105">
        <v>648</v>
      </c>
      <c r="H62" s="105">
        <v>622</v>
      </c>
      <c r="I62" s="105">
        <v>593</v>
      </c>
      <c r="J62" s="105">
        <v>568</v>
      </c>
      <c r="K62" s="105">
        <v>566</v>
      </c>
      <c r="L62" s="105">
        <v>528</v>
      </c>
      <c r="M62" s="110">
        <v>240</v>
      </c>
      <c r="P62" s="105">
        <v>120</v>
      </c>
      <c r="U62" s="105">
        <v>0.18</v>
      </c>
      <c r="V62" s="105">
        <v>0.2</v>
      </c>
      <c r="W62" s="105">
        <v>0.23</v>
      </c>
      <c r="X62" s="105">
        <v>0.17499999999999999</v>
      </c>
      <c r="Y62" s="105">
        <v>0.2</v>
      </c>
      <c r="Z62" s="105">
        <v>0.24</v>
      </c>
      <c r="AA62" s="105">
        <v>240</v>
      </c>
    </row>
    <row r="63" spans="2:28">
      <c r="B63" s="105">
        <v>594</v>
      </c>
      <c r="C63" s="105">
        <v>515</v>
      </c>
      <c r="D63" s="105">
        <v>624</v>
      </c>
      <c r="E63" s="105">
        <v>547</v>
      </c>
      <c r="F63" s="105">
        <v>567</v>
      </c>
      <c r="G63" s="105">
        <v>748</v>
      </c>
      <c r="H63" s="105">
        <v>719</v>
      </c>
      <c r="I63" s="105">
        <v>668</v>
      </c>
      <c r="J63" s="105">
        <v>640</v>
      </c>
      <c r="K63" s="105">
        <v>616</v>
      </c>
      <c r="L63" s="105">
        <v>578</v>
      </c>
      <c r="M63" s="105">
        <v>300</v>
      </c>
      <c r="P63" s="105">
        <v>150</v>
      </c>
      <c r="U63" s="105">
        <v>0.14499999999999999</v>
      </c>
      <c r="V63" s="105">
        <v>0.16</v>
      </c>
      <c r="W63" s="105">
        <v>0.19</v>
      </c>
      <c r="X63" s="105">
        <v>0.14000000000000001</v>
      </c>
      <c r="Y63" s="105">
        <v>0.16500000000000001</v>
      </c>
      <c r="Z63" s="105">
        <v>0.2</v>
      </c>
      <c r="AA63" s="105">
        <v>300</v>
      </c>
    </row>
    <row r="64" spans="2:28">
      <c r="B64" s="105">
        <v>687</v>
      </c>
      <c r="C64" s="105">
        <v>575</v>
      </c>
      <c r="D64" s="105">
        <v>723</v>
      </c>
      <c r="E64" s="105">
        <v>618</v>
      </c>
      <c r="F64" s="105">
        <v>657</v>
      </c>
      <c r="G64" s="105">
        <v>885</v>
      </c>
      <c r="H64" s="105">
        <v>851</v>
      </c>
      <c r="I64" s="105">
        <v>737</v>
      </c>
      <c r="J64" s="105">
        <v>707</v>
      </c>
      <c r="K64" s="105">
        <v>674</v>
      </c>
      <c r="L64" s="105">
        <v>632</v>
      </c>
      <c r="M64" s="110">
        <v>400</v>
      </c>
      <c r="P64" s="105">
        <v>185</v>
      </c>
      <c r="U64" s="105">
        <v>0.105</v>
      </c>
      <c r="V64" s="105">
        <v>0.14000000000000001</v>
      </c>
      <c r="W64" s="105">
        <v>0.18</v>
      </c>
      <c r="X64" s="105">
        <v>0.12</v>
      </c>
      <c r="Y64" s="105">
        <v>0.16</v>
      </c>
      <c r="Z64" s="105">
        <v>0.21</v>
      </c>
      <c r="AA64" s="105">
        <v>400</v>
      </c>
    </row>
    <row r="65" spans="2:27">
      <c r="B65" s="105">
        <v>763</v>
      </c>
      <c r="C65" s="105">
        <v>622</v>
      </c>
      <c r="D65" s="105">
        <v>805</v>
      </c>
      <c r="E65" s="105">
        <v>673</v>
      </c>
      <c r="F65" s="105">
        <v>731</v>
      </c>
      <c r="G65" s="105">
        <v>1035</v>
      </c>
      <c r="H65" s="105">
        <v>997</v>
      </c>
      <c r="I65" s="105">
        <v>810</v>
      </c>
      <c r="J65" s="105">
        <v>777</v>
      </c>
      <c r="K65" s="105">
        <v>721</v>
      </c>
      <c r="L65" s="105">
        <v>676</v>
      </c>
      <c r="M65" s="105">
        <v>500</v>
      </c>
      <c r="P65" s="105">
        <v>240</v>
      </c>
      <c r="U65" s="105">
        <v>8.5999999999999993E-2</v>
      </c>
      <c r="V65" s="105">
        <v>0.12</v>
      </c>
      <c r="W65" s="105">
        <v>0.16500000000000001</v>
      </c>
      <c r="X65" s="105">
        <v>0.105</v>
      </c>
      <c r="Y65" s="105">
        <v>0.14499999999999999</v>
      </c>
      <c r="Z65" s="105">
        <v>0.19</v>
      </c>
      <c r="AA65" s="105">
        <v>500</v>
      </c>
    </row>
    <row r="66" spans="2:27">
      <c r="B66" s="105">
        <v>843</v>
      </c>
      <c r="C66" s="105">
        <v>669</v>
      </c>
      <c r="D66" s="105">
        <v>891</v>
      </c>
      <c r="E66" s="105">
        <v>728</v>
      </c>
      <c r="F66" s="105">
        <v>809</v>
      </c>
      <c r="G66" s="105">
        <v>1218</v>
      </c>
      <c r="H66" s="105">
        <v>1174</v>
      </c>
      <c r="I66" s="105">
        <v>893</v>
      </c>
      <c r="J66" s="105">
        <v>856</v>
      </c>
      <c r="K66" s="105">
        <v>771</v>
      </c>
      <c r="L66" s="105">
        <v>723</v>
      </c>
      <c r="M66" s="110">
        <v>630</v>
      </c>
      <c r="P66" s="105">
        <v>300</v>
      </c>
      <c r="U66" s="105">
        <v>6.8000000000000005E-2</v>
      </c>
      <c r="V66" s="105">
        <v>0.105</v>
      </c>
      <c r="W66" s="105">
        <v>0.15</v>
      </c>
      <c r="X66" s="105">
        <v>9.0999999999999998E-2</v>
      </c>
      <c r="Y66" s="105">
        <v>0.13500000000000001</v>
      </c>
      <c r="Z66" s="105">
        <v>0.17499999999999999</v>
      </c>
      <c r="AA66" s="105">
        <v>630</v>
      </c>
    </row>
    <row r="67" spans="2:27">
      <c r="B67" s="105">
        <v>919</v>
      </c>
      <c r="C67" s="105">
        <v>710</v>
      </c>
      <c r="D67" s="105">
        <v>976</v>
      </c>
      <c r="E67" s="105">
        <v>777</v>
      </c>
      <c r="F67" s="105">
        <v>886</v>
      </c>
      <c r="G67" s="105">
        <v>1441</v>
      </c>
      <c r="H67" s="105">
        <v>1390</v>
      </c>
      <c r="I67" s="105">
        <v>943</v>
      </c>
      <c r="J67" s="105">
        <v>905</v>
      </c>
      <c r="K67" s="105">
        <v>824</v>
      </c>
      <c r="L67" s="105">
        <v>772</v>
      </c>
      <c r="M67" s="105">
        <v>800</v>
      </c>
      <c r="P67" s="105">
        <v>380</v>
      </c>
      <c r="U67" s="105">
        <v>5.2999999999999999E-2</v>
      </c>
      <c r="V67" s="105">
        <v>9.5000000000000001E-2</v>
      </c>
      <c r="W67" s="105">
        <v>0.14499999999999999</v>
      </c>
      <c r="X67" s="105">
        <v>8.2000000000000003E-2</v>
      </c>
      <c r="Y67" s="105">
        <v>0.125</v>
      </c>
      <c r="Z67" s="105">
        <v>0.17</v>
      </c>
      <c r="AA67" s="105">
        <v>800</v>
      </c>
    </row>
    <row r="68" spans="2:27">
      <c r="B68" s="105">
        <v>975</v>
      </c>
      <c r="C68" s="105">
        <v>737</v>
      </c>
      <c r="D68" s="105">
        <v>1041</v>
      </c>
      <c r="E68" s="105">
        <v>808</v>
      </c>
      <c r="F68" s="105">
        <v>945</v>
      </c>
      <c r="G68" s="105">
        <v>1685</v>
      </c>
      <c r="H68" s="105">
        <v>1627</v>
      </c>
      <c r="I68" s="105">
        <v>1008</v>
      </c>
      <c r="J68" s="105">
        <v>967</v>
      </c>
      <c r="K68" s="105">
        <v>872</v>
      </c>
      <c r="L68" s="105">
        <v>816</v>
      </c>
      <c r="M68" s="110">
        <v>1000</v>
      </c>
      <c r="P68" s="105">
        <v>480</v>
      </c>
      <c r="U68" s="105">
        <v>4.2000000000000003E-2</v>
      </c>
      <c r="V68" s="105">
        <v>9.0999999999999998E-2</v>
      </c>
      <c r="W68" s="105">
        <v>0.14000000000000001</v>
      </c>
      <c r="X68" s="105">
        <v>7.9000000000000001E-2</v>
      </c>
      <c r="Y68" s="105">
        <v>0.125</v>
      </c>
      <c r="Z68" s="105">
        <v>0.16500000000000001</v>
      </c>
      <c r="AA68" s="105">
        <v>1000</v>
      </c>
    </row>
    <row r="69" spans="2:27">
      <c r="P69" s="105">
        <v>600</v>
      </c>
    </row>
    <row r="70" spans="2:27">
      <c r="P70" s="105">
        <v>740</v>
      </c>
    </row>
    <row r="71" spans="2:27">
      <c r="B71" s="105" t="s">
        <v>1984</v>
      </c>
      <c r="P71" s="105">
        <v>960</v>
      </c>
      <c r="U71" s="105" t="s">
        <v>1985</v>
      </c>
    </row>
    <row r="72" spans="2:27">
      <c r="I72" s="107"/>
      <c r="P72" s="105">
        <v>1200</v>
      </c>
    </row>
    <row r="73" spans="2:27" ht="51">
      <c r="B73" s="108" t="s">
        <v>1965</v>
      </c>
      <c r="C73" s="108" t="s">
        <v>1986</v>
      </c>
      <c r="D73" s="108" t="s">
        <v>1967</v>
      </c>
      <c r="E73" s="108" t="s">
        <v>1987</v>
      </c>
      <c r="F73" s="108" t="s">
        <v>1988</v>
      </c>
      <c r="G73" s="108" t="s">
        <v>1989</v>
      </c>
      <c r="H73" s="108" t="s">
        <v>1962</v>
      </c>
      <c r="U73" s="108" t="s">
        <v>1971</v>
      </c>
      <c r="V73" s="108" t="s">
        <v>1972</v>
      </c>
      <c r="W73" s="108" t="s">
        <v>1973</v>
      </c>
      <c r="X73" s="108" t="s">
        <v>1962</v>
      </c>
    </row>
    <row r="74" spans="2:27">
      <c r="B74" s="105">
        <v>21</v>
      </c>
      <c r="C74" s="105">
        <v>18</v>
      </c>
      <c r="D74" s="105">
        <v>22</v>
      </c>
      <c r="E74" s="105">
        <v>19</v>
      </c>
      <c r="F74" s="105">
        <v>22</v>
      </c>
      <c r="G74" s="105">
        <v>18</v>
      </c>
      <c r="H74" s="105">
        <v>1.5</v>
      </c>
      <c r="U74" s="105">
        <v>29</v>
      </c>
      <c r="V74" s="105">
        <v>29</v>
      </c>
      <c r="W74" s="105">
        <v>25</v>
      </c>
      <c r="X74" s="105">
        <v>1.5</v>
      </c>
    </row>
    <row r="75" spans="2:27">
      <c r="B75" s="105">
        <v>28</v>
      </c>
      <c r="C75" s="105">
        <v>25</v>
      </c>
      <c r="D75" s="105">
        <v>31</v>
      </c>
      <c r="E75" s="105">
        <v>26</v>
      </c>
      <c r="F75" s="105">
        <v>29</v>
      </c>
      <c r="G75" s="105">
        <v>24</v>
      </c>
      <c r="H75" s="105">
        <v>2.5</v>
      </c>
      <c r="U75" s="105">
        <v>18</v>
      </c>
      <c r="V75" s="105">
        <v>18</v>
      </c>
      <c r="W75" s="105">
        <v>15</v>
      </c>
      <c r="X75" s="105">
        <v>2.5</v>
      </c>
    </row>
    <row r="76" spans="2:27">
      <c r="B76" s="105">
        <v>38</v>
      </c>
      <c r="C76" s="105">
        <v>33</v>
      </c>
      <c r="D76" s="105">
        <v>41</v>
      </c>
      <c r="E76" s="105">
        <v>35</v>
      </c>
      <c r="F76" s="105">
        <v>37</v>
      </c>
      <c r="G76" s="105">
        <v>30</v>
      </c>
      <c r="H76" s="105">
        <v>4</v>
      </c>
      <c r="U76" s="105">
        <v>11</v>
      </c>
      <c r="V76" s="105">
        <v>11</v>
      </c>
      <c r="W76" s="105">
        <v>9.5</v>
      </c>
      <c r="X76" s="105">
        <v>4</v>
      </c>
    </row>
    <row r="77" spans="2:27">
      <c r="B77" s="105">
        <v>49</v>
      </c>
      <c r="C77" s="105">
        <v>42</v>
      </c>
      <c r="D77" s="105">
        <v>53</v>
      </c>
      <c r="E77" s="105">
        <v>45</v>
      </c>
      <c r="F77" s="105">
        <v>46</v>
      </c>
      <c r="G77" s="105">
        <v>38</v>
      </c>
      <c r="H77" s="105">
        <v>6</v>
      </c>
      <c r="U77" s="105">
        <v>7.3</v>
      </c>
      <c r="V77" s="105">
        <v>7.3</v>
      </c>
      <c r="W77" s="105">
        <v>6.4</v>
      </c>
      <c r="X77" s="105">
        <v>6</v>
      </c>
    </row>
    <row r="78" spans="2:27">
      <c r="B78" s="105">
        <v>67</v>
      </c>
      <c r="C78" s="105">
        <v>58</v>
      </c>
      <c r="D78" s="105">
        <v>72</v>
      </c>
      <c r="E78" s="105">
        <v>62</v>
      </c>
      <c r="F78" s="105">
        <v>60</v>
      </c>
      <c r="G78" s="105">
        <v>50</v>
      </c>
      <c r="H78" s="105">
        <v>10</v>
      </c>
      <c r="U78" s="105">
        <v>4.4000000000000004</v>
      </c>
      <c r="V78" s="105">
        <v>4.4000000000000004</v>
      </c>
      <c r="W78" s="105">
        <v>3.8</v>
      </c>
      <c r="X78" s="105">
        <v>10</v>
      </c>
    </row>
    <row r="79" spans="2:27">
      <c r="B79" s="105">
        <v>89</v>
      </c>
      <c r="C79" s="105">
        <v>77</v>
      </c>
      <c r="D79" s="105">
        <v>97</v>
      </c>
      <c r="E79" s="105">
        <v>83</v>
      </c>
      <c r="F79" s="105">
        <v>78</v>
      </c>
      <c r="G79" s="105">
        <v>64</v>
      </c>
      <c r="H79" s="105">
        <v>16</v>
      </c>
      <c r="U79" s="105">
        <v>2.8</v>
      </c>
      <c r="V79" s="105">
        <v>2.8</v>
      </c>
      <c r="W79" s="105">
        <v>2.4</v>
      </c>
      <c r="X79" s="105">
        <v>16</v>
      </c>
    </row>
    <row r="80" spans="2:27">
      <c r="B80" s="105">
        <v>118</v>
      </c>
      <c r="C80" s="105">
        <v>102</v>
      </c>
      <c r="D80" s="105">
        <v>128</v>
      </c>
      <c r="E80" s="105">
        <v>110</v>
      </c>
      <c r="F80" s="105">
        <v>99</v>
      </c>
      <c r="G80" s="105">
        <v>82</v>
      </c>
      <c r="H80" s="105">
        <v>25</v>
      </c>
      <c r="U80" s="105">
        <v>1.75</v>
      </c>
      <c r="V80" s="105">
        <v>1.75</v>
      </c>
      <c r="W80" s="105">
        <v>1.5</v>
      </c>
      <c r="X80" s="105">
        <v>25</v>
      </c>
    </row>
    <row r="81" spans="2:24">
      <c r="B81" s="105">
        <v>145</v>
      </c>
      <c r="C81" s="105">
        <v>125</v>
      </c>
      <c r="D81" s="105">
        <v>157</v>
      </c>
      <c r="E81" s="105">
        <v>135</v>
      </c>
      <c r="F81" s="105">
        <v>119</v>
      </c>
      <c r="G81" s="105">
        <v>98</v>
      </c>
      <c r="H81" s="105">
        <v>35</v>
      </c>
      <c r="U81" s="105">
        <v>1.25</v>
      </c>
      <c r="V81" s="105">
        <v>1.25</v>
      </c>
      <c r="W81" s="105">
        <v>1.1000000000000001</v>
      </c>
      <c r="X81" s="105">
        <v>35</v>
      </c>
    </row>
    <row r="82" spans="2:24">
      <c r="B82" s="105">
        <v>175</v>
      </c>
      <c r="C82" s="105">
        <v>151</v>
      </c>
      <c r="D82" s="105">
        <v>190</v>
      </c>
      <c r="E82" s="105">
        <v>163</v>
      </c>
      <c r="F82" s="105">
        <v>140</v>
      </c>
      <c r="G82" s="105">
        <v>116</v>
      </c>
      <c r="H82" s="105">
        <v>50</v>
      </c>
      <c r="U82" s="105">
        <v>0.93</v>
      </c>
      <c r="V82" s="105">
        <v>0.93</v>
      </c>
      <c r="W82" s="105">
        <v>0.8</v>
      </c>
      <c r="X82" s="105">
        <v>50</v>
      </c>
    </row>
    <row r="83" spans="2:24">
      <c r="B83" s="105">
        <v>222</v>
      </c>
      <c r="C83" s="105">
        <v>192</v>
      </c>
      <c r="D83" s="105">
        <v>241</v>
      </c>
      <c r="E83" s="105">
        <v>207</v>
      </c>
      <c r="F83" s="105">
        <v>173</v>
      </c>
      <c r="G83" s="105">
        <v>143</v>
      </c>
      <c r="H83" s="105">
        <v>70</v>
      </c>
      <c r="U83" s="105">
        <v>0.63</v>
      </c>
      <c r="V83" s="105">
        <v>0.63</v>
      </c>
      <c r="W83" s="105">
        <v>0.55000000000000004</v>
      </c>
      <c r="X83" s="105">
        <v>70</v>
      </c>
    </row>
    <row r="84" spans="2:24">
      <c r="B84" s="105">
        <v>269</v>
      </c>
      <c r="C84" s="105">
        <v>231</v>
      </c>
      <c r="D84" s="105">
        <v>291</v>
      </c>
      <c r="E84" s="105">
        <v>251</v>
      </c>
      <c r="F84" s="105">
        <v>204</v>
      </c>
      <c r="G84" s="105">
        <v>169</v>
      </c>
      <c r="H84" s="105">
        <v>95</v>
      </c>
      <c r="U84" s="105">
        <v>0.46</v>
      </c>
      <c r="V84" s="105">
        <v>0.47</v>
      </c>
      <c r="W84" s="105">
        <v>0.41</v>
      </c>
      <c r="X84" s="105">
        <v>95</v>
      </c>
    </row>
    <row r="85" spans="2:24">
      <c r="B85" s="105">
        <v>310</v>
      </c>
      <c r="C85" s="105">
        <v>267</v>
      </c>
      <c r="D85" s="105">
        <v>336</v>
      </c>
      <c r="E85" s="105">
        <v>290</v>
      </c>
      <c r="F85" s="105">
        <v>231</v>
      </c>
      <c r="G85" s="105">
        <v>192</v>
      </c>
      <c r="H85" s="105">
        <v>120</v>
      </c>
      <c r="U85" s="105">
        <v>0.36</v>
      </c>
      <c r="V85" s="105">
        <v>0.38</v>
      </c>
      <c r="W85" s="105">
        <v>0.33</v>
      </c>
      <c r="X85" s="105">
        <v>120</v>
      </c>
    </row>
    <row r="86" spans="2:24">
      <c r="B86" s="105">
        <v>356</v>
      </c>
      <c r="C86" s="105">
        <v>306</v>
      </c>
      <c r="D86" s="105">
        <v>386</v>
      </c>
      <c r="E86" s="105">
        <v>332</v>
      </c>
      <c r="F86" s="105">
        <v>261</v>
      </c>
      <c r="G86" s="105">
        <v>217</v>
      </c>
      <c r="H86" s="105">
        <v>150</v>
      </c>
      <c r="U86" s="105">
        <v>0.28999999999999998</v>
      </c>
      <c r="V86" s="105">
        <v>0.3</v>
      </c>
      <c r="W86" s="105">
        <v>0.26</v>
      </c>
      <c r="X86" s="105">
        <v>150</v>
      </c>
    </row>
    <row r="87" spans="2:24">
      <c r="B87" s="105">
        <v>405</v>
      </c>
      <c r="C87" s="105">
        <v>348</v>
      </c>
      <c r="D87" s="105">
        <v>439</v>
      </c>
      <c r="E87" s="105">
        <v>378</v>
      </c>
      <c r="F87" s="105">
        <v>292</v>
      </c>
      <c r="G87" s="105">
        <v>243</v>
      </c>
      <c r="H87" s="105">
        <v>185</v>
      </c>
      <c r="U87" s="105">
        <v>0.23</v>
      </c>
      <c r="V87" s="105">
        <v>0.25</v>
      </c>
      <c r="W87" s="105">
        <v>0.21</v>
      </c>
      <c r="X87" s="105">
        <v>185</v>
      </c>
    </row>
    <row r="88" spans="2:24">
      <c r="B88" s="105">
        <v>476</v>
      </c>
      <c r="C88" s="105">
        <v>409</v>
      </c>
      <c r="D88" s="105">
        <v>516</v>
      </c>
      <c r="E88" s="105">
        <v>445</v>
      </c>
      <c r="F88" s="105">
        <v>336</v>
      </c>
      <c r="G88" s="105">
        <v>280</v>
      </c>
      <c r="H88" s="105">
        <v>240</v>
      </c>
      <c r="U88" s="105">
        <v>0.18</v>
      </c>
      <c r="V88" s="105">
        <v>0.19</v>
      </c>
      <c r="W88" s="105">
        <v>0.16500000000000001</v>
      </c>
      <c r="X88" s="105">
        <v>240</v>
      </c>
    </row>
    <row r="89" spans="2:24">
      <c r="B89" s="105">
        <v>547</v>
      </c>
      <c r="C89" s="105">
        <v>469</v>
      </c>
      <c r="D89" s="105">
        <v>592</v>
      </c>
      <c r="E89" s="105">
        <v>510</v>
      </c>
      <c r="F89" s="105">
        <v>379</v>
      </c>
      <c r="G89" s="105">
        <v>316</v>
      </c>
      <c r="H89" s="105">
        <v>300</v>
      </c>
      <c r="U89" s="105">
        <v>0.14499999999999999</v>
      </c>
      <c r="V89" s="105">
        <v>0.155</v>
      </c>
      <c r="W89" s="105">
        <v>0.13500000000000001</v>
      </c>
      <c r="X89" s="105">
        <v>300</v>
      </c>
    </row>
    <row r="90" spans="2:24">
      <c r="B90" s="105">
        <v>621</v>
      </c>
      <c r="C90" s="105">
        <v>540</v>
      </c>
      <c r="D90" s="105">
        <v>683</v>
      </c>
      <c r="E90" s="105">
        <v>590</v>
      </c>
      <c r="H90" s="105">
        <v>400</v>
      </c>
      <c r="U90" s="105">
        <v>0.105</v>
      </c>
      <c r="V90" s="105">
        <v>0.115</v>
      </c>
      <c r="W90" s="105">
        <v>0.1</v>
      </c>
      <c r="X90" s="105">
        <v>400</v>
      </c>
    </row>
    <row r="93" spans="2:24">
      <c r="B93" s="105" t="s">
        <v>1990</v>
      </c>
    </row>
    <row r="94" spans="2:24">
      <c r="I94" s="107"/>
    </row>
    <row r="95" spans="2:24" ht="34">
      <c r="B95" s="108" t="s">
        <v>1991</v>
      </c>
      <c r="C95" s="108" t="s">
        <v>1992</v>
      </c>
      <c r="D95" s="108" t="s">
        <v>1993</v>
      </c>
      <c r="E95" s="108" t="s">
        <v>1994</v>
      </c>
      <c r="F95" s="108" t="s">
        <v>1995</v>
      </c>
      <c r="G95" s="108" t="s">
        <v>1996</v>
      </c>
      <c r="H95" s="108" t="s">
        <v>1997</v>
      </c>
      <c r="I95" s="109" t="s">
        <v>1962</v>
      </c>
    </row>
    <row r="96" spans="2:24">
      <c r="B96" s="105">
        <v>13</v>
      </c>
      <c r="C96" s="105">
        <v>10.5</v>
      </c>
      <c r="D96" s="105">
        <v>13</v>
      </c>
      <c r="E96" s="105">
        <v>8</v>
      </c>
      <c r="F96" s="105">
        <v>16</v>
      </c>
      <c r="G96" s="105">
        <v>11.5</v>
      </c>
      <c r="H96" s="105">
        <v>44</v>
      </c>
      <c r="I96" s="110">
        <v>1</v>
      </c>
    </row>
    <row r="97" spans="2:29">
      <c r="B97" s="105">
        <v>16</v>
      </c>
      <c r="C97" s="105">
        <v>13</v>
      </c>
      <c r="D97" s="105">
        <v>16</v>
      </c>
      <c r="E97" s="105">
        <v>10</v>
      </c>
      <c r="F97" s="105">
        <v>20</v>
      </c>
      <c r="G97" s="105">
        <v>14.5</v>
      </c>
      <c r="H97" s="105">
        <v>29</v>
      </c>
      <c r="I97" s="105">
        <v>1.5</v>
      </c>
    </row>
    <row r="98" spans="2:29">
      <c r="B98" s="105">
        <v>21</v>
      </c>
      <c r="C98" s="105">
        <v>17</v>
      </c>
      <c r="D98" s="105">
        <v>21</v>
      </c>
      <c r="E98" s="105">
        <v>13.5</v>
      </c>
      <c r="F98" s="105">
        <v>27</v>
      </c>
      <c r="G98" s="105">
        <v>20</v>
      </c>
      <c r="H98" s="105">
        <v>18</v>
      </c>
      <c r="I98" s="110">
        <v>2.5</v>
      </c>
    </row>
    <row r="99" spans="2:29">
      <c r="B99" s="105">
        <v>27</v>
      </c>
      <c r="C99" s="105">
        <v>22</v>
      </c>
      <c r="D99" s="105">
        <v>27</v>
      </c>
      <c r="E99" s="105">
        <v>17.5</v>
      </c>
      <c r="F99" s="105">
        <v>37</v>
      </c>
      <c r="G99" s="105">
        <v>26</v>
      </c>
      <c r="H99" s="105">
        <v>11</v>
      </c>
      <c r="I99" s="105">
        <v>4</v>
      </c>
    </row>
    <row r="100" spans="2:29">
      <c r="B100" s="105">
        <v>34</v>
      </c>
      <c r="C100" s="105">
        <v>27</v>
      </c>
      <c r="D100" s="105">
        <v>35</v>
      </c>
      <c r="E100" s="105">
        <v>23.5</v>
      </c>
      <c r="F100" s="105">
        <v>47</v>
      </c>
      <c r="G100" s="105">
        <v>32</v>
      </c>
      <c r="H100" s="105">
        <v>7.3</v>
      </c>
      <c r="I100" s="110">
        <v>6</v>
      </c>
    </row>
    <row r="101" spans="2:29">
      <c r="B101" s="105">
        <v>45</v>
      </c>
      <c r="C101" s="105">
        <v>36</v>
      </c>
      <c r="D101" s="105">
        <v>47</v>
      </c>
      <c r="E101" s="105">
        <v>32</v>
      </c>
      <c r="F101" s="105">
        <v>64</v>
      </c>
      <c r="G101" s="105">
        <v>44</v>
      </c>
      <c r="H101" s="105">
        <v>4.4000000000000004</v>
      </c>
      <c r="I101" s="105">
        <v>10</v>
      </c>
    </row>
    <row r="102" spans="2:29">
      <c r="B102" s="105">
        <v>57</v>
      </c>
      <c r="C102" s="105">
        <v>46</v>
      </c>
      <c r="D102" s="105">
        <v>63</v>
      </c>
      <c r="E102" s="105">
        <v>42.5</v>
      </c>
      <c r="F102" s="105">
        <v>85</v>
      </c>
      <c r="G102" s="105">
        <v>57</v>
      </c>
      <c r="H102" s="105">
        <v>2.8</v>
      </c>
      <c r="I102" s="110">
        <v>16</v>
      </c>
    </row>
    <row r="105" spans="2:29">
      <c r="B105" s="105" t="s">
        <v>1998</v>
      </c>
      <c r="U105" s="105" t="s">
        <v>1999</v>
      </c>
    </row>
    <row r="106" spans="2:29">
      <c r="I106" s="107"/>
      <c r="P106" s="105" t="s">
        <v>2000</v>
      </c>
      <c r="AB106" s="107"/>
    </row>
    <row r="107" spans="2:29" ht="68">
      <c r="B107" s="108" t="s">
        <v>1951</v>
      </c>
      <c r="C107" s="108" t="s">
        <v>1952</v>
      </c>
      <c r="D107" s="108" t="s">
        <v>1953</v>
      </c>
      <c r="E107" s="108" t="s">
        <v>1954</v>
      </c>
      <c r="F107" s="108" t="s">
        <v>1955</v>
      </c>
      <c r="G107" s="108" t="s">
        <v>1956</v>
      </c>
      <c r="H107" s="108" t="s">
        <v>1957</v>
      </c>
      <c r="I107" s="108" t="s">
        <v>1958</v>
      </c>
      <c r="J107" s="108" t="s">
        <v>1959</v>
      </c>
      <c r="K107" s="108" t="s">
        <v>2001</v>
      </c>
      <c r="L107" s="108" t="s">
        <v>1961</v>
      </c>
      <c r="M107" s="109" t="s">
        <v>1962</v>
      </c>
      <c r="U107" s="108" t="s">
        <v>1951</v>
      </c>
      <c r="V107" s="108" t="s">
        <v>1952</v>
      </c>
      <c r="W107" s="108" t="s">
        <v>1953</v>
      </c>
      <c r="X107" s="108" t="s">
        <v>1954</v>
      </c>
      <c r="Y107" s="108" t="s">
        <v>1965</v>
      </c>
      <c r="Z107" s="108" t="s">
        <v>1966</v>
      </c>
      <c r="AA107" s="108" t="s">
        <v>1967</v>
      </c>
      <c r="AB107" s="108" t="s">
        <v>1968</v>
      </c>
      <c r="AC107" s="108" t="s">
        <v>1962</v>
      </c>
    </row>
    <row r="108" spans="2:29">
      <c r="B108" s="105">
        <v>14</v>
      </c>
      <c r="C108" s="105">
        <v>13</v>
      </c>
      <c r="D108" s="105">
        <v>17</v>
      </c>
      <c r="E108" s="105">
        <v>15</v>
      </c>
      <c r="F108" s="105">
        <v>19</v>
      </c>
      <c r="G108" s="105">
        <v>17.5</v>
      </c>
      <c r="M108" s="110">
        <v>1</v>
      </c>
      <c r="P108" s="105">
        <v>3</v>
      </c>
      <c r="U108" s="105">
        <v>46</v>
      </c>
      <c r="V108" s="105">
        <v>46</v>
      </c>
      <c r="W108" s="105">
        <v>46</v>
      </c>
      <c r="X108" s="105">
        <v>46</v>
      </c>
      <c r="Y108" s="105">
        <v>40</v>
      </c>
      <c r="Z108" s="105">
        <v>40</v>
      </c>
      <c r="AA108" s="105">
        <v>40</v>
      </c>
      <c r="AB108" s="105">
        <v>40</v>
      </c>
      <c r="AC108" s="105">
        <v>1</v>
      </c>
    </row>
    <row r="109" spans="2:29">
      <c r="B109" s="105">
        <v>19</v>
      </c>
      <c r="C109" s="105">
        <v>17</v>
      </c>
      <c r="D109" s="105">
        <v>23</v>
      </c>
      <c r="E109" s="105">
        <v>20</v>
      </c>
      <c r="F109" s="105">
        <v>25</v>
      </c>
      <c r="G109" s="105">
        <v>23</v>
      </c>
      <c r="M109" s="105">
        <v>1.5</v>
      </c>
      <c r="P109" s="105">
        <v>6</v>
      </c>
      <c r="U109" s="105">
        <v>31</v>
      </c>
      <c r="V109" s="105">
        <v>31</v>
      </c>
      <c r="W109" s="105">
        <v>31</v>
      </c>
      <c r="X109" s="105">
        <v>31</v>
      </c>
      <c r="Y109" s="105">
        <v>27</v>
      </c>
      <c r="Z109" s="105">
        <v>27</v>
      </c>
      <c r="AA109" s="105">
        <v>27</v>
      </c>
      <c r="AB109" s="105">
        <v>27</v>
      </c>
      <c r="AC109" s="105">
        <v>1.5</v>
      </c>
    </row>
    <row r="110" spans="2:29">
      <c r="B110" s="105">
        <v>26</v>
      </c>
      <c r="C110" s="105">
        <v>23</v>
      </c>
      <c r="D110" s="105">
        <v>31</v>
      </c>
      <c r="E110" s="105">
        <v>28</v>
      </c>
      <c r="F110" s="105">
        <v>34</v>
      </c>
      <c r="G110" s="105">
        <v>31</v>
      </c>
      <c r="M110" s="110">
        <v>2.5</v>
      </c>
      <c r="P110" s="105">
        <v>10</v>
      </c>
      <c r="U110" s="105">
        <v>19</v>
      </c>
      <c r="V110" s="105">
        <v>19</v>
      </c>
      <c r="W110" s="105">
        <v>19</v>
      </c>
      <c r="X110" s="105">
        <v>19</v>
      </c>
      <c r="Y110" s="105">
        <v>16</v>
      </c>
      <c r="Z110" s="105">
        <v>16</v>
      </c>
      <c r="AA110" s="105">
        <v>16</v>
      </c>
      <c r="AB110" s="105">
        <v>16</v>
      </c>
      <c r="AC110" s="105">
        <v>2.5</v>
      </c>
    </row>
    <row r="111" spans="2:29">
      <c r="B111" s="105">
        <v>35</v>
      </c>
      <c r="C111" s="105">
        <v>31</v>
      </c>
      <c r="D111" s="105">
        <v>42</v>
      </c>
      <c r="E111" s="105">
        <v>37</v>
      </c>
      <c r="F111" s="105">
        <v>46</v>
      </c>
      <c r="G111" s="105">
        <v>41</v>
      </c>
      <c r="M111" s="105">
        <v>4</v>
      </c>
      <c r="P111" s="105">
        <v>16</v>
      </c>
      <c r="U111" s="105">
        <v>12</v>
      </c>
      <c r="V111" s="105">
        <v>12</v>
      </c>
      <c r="W111" s="105">
        <v>12</v>
      </c>
      <c r="X111" s="105">
        <v>12</v>
      </c>
      <c r="Y111" s="105">
        <v>10</v>
      </c>
      <c r="Z111" s="105">
        <v>10</v>
      </c>
      <c r="AA111" s="105">
        <v>10</v>
      </c>
      <c r="AB111" s="105">
        <v>10</v>
      </c>
      <c r="AC111" s="105">
        <v>4</v>
      </c>
    </row>
    <row r="112" spans="2:29">
      <c r="B112" s="105">
        <v>45</v>
      </c>
      <c r="C112" s="105">
        <v>40</v>
      </c>
      <c r="D112" s="105">
        <v>54</v>
      </c>
      <c r="E112" s="105">
        <v>48</v>
      </c>
      <c r="F112" s="105">
        <v>59</v>
      </c>
      <c r="G112" s="105">
        <v>54</v>
      </c>
      <c r="M112" s="110">
        <v>6</v>
      </c>
      <c r="P112" s="105">
        <v>20</v>
      </c>
      <c r="U112" s="105">
        <v>7.9</v>
      </c>
      <c r="V112" s="105">
        <v>7.9</v>
      </c>
      <c r="W112" s="105">
        <v>7.9</v>
      </c>
      <c r="X112" s="105">
        <v>7.9</v>
      </c>
      <c r="Y112" s="105">
        <v>6.8</v>
      </c>
      <c r="Z112" s="105">
        <v>6.8</v>
      </c>
      <c r="AA112" s="105">
        <v>6.8</v>
      </c>
      <c r="AB112" s="105">
        <v>6.8</v>
      </c>
      <c r="AC112" s="105">
        <v>6</v>
      </c>
    </row>
    <row r="113" spans="2:29">
      <c r="B113" s="105">
        <v>61</v>
      </c>
      <c r="C113" s="105">
        <v>54</v>
      </c>
      <c r="D113" s="105">
        <v>75</v>
      </c>
      <c r="E113" s="105">
        <v>66</v>
      </c>
      <c r="F113" s="105">
        <v>81</v>
      </c>
      <c r="G113" s="105">
        <v>74</v>
      </c>
      <c r="M113" s="105">
        <v>10</v>
      </c>
      <c r="P113" s="105">
        <v>25</v>
      </c>
      <c r="U113" s="105">
        <v>4.7</v>
      </c>
      <c r="V113" s="105">
        <v>4.7</v>
      </c>
      <c r="W113" s="105">
        <v>4.7</v>
      </c>
      <c r="X113" s="105">
        <v>4.7</v>
      </c>
      <c r="Y113" s="105">
        <v>4</v>
      </c>
      <c r="Z113" s="105">
        <v>4</v>
      </c>
      <c r="AA113" s="105">
        <v>4</v>
      </c>
      <c r="AB113" s="105">
        <v>4</v>
      </c>
      <c r="AC113" s="105">
        <v>10</v>
      </c>
    </row>
    <row r="114" spans="2:29">
      <c r="B114" s="105">
        <v>81</v>
      </c>
      <c r="C114" s="105">
        <v>73</v>
      </c>
      <c r="D114" s="105">
        <v>100</v>
      </c>
      <c r="E114" s="105">
        <v>88</v>
      </c>
      <c r="F114" s="105">
        <v>109</v>
      </c>
      <c r="G114" s="105">
        <v>99</v>
      </c>
      <c r="M114" s="110">
        <v>16</v>
      </c>
      <c r="P114" s="105">
        <v>32</v>
      </c>
      <c r="U114" s="105">
        <v>2.9</v>
      </c>
      <c r="V114" s="105">
        <v>2.9</v>
      </c>
      <c r="W114" s="105">
        <v>2.9</v>
      </c>
      <c r="X114" s="105">
        <v>2.9</v>
      </c>
      <c r="Y114" s="105">
        <v>2.5</v>
      </c>
      <c r="Z114" s="105">
        <v>2.5</v>
      </c>
      <c r="AA114" s="105">
        <v>2.5</v>
      </c>
      <c r="AB114" s="105">
        <v>2.5</v>
      </c>
      <c r="AC114" s="105">
        <v>16</v>
      </c>
    </row>
    <row r="115" spans="2:29">
      <c r="B115" s="105">
        <v>106</v>
      </c>
      <c r="C115" s="105">
        <v>95</v>
      </c>
      <c r="D115" s="105">
        <v>133</v>
      </c>
      <c r="E115" s="105">
        <v>117</v>
      </c>
      <c r="F115" s="105">
        <v>143</v>
      </c>
      <c r="G115" s="105">
        <v>130</v>
      </c>
      <c r="H115" s="105">
        <v>161</v>
      </c>
      <c r="I115" s="105">
        <v>141</v>
      </c>
      <c r="J115" s="105">
        <v>135</v>
      </c>
      <c r="K115" s="105">
        <v>182</v>
      </c>
      <c r="L115" s="105">
        <v>161</v>
      </c>
      <c r="M115" s="105">
        <v>25</v>
      </c>
      <c r="P115" s="105">
        <v>40</v>
      </c>
      <c r="U115" s="105">
        <v>1.85</v>
      </c>
      <c r="V115" s="105">
        <v>1.85</v>
      </c>
      <c r="W115" s="105">
        <v>1.85</v>
      </c>
      <c r="X115" s="105">
        <v>1.85</v>
      </c>
      <c r="Y115" s="105">
        <v>1.6</v>
      </c>
      <c r="Z115" s="105">
        <v>1.6</v>
      </c>
      <c r="AA115" s="105">
        <v>1.6</v>
      </c>
      <c r="AB115" s="105">
        <v>1.6</v>
      </c>
      <c r="AC115" s="105">
        <v>25</v>
      </c>
    </row>
    <row r="116" spans="2:29">
      <c r="B116" s="105">
        <v>131</v>
      </c>
      <c r="C116" s="105">
        <v>117</v>
      </c>
      <c r="D116" s="105">
        <v>164</v>
      </c>
      <c r="E116" s="105">
        <v>144</v>
      </c>
      <c r="F116" s="105">
        <v>176</v>
      </c>
      <c r="G116" s="105">
        <v>161</v>
      </c>
      <c r="H116" s="105">
        <v>200</v>
      </c>
      <c r="I116" s="105">
        <v>176</v>
      </c>
      <c r="J116" s="105">
        <v>169</v>
      </c>
      <c r="K116" s="105">
        <v>226</v>
      </c>
      <c r="L116" s="105">
        <v>201</v>
      </c>
      <c r="M116" s="110">
        <v>35</v>
      </c>
      <c r="P116" s="105">
        <v>50</v>
      </c>
      <c r="U116" s="105">
        <v>1.35</v>
      </c>
      <c r="V116" s="105">
        <v>1.35</v>
      </c>
      <c r="W116" s="105">
        <v>1.35</v>
      </c>
      <c r="X116" s="105">
        <v>1.35</v>
      </c>
      <c r="Y116" s="105">
        <v>1.1499999999999999</v>
      </c>
      <c r="Z116" s="105">
        <v>1.1499999999999999</v>
      </c>
      <c r="AA116" s="105">
        <v>1.1499999999999999</v>
      </c>
      <c r="AB116" s="105">
        <v>1.1499999999999999</v>
      </c>
      <c r="AC116" s="105">
        <v>35</v>
      </c>
    </row>
    <row r="117" spans="2:29">
      <c r="B117" s="105">
        <v>158</v>
      </c>
      <c r="C117" s="105">
        <v>141</v>
      </c>
      <c r="D117" s="105">
        <v>198</v>
      </c>
      <c r="E117" s="105">
        <v>175</v>
      </c>
      <c r="F117" s="105">
        <v>228</v>
      </c>
      <c r="G117" s="105">
        <v>209</v>
      </c>
      <c r="H117" s="105">
        <v>242</v>
      </c>
      <c r="I117" s="105">
        <v>216</v>
      </c>
      <c r="J117" s="105">
        <v>207</v>
      </c>
      <c r="K117" s="105">
        <v>275</v>
      </c>
      <c r="L117" s="105">
        <v>246</v>
      </c>
      <c r="M117" s="105">
        <v>50</v>
      </c>
      <c r="P117" s="105">
        <v>63</v>
      </c>
      <c r="U117" s="105">
        <v>0.99</v>
      </c>
      <c r="V117" s="105">
        <v>1</v>
      </c>
      <c r="W117" s="105">
        <v>0.99</v>
      </c>
      <c r="X117" s="105">
        <v>0.99</v>
      </c>
      <c r="Y117" s="105">
        <v>0.87</v>
      </c>
      <c r="Z117" s="105">
        <v>0.86</v>
      </c>
      <c r="AA117" s="105">
        <v>0.86</v>
      </c>
      <c r="AB117" s="105">
        <v>0.86</v>
      </c>
      <c r="AC117" s="105">
        <v>50</v>
      </c>
    </row>
    <row r="118" spans="2:29">
      <c r="B118" s="105">
        <v>200</v>
      </c>
      <c r="C118" s="105">
        <v>179</v>
      </c>
      <c r="D118" s="105">
        <v>253</v>
      </c>
      <c r="E118" s="105">
        <v>222</v>
      </c>
      <c r="F118" s="105">
        <v>293</v>
      </c>
      <c r="G118" s="105">
        <v>268</v>
      </c>
      <c r="H118" s="105">
        <v>310</v>
      </c>
      <c r="I118" s="105">
        <v>279</v>
      </c>
      <c r="J118" s="105">
        <v>268</v>
      </c>
      <c r="K118" s="105">
        <v>353</v>
      </c>
      <c r="L118" s="105">
        <v>318</v>
      </c>
      <c r="M118" s="110">
        <v>70</v>
      </c>
      <c r="P118" s="105">
        <v>80</v>
      </c>
      <c r="U118" s="105">
        <v>0.68</v>
      </c>
      <c r="V118" s="105">
        <v>0.7</v>
      </c>
      <c r="W118" s="105">
        <v>0.68</v>
      </c>
      <c r="X118" s="105">
        <v>0.68</v>
      </c>
      <c r="Y118" s="105">
        <v>0.6</v>
      </c>
      <c r="Z118" s="105">
        <v>0.59</v>
      </c>
      <c r="AA118" s="105">
        <v>0.59</v>
      </c>
      <c r="AB118" s="105">
        <v>0.59</v>
      </c>
      <c r="AC118" s="105">
        <v>70</v>
      </c>
    </row>
    <row r="119" spans="2:29">
      <c r="B119" s="105">
        <v>241</v>
      </c>
      <c r="C119" s="105">
        <v>216</v>
      </c>
      <c r="D119" s="105">
        <v>306</v>
      </c>
      <c r="E119" s="105">
        <v>269</v>
      </c>
      <c r="F119" s="105">
        <v>355</v>
      </c>
      <c r="G119" s="105">
        <v>326</v>
      </c>
      <c r="H119" s="105">
        <v>377</v>
      </c>
      <c r="I119" s="105">
        <v>342</v>
      </c>
      <c r="J119" s="105">
        <v>328</v>
      </c>
      <c r="K119" s="105">
        <v>430</v>
      </c>
      <c r="L119" s="105">
        <v>389</v>
      </c>
      <c r="M119" s="105">
        <v>95</v>
      </c>
      <c r="P119" s="105">
        <v>100</v>
      </c>
      <c r="U119" s="105">
        <v>0.49</v>
      </c>
      <c r="V119" s="105">
        <v>0.51</v>
      </c>
      <c r="W119" s="105">
        <v>0.49</v>
      </c>
      <c r="X119" s="105">
        <v>0.49</v>
      </c>
      <c r="Y119" s="105">
        <v>0.44</v>
      </c>
      <c r="Z119" s="105">
        <v>0.43</v>
      </c>
      <c r="AA119" s="105">
        <v>0.43</v>
      </c>
      <c r="AB119" s="105">
        <v>0.43</v>
      </c>
      <c r="AC119" s="105">
        <v>95</v>
      </c>
    </row>
    <row r="120" spans="2:29">
      <c r="B120" s="105">
        <v>278</v>
      </c>
      <c r="C120" s="105">
        <v>249</v>
      </c>
      <c r="D120" s="105">
        <v>354</v>
      </c>
      <c r="E120" s="105">
        <v>312</v>
      </c>
      <c r="F120" s="105">
        <v>413</v>
      </c>
      <c r="G120" s="105">
        <v>379</v>
      </c>
      <c r="H120" s="105">
        <v>437</v>
      </c>
      <c r="I120" s="105">
        <v>400</v>
      </c>
      <c r="J120" s="105">
        <v>383</v>
      </c>
      <c r="K120" s="105">
        <v>500</v>
      </c>
      <c r="L120" s="105">
        <v>454</v>
      </c>
      <c r="M120" s="110">
        <v>120</v>
      </c>
      <c r="P120" s="105">
        <v>125</v>
      </c>
      <c r="U120" s="105">
        <v>0.39</v>
      </c>
      <c r="V120" s="105">
        <v>0.41</v>
      </c>
      <c r="W120" s="105">
        <v>0.39</v>
      </c>
      <c r="X120" s="105">
        <v>0.39</v>
      </c>
      <c r="Y120" s="105">
        <v>0.35</v>
      </c>
      <c r="Z120" s="105">
        <v>0.34</v>
      </c>
      <c r="AA120" s="105">
        <v>0.34</v>
      </c>
      <c r="AB120" s="105">
        <v>0.34</v>
      </c>
      <c r="AC120" s="105">
        <v>120</v>
      </c>
    </row>
    <row r="121" spans="2:29">
      <c r="B121" s="105">
        <v>318</v>
      </c>
      <c r="C121" s="105">
        <v>285</v>
      </c>
      <c r="D121" s="105">
        <v>393</v>
      </c>
      <c r="E121" s="105">
        <v>342</v>
      </c>
      <c r="F121" s="105">
        <v>476</v>
      </c>
      <c r="G121" s="105">
        <v>436</v>
      </c>
      <c r="H121" s="105">
        <v>504</v>
      </c>
      <c r="I121" s="105">
        <v>464</v>
      </c>
      <c r="J121" s="105">
        <v>444</v>
      </c>
      <c r="K121" s="105">
        <v>577</v>
      </c>
      <c r="L121" s="105">
        <v>527</v>
      </c>
      <c r="M121" s="105">
        <v>150</v>
      </c>
      <c r="P121" s="105">
        <v>150</v>
      </c>
      <c r="U121" s="105">
        <v>0.32</v>
      </c>
      <c r="V121" s="105">
        <v>0.33</v>
      </c>
      <c r="W121" s="105">
        <v>0.32</v>
      </c>
      <c r="X121" s="105">
        <v>0.32</v>
      </c>
      <c r="Y121" s="105">
        <v>0.28999999999999998</v>
      </c>
      <c r="Z121" s="105">
        <v>0.28000000000000003</v>
      </c>
      <c r="AA121" s="105">
        <v>0.28000000000000003</v>
      </c>
      <c r="AB121" s="105">
        <v>0.28000000000000003</v>
      </c>
      <c r="AC121" s="105">
        <v>150</v>
      </c>
    </row>
    <row r="122" spans="2:29">
      <c r="B122" s="105">
        <v>362</v>
      </c>
      <c r="C122" s="105">
        <v>324</v>
      </c>
      <c r="D122" s="105">
        <v>449</v>
      </c>
      <c r="E122" s="105">
        <v>384</v>
      </c>
      <c r="F122" s="105">
        <v>545</v>
      </c>
      <c r="G122" s="105">
        <v>500</v>
      </c>
      <c r="H122" s="105">
        <v>575</v>
      </c>
      <c r="I122" s="105">
        <v>533</v>
      </c>
      <c r="J122" s="105">
        <v>510</v>
      </c>
      <c r="K122" s="105">
        <v>661</v>
      </c>
      <c r="L122" s="105">
        <v>605</v>
      </c>
      <c r="M122" s="110">
        <v>185</v>
      </c>
      <c r="P122" s="105">
        <v>200</v>
      </c>
      <c r="U122" s="105">
        <v>0.25</v>
      </c>
      <c r="V122" s="105">
        <v>0.27</v>
      </c>
      <c r="W122" s="105">
        <v>0.26</v>
      </c>
      <c r="X122" s="105">
        <v>0.25</v>
      </c>
      <c r="Y122" s="105">
        <v>0.23</v>
      </c>
      <c r="Z122" s="105">
        <v>0.22</v>
      </c>
      <c r="AA122" s="105">
        <v>0.22</v>
      </c>
      <c r="AB122" s="105">
        <v>0.22</v>
      </c>
      <c r="AC122" s="105">
        <v>185</v>
      </c>
    </row>
    <row r="123" spans="2:29">
      <c r="B123" s="105">
        <v>424</v>
      </c>
      <c r="C123" s="105">
        <v>380</v>
      </c>
      <c r="D123" s="105">
        <v>528</v>
      </c>
      <c r="E123" s="105">
        <v>450</v>
      </c>
      <c r="F123" s="105">
        <v>644</v>
      </c>
      <c r="G123" s="105">
        <v>590</v>
      </c>
      <c r="H123" s="105">
        <v>679</v>
      </c>
      <c r="I123" s="105">
        <v>634</v>
      </c>
      <c r="J123" s="105">
        <v>607</v>
      </c>
      <c r="K123" s="105">
        <v>781</v>
      </c>
      <c r="L123" s="105">
        <v>719</v>
      </c>
      <c r="M123" s="105">
        <v>240</v>
      </c>
      <c r="P123" s="105">
        <v>250</v>
      </c>
      <c r="U123" s="105">
        <v>0.19</v>
      </c>
      <c r="V123" s="105">
        <v>0.21</v>
      </c>
      <c r="W123" s="105">
        <v>0.2</v>
      </c>
      <c r="X123" s="105">
        <v>0.19500000000000001</v>
      </c>
      <c r="Y123" s="105">
        <v>0.185</v>
      </c>
      <c r="Z123" s="105">
        <v>0.17</v>
      </c>
      <c r="AA123" s="105">
        <v>0.17</v>
      </c>
      <c r="AB123" s="105">
        <v>0.17</v>
      </c>
      <c r="AC123" s="105">
        <v>240</v>
      </c>
    </row>
    <row r="124" spans="2:29">
      <c r="B124" s="105">
        <v>486</v>
      </c>
      <c r="C124" s="105">
        <v>435</v>
      </c>
      <c r="D124" s="105">
        <v>603</v>
      </c>
      <c r="E124" s="105">
        <v>514</v>
      </c>
      <c r="F124" s="105">
        <v>743</v>
      </c>
      <c r="G124" s="105">
        <v>681</v>
      </c>
      <c r="H124" s="105">
        <v>783</v>
      </c>
      <c r="I124" s="105">
        <v>736</v>
      </c>
      <c r="J124" s="105">
        <v>703</v>
      </c>
      <c r="K124" s="105">
        <v>902</v>
      </c>
      <c r="L124" s="105">
        <v>833</v>
      </c>
      <c r="M124" s="110">
        <v>300</v>
      </c>
      <c r="P124" s="105">
        <v>320</v>
      </c>
      <c r="U124" s="105">
        <v>0.155</v>
      </c>
      <c r="V124" s="105">
        <v>0.17499999999999999</v>
      </c>
      <c r="W124" s="105">
        <v>0.16</v>
      </c>
      <c r="X124" s="105">
        <v>0.155</v>
      </c>
      <c r="Y124" s="105">
        <v>0.15</v>
      </c>
      <c r="Z124" s="105">
        <v>0.14000000000000001</v>
      </c>
      <c r="AA124" s="105">
        <v>0.13500000000000001</v>
      </c>
      <c r="AB124" s="105">
        <v>0.13500000000000001</v>
      </c>
      <c r="AC124" s="105">
        <v>300</v>
      </c>
    </row>
    <row r="125" spans="2:29">
      <c r="D125" s="105">
        <v>683</v>
      </c>
      <c r="E125" s="105">
        <v>584</v>
      </c>
      <c r="F125" s="105">
        <v>868</v>
      </c>
      <c r="G125" s="105">
        <v>793</v>
      </c>
      <c r="H125" s="105">
        <v>940</v>
      </c>
      <c r="I125" s="105">
        <v>868</v>
      </c>
      <c r="J125" s="105">
        <v>823</v>
      </c>
      <c r="K125" s="105">
        <v>1085</v>
      </c>
      <c r="L125" s="105">
        <v>1008</v>
      </c>
      <c r="M125" s="105">
        <v>400</v>
      </c>
      <c r="P125" s="105">
        <v>400</v>
      </c>
      <c r="U125" s="105">
        <v>0.12</v>
      </c>
      <c r="V125" s="105">
        <v>0.14000000000000001</v>
      </c>
      <c r="W125" s="105">
        <v>0.13</v>
      </c>
      <c r="X125" s="105">
        <v>0.125</v>
      </c>
      <c r="Y125" s="105">
        <v>0.125</v>
      </c>
      <c r="Z125" s="105">
        <v>0.11</v>
      </c>
      <c r="AA125" s="105">
        <v>0.11</v>
      </c>
      <c r="AB125" s="105">
        <v>0.11</v>
      </c>
      <c r="AC125" s="105">
        <v>400</v>
      </c>
    </row>
    <row r="126" spans="2:29">
      <c r="D126" s="105">
        <v>783</v>
      </c>
      <c r="E126" s="105">
        <v>666</v>
      </c>
      <c r="F126" s="105">
        <v>990</v>
      </c>
      <c r="G126" s="105">
        <v>904</v>
      </c>
      <c r="H126" s="105">
        <v>1083</v>
      </c>
      <c r="I126" s="105">
        <v>998</v>
      </c>
      <c r="J126" s="105">
        <v>946</v>
      </c>
      <c r="K126" s="105">
        <v>1253</v>
      </c>
      <c r="L126" s="105">
        <v>1169</v>
      </c>
      <c r="M126" s="105">
        <v>500</v>
      </c>
      <c r="P126" s="105">
        <v>500</v>
      </c>
      <c r="U126" s="105">
        <v>9.2999999999999999E-2</v>
      </c>
      <c r="V126" s="105">
        <v>0.12</v>
      </c>
      <c r="W126" s="105">
        <v>0.105</v>
      </c>
      <c r="X126" s="105">
        <v>9.8000000000000004E-2</v>
      </c>
      <c r="Y126" s="105">
        <v>0.1</v>
      </c>
      <c r="Z126" s="105">
        <v>0.09</v>
      </c>
      <c r="AA126" s="105">
        <v>8.7999999999999995E-2</v>
      </c>
      <c r="AB126" s="105">
        <v>8.5000000000000006E-2</v>
      </c>
      <c r="AC126" s="105">
        <v>500</v>
      </c>
    </row>
    <row r="127" spans="2:29">
      <c r="D127" s="105">
        <v>900</v>
      </c>
      <c r="E127" s="105">
        <v>764</v>
      </c>
      <c r="F127" s="105">
        <v>1130</v>
      </c>
      <c r="G127" s="105">
        <v>1033</v>
      </c>
      <c r="H127" s="105">
        <v>1254</v>
      </c>
      <c r="I127" s="105">
        <v>1151</v>
      </c>
      <c r="J127" s="105">
        <v>1088</v>
      </c>
      <c r="K127" s="105">
        <v>1454</v>
      </c>
      <c r="L127" s="105">
        <v>1362</v>
      </c>
      <c r="M127" s="105">
        <v>630</v>
      </c>
      <c r="P127" s="105">
        <v>630</v>
      </c>
      <c r="U127" s="105">
        <v>7.1999999999999995E-2</v>
      </c>
      <c r="V127" s="105">
        <v>0.1</v>
      </c>
      <c r="W127" s="105">
        <v>8.5999999999999993E-2</v>
      </c>
      <c r="X127" s="105">
        <v>7.8E-2</v>
      </c>
      <c r="Y127" s="105">
        <v>8.7999999999999995E-2</v>
      </c>
      <c r="Z127" s="105">
        <v>7.3999999999999996E-2</v>
      </c>
      <c r="AA127" s="105">
        <v>7.0999999999999994E-2</v>
      </c>
      <c r="AB127" s="105">
        <v>6.8000000000000005E-2</v>
      </c>
      <c r="AC127" s="105">
        <v>630</v>
      </c>
    </row>
    <row r="128" spans="2:29">
      <c r="F128" s="105">
        <v>1288</v>
      </c>
      <c r="G128" s="105">
        <v>1179</v>
      </c>
      <c r="H128" s="105">
        <v>1358</v>
      </c>
      <c r="I128" s="105">
        <v>1275</v>
      </c>
      <c r="J128" s="105">
        <v>1214</v>
      </c>
      <c r="K128" s="105">
        <v>1581</v>
      </c>
      <c r="L128" s="105">
        <v>1485</v>
      </c>
      <c r="M128" s="105">
        <v>800</v>
      </c>
      <c r="P128" s="105">
        <v>800</v>
      </c>
      <c r="U128" s="105">
        <v>5.6000000000000001E-2</v>
      </c>
      <c r="W128" s="105">
        <v>7.1999999999999995E-2</v>
      </c>
      <c r="X128" s="105">
        <v>6.4000000000000001E-2</v>
      </c>
      <c r="Z128" s="105">
        <v>6.2E-2</v>
      </c>
      <c r="AA128" s="105">
        <v>5.8999999999999997E-2</v>
      </c>
      <c r="AB128" s="105">
        <v>5.5E-2</v>
      </c>
      <c r="AC128" s="105">
        <v>800</v>
      </c>
    </row>
    <row r="129" spans="2:29">
      <c r="F129" s="105">
        <v>1443</v>
      </c>
      <c r="G129" s="105">
        <v>1323</v>
      </c>
      <c r="H129" s="105">
        <v>1520</v>
      </c>
      <c r="I129" s="105">
        <v>1436</v>
      </c>
      <c r="J129" s="105">
        <v>1349</v>
      </c>
      <c r="K129" s="105">
        <v>1775</v>
      </c>
      <c r="L129" s="105">
        <v>1671</v>
      </c>
      <c r="M129" s="105">
        <v>1000</v>
      </c>
      <c r="P129" s="105">
        <v>1000</v>
      </c>
      <c r="U129" s="105">
        <v>4.4999999999999998E-2</v>
      </c>
      <c r="W129" s="105">
        <v>6.3E-2</v>
      </c>
      <c r="X129" s="105">
        <v>5.3999999999999999E-2</v>
      </c>
      <c r="Z129" s="105">
        <v>5.5E-2</v>
      </c>
      <c r="AA129" s="105">
        <v>0.05</v>
      </c>
      <c r="AB129" s="105">
        <v>4.7E-2</v>
      </c>
      <c r="AC129" s="105">
        <v>1000</v>
      </c>
    </row>
    <row r="130" spans="2:29">
      <c r="P130" s="105">
        <v>1200</v>
      </c>
    </row>
    <row r="131" spans="2:29">
      <c r="P131" s="105">
        <v>1400</v>
      </c>
    </row>
    <row r="132" spans="2:29">
      <c r="B132" s="105" t="s">
        <v>2002</v>
      </c>
      <c r="P132" s="105">
        <v>1600</v>
      </c>
      <c r="U132" s="105" t="s">
        <v>2003</v>
      </c>
    </row>
    <row r="133" spans="2:29">
      <c r="I133" s="107"/>
    </row>
    <row r="134" spans="2:29" ht="51">
      <c r="B134" s="108" t="s">
        <v>1951</v>
      </c>
      <c r="C134" s="108" t="s">
        <v>1952</v>
      </c>
      <c r="D134" s="108" t="s">
        <v>1953</v>
      </c>
      <c r="E134" s="108" t="s">
        <v>1954</v>
      </c>
      <c r="F134" s="108" t="s">
        <v>1965</v>
      </c>
      <c r="G134" s="108" t="s">
        <v>2004</v>
      </c>
      <c r="H134" s="108" t="s">
        <v>1967</v>
      </c>
      <c r="I134" s="108" t="s">
        <v>2005</v>
      </c>
      <c r="J134" s="108" t="s">
        <v>1962</v>
      </c>
      <c r="U134" s="108" t="s">
        <v>1971</v>
      </c>
      <c r="V134" s="108" t="s">
        <v>1972</v>
      </c>
      <c r="W134" s="108" t="s">
        <v>1973</v>
      </c>
      <c r="X134" s="108" t="s">
        <v>1962</v>
      </c>
    </row>
    <row r="135" spans="2:29">
      <c r="B135" s="105">
        <v>14.5</v>
      </c>
      <c r="C135" s="105">
        <v>13</v>
      </c>
      <c r="D135" s="105">
        <v>17</v>
      </c>
      <c r="E135" s="105">
        <v>15</v>
      </c>
      <c r="F135" s="105">
        <v>19</v>
      </c>
      <c r="G135" s="105">
        <v>17</v>
      </c>
      <c r="H135" s="105">
        <v>21</v>
      </c>
      <c r="I135" s="105">
        <v>18</v>
      </c>
      <c r="J135" s="105">
        <v>1</v>
      </c>
      <c r="U135" s="105">
        <v>46</v>
      </c>
      <c r="V135" s="105">
        <v>46</v>
      </c>
      <c r="W135" s="105">
        <v>40</v>
      </c>
      <c r="X135" s="105">
        <v>1</v>
      </c>
    </row>
    <row r="136" spans="2:29">
      <c r="B136" s="105">
        <v>18.5</v>
      </c>
      <c r="C136" s="105">
        <v>16.5</v>
      </c>
      <c r="D136" s="105">
        <v>22</v>
      </c>
      <c r="E136" s="105">
        <v>19.5</v>
      </c>
      <c r="F136" s="105">
        <v>24</v>
      </c>
      <c r="G136" s="105">
        <v>22</v>
      </c>
      <c r="H136" s="105">
        <v>26</v>
      </c>
      <c r="I136" s="105">
        <v>23</v>
      </c>
      <c r="J136" s="105">
        <v>1.5</v>
      </c>
      <c r="U136" s="105">
        <v>31</v>
      </c>
      <c r="V136" s="105">
        <v>31</v>
      </c>
      <c r="W136" s="105">
        <v>27</v>
      </c>
      <c r="X136" s="105">
        <v>1.5</v>
      </c>
    </row>
    <row r="137" spans="2:29">
      <c r="B137" s="105">
        <v>25</v>
      </c>
      <c r="C137" s="105">
        <v>22</v>
      </c>
      <c r="D137" s="105">
        <v>30</v>
      </c>
      <c r="E137" s="105">
        <v>26</v>
      </c>
      <c r="F137" s="105">
        <v>33</v>
      </c>
      <c r="G137" s="105">
        <v>30</v>
      </c>
      <c r="H137" s="105">
        <v>36</v>
      </c>
      <c r="I137" s="105">
        <v>32</v>
      </c>
      <c r="J137" s="105">
        <v>2.5</v>
      </c>
      <c r="U137" s="105">
        <v>19</v>
      </c>
      <c r="V137" s="105">
        <v>19</v>
      </c>
      <c r="W137" s="105">
        <v>16</v>
      </c>
      <c r="X137" s="105">
        <v>2.5</v>
      </c>
    </row>
    <row r="138" spans="2:29">
      <c r="B138" s="105">
        <v>33</v>
      </c>
      <c r="C138" s="105">
        <v>30</v>
      </c>
      <c r="D138" s="105">
        <v>40</v>
      </c>
      <c r="E138" s="105">
        <v>35</v>
      </c>
      <c r="F138" s="105">
        <v>45</v>
      </c>
      <c r="G138" s="105">
        <v>40</v>
      </c>
      <c r="H138" s="105">
        <v>49</v>
      </c>
      <c r="I138" s="105">
        <v>42</v>
      </c>
      <c r="J138" s="105">
        <v>4</v>
      </c>
      <c r="U138" s="105">
        <v>12</v>
      </c>
      <c r="V138" s="105">
        <v>12</v>
      </c>
      <c r="W138" s="105">
        <v>10</v>
      </c>
      <c r="X138" s="105">
        <v>4</v>
      </c>
    </row>
    <row r="139" spans="2:29">
      <c r="B139" s="105">
        <v>42</v>
      </c>
      <c r="C139" s="105">
        <v>38</v>
      </c>
      <c r="D139" s="105">
        <v>51</v>
      </c>
      <c r="E139" s="105">
        <v>44</v>
      </c>
      <c r="F139" s="105">
        <v>58</v>
      </c>
      <c r="G139" s="105">
        <v>52</v>
      </c>
      <c r="H139" s="105">
        <v>63</v>
      </c>
      <c r="I139" s="105">
        <v>54</v>
      </c>
      <c r="J139" s="105">
        <v>6</v>
      </c>
      <c r="U139" s="105">
        <v>7.9</v>
      </c>
      <c r="V139" s="105">
        <v>7.9</v>
      </c>
      <c r="W139" s="105">
        <v>6.8</v>
      </c>
      <c r="X139" s="105">
        <v>6</v>
      </c>
    </row>
    <row r="140" spans="2:29">
      <c r="B140" s="105">
        <v>57</v>
      </c>
      <c r="C140" s="105">
        <v>51</v>
      </c>
      <c r="D140" s="105">
        <v>69</v>
      </c>
      <c r="E140" s="105">
        <v>60</v>
      </c>
      <c r="F140" s="105">
        <v>80</v>
      </c>
      <c r="G140" s="105">
        <v>71</v>
      </c>
      <c r="H140" s="105">
        <v>86</v>
      </c>
      <c r="I140" s="105">
        <v>75</v>
      </c>
      <c r="J140" s="105">
        <v>10</v>
      </c>
      <c r="U140" s="105">
        <v>4.7</v>
      </c>
      <c r="V140" s="105">
        <v>4.7</v>
      </c>
      <c r="W140" s="105">
        <v>4</v>
      </c>
      <c r="X140" s="105">
        <v>10</v>
      </c>
    </row>
    <row r="141" spans="2:29">
      <c r="B141" s="105">
        <v>76</v>
      </c>
      <c r="C141" s="105">
        <v>68</v>
      </c>
      <c r="D141" s="105">
        <v>91</v>
      </c>
      <c r="E141" s="105">
        <v>80</v>
      </c>
      <c r="F141" s="105">
        <v>107</v>
      </c>
      <c r="G141" s="105">
        <v>96</v>
      </c>
      <c r="H141" s="105">
        <v>115</v>
      </c>
      <c r="I141" s="105">
        <v>100</v>
      </c>
      <c r="J141" s="105">
        <v>16</v>
      </c>
      <c r="U141" s="105">
        <v>2.9</v>
      </c>
      <c r="V141" s="105">
        <v>2.9</v>
      </c>
      <c r="W141" s="105">
        <v>2.5</v>
      </c>
      <c r="X141" s="105">
        <v>16</v>
      </c>
    </row>
    <row r="142" spans="2:29">
      <c r="B142" s="105">
        <v>99</v>
      </c>
      <c r="C142" s="105">
        <v>89</v>
      </c>
      <c r="D142" s="105">
        <v>119</v>
      </c>
      <c r="E142" s="105">
        <v>105</v>
      </c>
      <c r="F142" s="105">
        <v>138</v>
      </c>
      <c r="G142" s="105">
        <v>119</v>
      </c>
      <c r="H142" s="105">
        <v>149</v>
      </c>
      <c r="I142" s="105">
        <v>127</v>
      </c>
      <c r="J142" s="105">
        <v>25</v>
      </c>
      <c r="U142" s="105">
        <v>1.85</v>
      </c>
      <c r="V142" s="105">
        <v>1.85</v>
      </c>
      <c r="W142" s="105">
        <v>1.6</v>
      </c>
      <c r="X142" s="105">
        <v>25</v>
      </c>
    </row>
    <row r="143" spans="2:29">
      <c r="B143" s="105">
        <v>121</v>
      </c>
      <c r="C143" s="105">
        <v>109</v>
      </c>
      <c r="D143" s="105">
        <v>146</v>
      </c>
      <c r="E143" s="105">
        <v>128</v>
      </c>
      <c r="F143" s="105">
        <v>171</v>
      </c>
      <c r="G143" s="105">
        <v>147</v>
      </c>
      <c r="H143" s="105">
        <v>185</v>
      </c>
      <c r="I143" s="105">
        <v>158</v>
      </c>
      <c r="J143" s="105">
        <v>35</v>
      </c>
      <c r="U143" s="105">
        <v>1.35</v>
      </c>
      <c r="V143" s="105">
        <v>1.35</v>
      </c>
      <c r="W143" s="105">
        <v>1.1499999999999999</v>
      </c>
      <c r="X143" s="105">
        <v>35</v>
      </c>
    </row>
    <row r="144" spans="2:29">
      <c r="B144" s="105">
        <v>145</v>
      </c>
      <c r="C144" s="105">
        <v>130</v>
      </c>
      <c r="D144" s="105">
        <v>175</v>
      </c>
      <c r="E144" s="105">
        <v>154</v>
      </c>
      <c r="F144" s="105">
        <v>209</v>
      </c>
      <c r="G144" s="105">
        <v>179</v>
      </c>
      <c r="H144" s="105">
        <v>225</v>
      </c>
      <c r="I144" s="105">
        <v>192</v>
      </c>
      <c r="J144" s="105">
        <v>50</v>
      </c>
      <c r="U144" s="105">
        <v>0.98</v>
      </c>
      <c r="V144" s="105">
        <v>0.99</v>
      </c>
      <c r="W144" s="105">
        <v>0.86</v>
      </c>
      <c r="X144" s="105">
        <v>50</v>
      </c>
    </row>
    <row r="145" spans="2:28">
      <c r="B145" s="105">
        <v>183</v>
      </c>
      <c r="C145" s="105">
        <v>164</v>
      </c>
      <c r="D145" s="105">
        <v>221</v>
      </c>
      <c r="E145" s="105">
        <v>194</v>
      </c>
      <c r="F145" s="105">
        <v>269</v>
      </c>
      <c r="G145" s="105">
        <v>229</v>
      </c>
      <c r="H145" s="105">
        <v>289</v>
      </c>
      <c r="I145" s="105">
        <v>246</v>
      </c>
      <c r="J145" s="105">
        <v>70</v>
      </c>
      <c r="U145" s="105">
        <v>0.67</v>
      </c>
      <c r="V145" s="105">
        <v>0.67</v>
      </c>
      <c r="W145" s="105">
        <v>0.59</v>
      </c>
      <c r="X145" s="105">
        <v>70</v>
      </c>
    </row>
    <row r="146" spans="2:28">
      <c r="B146" s="105">
        <v>220</v>
      </c>
      <c r="C146" s="105">
        <v>197</v>
      </c>
      <c r="D146" s="105">
        <v>265</v>
      </c>
      <c r="E146" s="105">
        <v>233</v>
      </c>
      <c r="F146" s="105">
        <v>328</v>
      </c>
      <c r="G146" s="105">
        <v>278</v>
      </c>
      <c r="H146" s="105">
        <v>352</v>
      </c>
      <c r="I146" s="105">
        <v>298</v>
      </c>
      <c r="J146" s="105">
        <v>95</v>
      </c>
      <c r="U146" s="105">
        <v>0.49</v>
      </c>
      <c r="V146" s="105">
        <v>0.5</v>
      </c>
      <c r="W146" s="105">
        <v>0.43</v>
      </c>
      <c r="X146" s="105">
        <v>95</v>
      </c>
    </row>
    <row r="147" spans="2:28">
      <c r="B147" s="105">
        <v>253</v>
      </c>
      <c r="C147" s="105">
        <v>227</v>
      </c>
      <c r="D147" s="105">
        <v>305</v>
      </c>
      <c r="E147" s="105">
        <v>268</v>
      </c>
      <c r="F147" s="105">
        <v>382</v>
      </c>
      <c r="G147" s="105">
        <v>322</v>
      </c>
      <c r="H147" s="105">
        <v>410</v>
      </c>
      <c r="I147" s="105">
        <v>346</v>
      </c>
      <c r="J147" s="105">
        <v>120</v>
      </c>
      <c r="U147" s="105">
        <v>0.39</v>
      </c>
      <c r="V147" s="105">
        <v>0.4</v>
      </c>
      <c r="W147" s="105">
        <v>0.34</v>
      </c>
      <c r="X147" s="105">
        <v>120</v>
      </c>
    </row>
    <row r="148" spans="2:28">
      <c r="B148" s="105">
        <v>290</v>
      </c>
      <c r="C148" s="105">
        <v>259</v>
      </c>
      <c r="D148" s="105">
        <v>334</v>
      </c>
      <c r="E148" s="105">
        <v>300</v>
      </c>
      <c r="F148" s="105">
        <v>441</v>
      </c>
      <c r="G148" s="105">
        <v>371</v>
      </c>
      <c r="H148" s="105">
        <v>473</v>
      </c>
      <c r="I148" s="105">
        <v>399</v>
      </c>
      <c r="J148" s="105">
        <v>150</v>
      </c>
      <c r="U148" s="105">
        <v>0.31</v>
      </c>
      <c r="V148" s="105">
        <v>0.32</v>
      </c>
      <c r="W148" s="105">
        <v>0.28000000000000003</v>
      </c>
      <c r="X148" s="105">
        <v>150</v>
      </c>
    </row>
    <row r="149" spans="2:28">
      <c r="B149" s="105">
        <v>329</v>
      </c>
      <c r="C149" s="105">
        <v>295</v>
      </c>
      <c r="D149" s="105">
        <v>384</v>
      </c>
      <c r="E149" s="105">
        <v>340</v>
      </c>
      <c r="F149" s="105">
        <v>506</v>
      </c>
      <c r="G149" s="105">
        <v>424</v>
      </c>
      <c r="H149" s="105">
        <v>542</v>
      </c>
      <c r="I149" s="105">
        <v>456</v>
      </c>
      <c r="J149" s="105">
        <v>185</v>
      </c>
      <c r="U149" s="105">
        <v>0.25</v>
      </c>
      <c r="V149" s="105">
        <v>0.26</v>
      </c>
      <c r="W149" s="105">
        <v>0.22</v>
      </c>
      <c r="X149" s="105">
        <v>185</v>
      </c>
    </row>
    <row r="150" spans="2:28">
      <c r="B150" s="105">
        <v>386</v>
      </c>
      <c r="C150" s="105">
        <v>346</v>
      </c>
      <c r="D150" s="105">
        <v>459</v>
      </c>
      <c r="E150" s="105">
        <v>398</v>
      </c>
      <c r="F150" s="105">
        <v>599</v>
      </c>
      <c r="G150" s="105">
        <v>500</v>
      </c>
      <c r="H150" s="105">
        <v>641</v>
      </c>
      <c r="I150" s="105">
        <v>538</v>
      </c>
      <c r="J150" s="105">
        <v>240</v>
      </c>
      <c r="U150" s="105">
        <v>0.19500000000000001</v>
      </c>
      <c r="V150" s="105">
        <v>0.2</v>
      </c>
      <c r="W150" s="105">
        <v>0.17499999999999999</v>
      </c>
      <c r="X150" s="105">
        <v>240</v>
      </c>
    </row>
    <row r="151" spans="2:28">
      <c r="B151" s="105">
        <v>442</v>
      </c>
      <c r="C151" s="105">
        <v>396</v>
      </c>
      <c r="D151" s="105">
        <v>532</v>
      </c>
      <c r="E151" s="105">
        <v>455</v>
      </c>
      <c r="F151" s="105">
        <v>693</v>
      </c>
      <c r="G151" s="105">
        <v>576</v>
      </c>
      <c r="H151" s="105">
        <v>741</v>
      </c>
      <c r="I151" s="105">
        <v>621</v>
      </c>
      <c r="J151" s="105">
        <v>300</v>
      </c>
      <c r="U151" s="105">
        <v>0.155</v>
      </c>
      <c r="V151" s="105">
        <v>0.16</v>
      </c>
      <c r="W151" s="105">
        <v>0.14000000000000001</v>
      </c>
      <c r="X151" s="105">
        <v>300</v>
      </c>
    </row>
    <row r="152" spans="2:28">
      <c r="D152" s="105">
        <v>625</v>
      </c>
      <c r="E152" s="105">
        <v>536</v>
      </c>
      <c r="F152" s="105">
        <v>803</v>
      </c>
      <c r="G152" s="105">
        <v>667</v>
      </c>
      <c r="H152" s="105">
        <v>865</v>
      </c>
      <c r="I152" s="105">
        <v>741</v>
      </c>
      <c r="J152" s="105">
        <v>400</v>
      </c>
      <c r="U152" s="105">
        <v>0.12</v>
      </c>
      <c r="V152" s="105">
        <v>0.13</v>
      </c>
      <c r="W152" s="105">
        <v>0.115</v>
      </c>
      <c r="X152" s="105">
        <v>400</v>
      </c>
    </row>
    <row r="155" spans="2:28">
      <c r="B155" s="105" t="s">
        <v>2006</v>
      </c>
      <c r="U155" s="105" t="s">
        <v>2007</v>
      </c>
    </row>
    <row r="156" spans="2:28">
      <c r="I156" s="107"/>
      <c r="AB156" s="107"/>
    </row>
    <row r="157" spans="2:28" ht="68">
      <c r="B157" s="108" t="s">
        <v>1955</v>
      </c>
      <c r="C157" s="108" t="s">
        <v>1977</v>
      </c>
      <c r="D157" s="108" t="s">
        <v>1957</v>
      </c>
      <c r="E157" s="108" t="s">
        <v>1958</v>
      </c>
      <c r="F157" s="108" t="s">
        <v>1959</v>
      </c>
      <c r="G157" s="108" t="s">
        <v>1978</v>
      </c>
      <c r="H157" s="108" t="s">
        <v>1979</v>
      </c>
      <c r="I157" s="108" t="s">
        <v>1980</v>
      </c>
      <c r="J157" s="108" t="s">
        <v>1981</v>
      </c>
      <c r="K157" s="108" t="s">
        <v>1982</v>
      </c>
      <c r="L157" s="108" t="s">
        <v>1983</v>
      </c>
      <c r="M157" s="109" t="s">
        <v>1962</v>
      </c>
      <c r="U157" s="108" t="s">
        <v>1951</v>
      </c>
      <c r="V157" s="108" t="s">
        <v>1952</v>
      </c>
      <c r="W157" s="108" t="s">
        <v>1953</v>
      </c>
      <c r="X157" s="108" t="s">
        <v>1954</v>
      </c>
      <c r="Y157" s="108" t="s">
        <v>1965</v>
      </c>
      <c r="Z157" s="108" t="s">
        <v>1966</v>
      </c>
      <c r="AA157" s="108" t="s">
        <v>1962</v>
      </c>
    </row>
    <row r="158" spans="2:28">
      <c r="B158" s="105">
        <v>237</v>
      </c>
      <c r="C158" s="105">
        <v>220</v>
      </c>
      <c r="D158" s="105">
        <v>253</v>
      </c>
      <c r="E158" s="105">
        <v>232</v>
      </c>
      <c r="F158" s="105">
        <v>222</v>
      </c>
      <c r="G158" s="105">
        <v>284</v>
      </c>
      <c r="H158" s="105">
        <v>270</v>
      </c>
      <c r="I158" s="105">
        <v>282</v>
      </c>
      <c r="J158" s="105">
        <v>266</v>
      </c>
      <c r="K158" s="105">
        <v>228</v>
      </c>
      <c r="L158" s="105">
        <v>266</v>
      </c>
      <c r="M158" s="110">
        <v>50</v>
      </c>
      <c r="U158" s="105">
        <v>0.98</v>
      </c>
      <c r="V158" s="105">
        <v>0.99</v>
      </c>
      <c r="W158" s="105">
        <v>0.98</v>
      </c>
      <c r="X158" s="105">
        <v>0.86</v>
      </c>
      <c r="Y158" s="105">
        <v>0.84</v>
      </c>
      <c r="Z158" s="105">
        <v>0.84</v>
      </c>
      <c r="AA158" s="105">
        <v>50</v>
      </c>
    </row>
    <row r="159" spans="2:28">
      <c r="B159" s="105">
        <v>303</v>
      </c>
      <c r="C159" s="105">
        <v>277</v>
      </c>
      <c r="D159" s="105">
        <v>322</v>
      </c>
      <c r="E159" s="105">
        <v>293</v>
      </c>
      <c r="F159" s="105">
        <v>285</v>
      </c>
      <c r="G159" s="105">
        <v>356</v>
      </c>
      <c r="H159" s="105">
        <v>349</v>
      </c>
      <c r="I159" s="105">
        <v>357</v>
      </c>
      <c r="J159" s="105">
        <v>337</v>
      </c>
      <c r="K159" s="105">
        <v>358</v>
      </c>
      <c r="L159" s="105">
        <v>331</v>
      </c>
      <c r="M159" s="105">
        <v>70</v>
      </c>
      <c r="U159" s="105">
        <v>0.67</v>
      </c>
      <c r="V159" s="105">
        <v>0.68</v>
      </c>
      <c r="W159" s="105">
        <v>0.69</v>
      </c>
      <c r="X159" s="105">
        <v>0.59</v>
      </c>
      <c r="Y159" s="105">
        <v>0.6</v>
      </c>
      <c r="Z159" s="105">
        <v>0.62</v>
      </c>
      <c r="AA159" s="105">
        <v>70</v>
      </c>
    </row>
    <row r="160" spans="2:28">
      <c r="B160" s="105">
        <v>367</v>
      </c>
      <c r="C160" s="105">
        <v>333</v>
      </c>
      <c r="D160" s="105">
        <v>389</v>
      </c>
      <c r="E160" s="105">
        <v>352</v>
      </c>
      <c r="F160" s="105">
        <v>346</v>
      </c>
      <c r="G160" s="105">
        <v>446</v>
      </c>
      <c r="H160" s="105">
        <v>426</v>
      </c>
      <c r="I160" s="105">
        <v>436</v>
      </c>
      <c r="J160" s="105">
        <v>412</v>
      </c>
      <c r="K160" s="105">
        <v>425</v>
      </c>
      <c r="L160" s="105">
        <v>393</v>
      </c>
      <c r="M160" s="110">
        <v>95</v>
      </c>
      <c r="U160" s="105">
        <v>0.49</v>
      </c>
      <c r="V160" s="105">
        <v>0.51</v>
      </c>
      <c r="W160" s="105">
        <v>0.53</v>
      </c>
      <c r="X160" s="105">
        <v>0.44</v>
      </c>
      <c r="Y160" s="105">
        <v>0.46</v>
      </c>
      <c r="Z160" s="105">
        <v>0.49</v>
      </c>
      <c r="AA160" s="105">
        <v>95</v>
      </c>
    </row>
    <row r="161" spans="2:27">
      <c r="B161" s="105">
        <v>425</v>
      </c>
      <c r="C161" s="105">
        <v>383</v>
      </c>
      <c r="D161" s="105">
        <v>449</v>
      </c>
      <c r="E161" s="105">
        <v>405</v>
      </c>
      <c r="F161" s="105">
        <v>402</v>
      </c>
      <c r="G161" s="105">
        <v>519</v>
      </c>
      <c r="H161" s="105">
        <v>497</v>
      </c>
      <c r="I161" s="105">
        <v>504</v>
      </c>
      <c r="J161" s="105">
        <v>477</v>
      </c>
      <c r="K161" s="105">
        <v>485</v>
      </c>
      <c r="L161" s="105">
        <v>449</v>
      </c>
      <c r="M161" s="105">
        <v>120</v>
      </c>
      <c r="U161" s="105">
        <v>0.39</v>
      </c>
      <c r="V161" s="105">
        <v>0.41</v>
      </c>
      <c r="W161" s="105">
        <v>0.43</v>
      </c>
      <c r="X161" s="105">
        <v>0.35</v>
      </c>
      <c r="Y161" s="105">
        <v>0.38</v>
      </c>
      <c r="Z161" s="105">
        <v>0.41</v>
      </c>
      <c r="AA161" s="105">
        <v>120</v>
      </c>
    </row>
    <row r="162" spans="2:27">
      <c r="B162" s="105">
        <v>488</v>
      </c>
      <c r="C162" s="105">
        <v>437</v>
      </c>
      <c r="D162" s="105">
        <v>516</v>
      </c>
      <c r="E162" s="105">
        <v>462</v>
      </c>
      <c r="F162" s="105">
        <v>463</v>
      </c>
      <c r="G162" s="105">
        <v>600</v>
      </c>
      <c r="H162" s="105">
        <v>575</v>
      </c>
      <c r="I162" s="105">
        <v>566</v>
      </c>
      <c r="J162" s="105">
        <v>539</v>
      </c>
      <c r="K162" s="105">
        <v>549</v>
      </c>
      <c r="L162" s="105">
        <v>510</v>
      </c>
      <c r="M162" s="110">
        <v>150</v>
      </c>
      <c r="U162" s="105">
        <v>0.31</v>
      </c>
      <c r="V162" s="105">
        <v>0.33</v>
      </c>
      <c r="W162" s="105">
        <v>0.36</v>
      </c>
      <c r="X162" s="105">
        <v>0.28999999999999998</v>
      </c>
      <c r="Y162" s="105">
        <v>0.31</v>
      </c>
      <c r="Z162" s="105">
        <v>0.34</v>
      </c>
      <c r="AA162" s="105">
        <v>150</v>
      </c>
    </row>
    <row r="163" spans="2:27">
      <c r="B163" s="105">
        <v>557</v>
      </c>
      <c r="C163" s="105">
        <v>496</v>
      </c>
      <c r="D163" s="105">
        <v>587</v>
      </c>
      <c r="E163" s="105">
        <v>524</v>
      </c>
      <c r="F163" s="105">
        <v>529</v>
      </c>
      <c r="G163" s="105">
        <v>688</v>
      </c>
      <c r="H163" s="105">
        <v>660</v>
      </c>
      <c r="I163" s="105">
        <v>643</v>
      </c>
      <c r="J163" s="105">
        <v>614</v>
      </c>
      <c r="K163" s="105">
        <v>618</v>
      </c>
      <c r="L163" s="105">
        <v>574</v>
      </c>
      <c r="M163" s="105">
        <v>185</v>
      </c>
      <c r="U163" s="105">
        <v>0.25</v>
      </c>
      <c r="V163" s="105">
        <v>0.27</v>
      </c>
      <c r="W163" s="105">
        <v>0.3</v>
      </c>
      <c r="X163" s="105">
        <v>0.23</v>
      </c>
      <c r="Y163" s="105">
        <v>0.26</v>
      </c>
      <c r="Z163" s="105">
        <v>0.28999999999999998</v>
      </c>
      <c r="AA163" s="105">
        <v>185</v>
      </c>
    </row>
    <row r="164" spans="2:27">
      <c r="B164" s="105">
        <v>656</v>
      </c>
      <c r="C164" s="105">
        <v>579</v>
      </c>
      <c r="D164" s="105">
        <v>689</v>
      </c>
      <c r="E164" s="105">
        <v>612</v>
      </c>
      <c r="F164" s="105">
        <v>625</v>
      </c>
      <c r="G164" s="105">
        <v>815</v>
      </c>
      <c r="H164" s="105">
        <v>782</v>
      </c>
      <c r="I164" s="105">
        <v>749</v>
      </c>
      <c r="J164" s="105">
        <v>714</v>
      </c>
      <c r="K164" s="105">
        <v>715</v>
      </c>
      <c r="L164" s="105">
        <v>666</v>
      </c>
      <c r="M164" s="110">
        <v>240</v>
      </c>
      <c r="U164" s="105">
        <v>0.19500000000000001</v>
      </c>
      <c r="V164" s="105">
        <v>0.21</v>
      </c>
      <c r="W164" s="105">
        <v>0.24</v>
      </c>
      <c r="X164" s="105">
        <v>0.18</v>
      </c>
      <c r="Y164" s="105">
        <v>0.21</v>
      </c>
      <c r="Z164" s="105">
        <v>0.24</v>
      </c>
      <c r="AA164" s="105">
        <v>240</v>
      </c>
    </row>
    <row r="165" spans="2:27">
      <c r="B165" s="105">
        <v>755</v>
      </c>
      <c r="C165" s="105">
        <v>662</v>
      </c>
      <c r="D165" s="105">
        <v>792</v>
      </c>
      <c r="E165" s="105">
        <v>700</v>
      </c>
      <c r="F165" s="105">
        <v>720</v>
      </c>
      <c r="G165" s="105">
        <v>943</v>
      </c>
      <c r="H165" s="105">
        <v>906</v>
      </c>
      <c r="I165" s="105">
        <v>842</v>
      </c>
      <c r="J165" s="105">
        <v>805</v>
      </c>
      <c r="K165" s="105">
        <v>810</v>
      </c>
      <c r="L165" s="105">
        <v>755</v>
      </c>
      <c r="M165" s="105">
        <v>300</v>
      </c>
      <c r="U165" s="105">
        <v>0.155</v>
      </c>
      <c r="V165" s="105">
        <v>0.17</v>
      </c>
      <c r="W165" s="105">
        <v>0.19500000000000001</v>
      </c>
      <c r="X165" s="105">
        <v>0.14499999999999999</v>
      </c>
      <c r="Y165" s="105">
        <v>0.17</v>
      </c>
      <c r="Z165" s="105">
        <v>0.2</v>
      </c>
      <c r="AA165" s="105">
        <v>300</v>
      </c>
    </row>
    <row r="166" spans="2:27">
      <c r="B166" s="105">
        <v>853</v>
      </c>
      <c r="C166" s="105">
        <v>717</v>
      </c>
      <c r="D166" s="105">
        <v>899</v>
      </c>
      <c r="E166" s="105">
        <v>767</v>
      </c>
      <c r="F166" s="105">
        <v>815</v>
      </c>
      <c r="G166" s="105">
        <v>1137</v>
      </c>
      <c r="H166" s="105">
        <v>1094</v>
      </c>
      <c r="I166" s="105">
        <v>929</v>
      </c>
      <c r="J166" s="105">
        <v>889</v>
      </c>
      <c r="K166" s="105">
        <v>848</v>
      </c>
      <c r="L166" s="105">
        <v>797</v>
      </c>
      <c r="M166" s="110">
        <v>400</v>
      </c>
      <c r="U166" s="105">
        <v>0.115</v>
      </c>
      <c r="V166" s="105">
        <v>0.14499999999999999</v>
      </c>
      <c r="W166" s="105">
        <v>0.18</v>
      </c>
      <c r="X166" s="105">
        <v>0.125</v>
      </c>
      <c r="Y166" s="105">
        <v>0.16</v>
      </c>
      <c r="Z166" s="105">
        <v>0.2</v>
      </c>
      <c r="AA166" s="105">
        <v>400</v>
      </c>
    </row>
    <row r="167" spans="2:27">
      <c r="B167" s="105">
        <v>962</v>
      </c>
      <c r="C167" s="105">
        <v>791</v>
      </c>
      <c r="D167" s="105">
        <v>1016</v>
      </c>
      <c r="E167" s="105">
        <v>851</v>
      </c>
      <c r="F167" s="105">
        <v>918</v>
      </c>
      <c r="G167" s="105">
        <v>1314</v>
      </c>
      <c r="H167" s="105">
        <v>1266</v>
      </c>
      <c r="I167" s="105">
        <v>1032</v>
      </c>
      <c r="J167" s="105">
        <v>989</v>
      </c>
      <c r="K167" s="105">
        <v>923</v>
      </c>
      <c r="L167" s="105">
        <v>871</v>
      </c>
      <c r="M167" s="105">
        <v>500</v>
      </c>
      <c r="U167" s="105">
        <v>9.2999999999999999E-2</v>
      </c>
      <c r="V167" s="105">
        <v>0.125</v>
      </c>
      <c r="W167" s="105">
        <v>0.16500000000000001</v>
      </c>
      <c r="X167" s="105">
        <v>0.105</v>
      </c>
      <c r="Y167" s="105">
        <v>0.14499999999999999</v>
      </c>
      <c r="Z167" s="105">
        <v>0.19</v>
      </c>
      <c r="AA167" s="105">
        <v>500</v>
      </c>
    </row>
    <row r="168" spans="2:27">
      <c r="B168" s="105">
        <v>1082</v>
      </c>
      <c r="C168" s="105">
        <v>861</v>
      </c>
      <c r="D168" s="105">
        <v>1146</v>
      </c>
      <c r="E168" s="105">
        <v>935</v>
      </c>
      <c r="F168" s="105">
        <v>1027</v>
      </c>
      <c r="G168" s="105">
        <v>1639</v>
      </c>
      <c r="H168" s="105">
        <v>1474</v>
      </c>
      <c r="I168" s="105">
        <v>1139</v>
      </c>
      <c r="J168" s="105">
        <v>1092</v>
      </c>
      <c r="K168" s="105">
        <v>992</v>
      </c>
      <c r="L168" s="105">
        <v>940</v>
      </c>
      <c r="M168" s="110">
        <v>630</v>
      </c>
      <c r="U168" s="105">
        <v>7.2999999999999995E-2</v>
      </c>
      <c r="V168" s="105">
        <v>0.105</v>
      </c>
      <c r="W168" s="105">
        <v>0.15</v>
      </c>
      <c r="X168" s="105">
        <v>9.1999999999999998E-2</v>
      </c>
      <c r="Y168" s="105">
        <v>0.13500000000000001</v>
      </c>
      <c r="Z168" s="105">
        <v>0.17499999999999999</v>
      </c>
      <c r="AA168" s="105">
        <v>630</v>
      </c>
    </row>
    <row r="169" spans="2:27">
      <c r="B169" s="105">
        <v>1170</v>
      </c>
      <c r="C169" s="105">
        <v>904</v>
      </c>
      <c r="D169" s="105">
        <v>1246</v>
      </c>
      <c r="E169" s="105">
        <v>987</v>
      </c>
      <c r="F169" s="105">
        <v>1119</v>
      </c>
      <c r="G169" s="105">
        <v>1809</v>
      </c>
      <c r="H169" s="105">
        <v>1744</v>
      </c>
      <c r="I169" s="105">
        <v>1204</v>
      </c>
      <c r="J169" s="105">
        <v>1155</v>
      </c>
      <c r="K169" s="105">
        <v>1042</v>
      </c>
      <c r="L169" s="105">
        <v>978</v>
      </c>
      <c r="M169" s="105">
        <v>800</v>
      </c>
      <c r="U169" s="105">
        <v>5.6000000000000001E-2</v>
      </c>
      <c r="V169" s="105">
        <v>0.09</v>
      </c>
      <c r="W169" s="105">
        <v>0.14499999999999999</v>
      </c>
      <c r="X169" s="105">
        <v>8.5999999999999993E-2</v>
      </c>
      <c r="Y169" s="105">
        <v>0.13</v>
      </c>
      <c r="Z169" s="105">
        <v>0.17499999999999999</v>
      </c>
      <c r="AA169" s="105">
        <v>800</v>
      </c>
    </row>
    <row r="170" spans="2:27">
      <c r="B170" s="105">
        <v>1261</v>
      </c>
      <c r="C170" s="105">
        <v>961</v>
      </c>
      <c r="D170" s="105">
        <v>1345</v>
      </c>
      <c r="E170" s="105">
        <v>1055</v>
      </c>
      <c r="F170" s="105">
        <v>1214</v>
      </c>
      <c r="G170" s="105">
        <v>2100</v>
      </c>
      <c r="H170" s="105">
        <v>2026</v>
      </c>
      <c r="I170" s="105">
        <v>1289</v>
      </c>
      <c r="J170" s="105">
        <v>1238</v>
      </c>
      <c r="K170" s="105">
        <v>1110</v>
      </c>
      <c r="L170" s="105">
        <v>1041</v>
      </c>
      <c r="M170" s="110">
        <v>1000</v>
      </c>
      <c r="U170" s="105">
        <v>4.4999999999999998E-2</v>
      </c>
      <c r="V170" s="105">
        <v>9.1999999999999998E-2</v>
      </c>
      <c r="W170" s="105">
        <v>0.14000000000000001</v>
      </c>
      <c r="X170" s="105">
        <v>0.08</v>
      </c>
      <c r="Y170" s="105">
        <v>0.125</v>
      </c>
      <c r="Z170" s="105">
        <v>0.16500000000000001</v>
      </c>
      <c r="AA170" s="105">
        <v>1000</v>
      </c>
    </row>
    <row r="173" spans="2:27">
      <c r="B173" s="105" t="s">
        <v>2008</v>
      </c>
      <c r="U173" s="105" t="s">
        <v>2009</v>
      </c>
    </row>
    <row r="175" spans="2:27" ht="51">
      <c r="B175" s="108" t="s">
        <v>1965</v>
      </c>
      <c r="C175" s="108" t="s">
        <v>1986</v>
      </c>
      <c r="D175" s="108" t="s">
        <v>1967</v>
      </c>
      <c r="E175" s="108" t="s">
        <v>1987</v>
      </c>
      <c r="F175" s="108" t="s">
        <v>1988</v>
      </c>
      <c r="G175" s="108" t="s">
        <v>1989</v>
      </c>
      <c r="H175" s="108" t="s">
        <v>1962</v>
      </c>
      <c r="U175" s="108" t="s">
        <v>1971</v>
      </c>
      <c r="V175" s="108" t="s">
        <v>1972</v>
      </c>
      <c r="W175" s="108" t="s">
        <v>1973</v>
      </c>
      <c r="X175" s="108" t="s">
        <v>1962</v>
      </c>
    </row>
    <row r="176" spans="2:27">
      <c r="B176" s="105">
        <v>27</v>
      </c>
      <c r="C176" s="105">
        <v>23</v>
      </c>
      <c r="D176" s="105">
        <v>29</v>
      </c>
      <c r="E176" s="105">
        <v>25</v>
      </c>
      <c r="F176" s="105">
        <v>25</v>
      </c>
      <c r="G176" s="105">
        <v>21</v>
      </c>
      <c r="H176" s="105">
        <v>1.5</v>
      </c>
      <c r="U176" s="105">
        <v>31</v>
      </c>
      <c r="V176" s="105">
        <v>31</v>
      </c>
      <c r="W176" s="105">
        <v>27</v>
      </c>
      <c r="X176" s="105">
        <v>1.5</v>
      </c>
    </row>
    <row r="177" spans="2:24">
      <c r="B177" s="105">
        <v>36</v>
      </c>
      <c r="C177" s="105">
        <v>31</v>
      </c>
      <c r="D177" s="105">
        <v>39</v>
      </c>
      <c r="E177" s="105">
        <v>33</v>
      </c>
      <c r="F177" s="105">
        <v>33</v>
      </c>
      <c r="G177" s="105">
        <v>28</v>
      </c>
      <c r="H177" s="105">
        <v>2.5</v>
      </c>
      <c r="U177" s="105">
        <v>19</v>
      </c>
      <c r="V177" s="105">
        <v>19</v>
      </c>
      <c r="W177" s="105">
        <v>16</v>
      </c>
      <c r="X177" s="105">
        <v>2.5</v>
      </c>
    </row>
    <row r="178" spans="2:24">
      <c r="B178" s="105">
        <v>49</v>
      </c>
      <c r="C178" s="105">
        <v>42</v>
      </c>
      <c r="D178" s="105">
        <v>52</v>
      </c>
      <c r="E178" s="105">
        <v>44</v>
      </c>
      <c r="F178" s="105">
        <v>43</v>
      </c>
      <c r="G178" s="105">
        <v>36</v>
      </c>
      <c r="H178" s="105">
        <v>4</v>
      </c>
      <c r="U178" s="105">
        <v>12</v>
      </c>
      <c r="V178" s="105">
        <v>12</v>
      </c>
      <c r="W178" s="105">
        <v>10</v>
      </c>
      <c r="X178" s="105">
        <v>4</v>
      </c>
    </row>
    <row r="179" spans="2:24">
      <c r="B179" s="105">
        <v>62</v>
      </c>
      <c r="C179" s="105">
        <v>53</v>
      </c>
      <c r="D179" s="105">
        <v>66</v>
      </c>
      <c r="E179" s="105">
        <v>56</v>
      </c>
      <c r="F179" s="105">
        <v>53</v>
      </c>
      <c r="G179" s="105">
        <v>44</v>
      </c>
      <c r="H179" s="105">
        <v>6</v>
      </c>
      <c r="U179" s="105">
        <v>7.9</v>
      </c>
      <c r="V179" s="105">
        <v>7.9</v>
      </c>
      <c r="W179" s="105">
        <v>6.8</v>
      </c>
      <c r="X179" s="105">
        <v>6</v>
      </c>
    </row>
    <row r="180" spans="2:24">
      <c r="B180" s="105">
        <v>85</v>
      </c>
      <c r="C180" s="105">
        <v>73</v>
      </c>
      <c r="D180" s="105">
        <v>90</v>
      </c>
      <c r="E180" s="105">
        <v>78</v>
      </c>
      <c r="F180" s="105">
        <v>71</v>
      </c>
      <c r="G180" s="105">
        <v>58</v>
      </c>
      <c r="H180" s="105">
        <v>10</v>
      </c>
      <c r="U180" s="105">
        <v>4.7</v>
      </c>
      <c r="V180" s="105">
        <v>4.7</v>
      </c>
      <c r="W180" s="105">
        <v>4</v>
      </c>
      <c r="X180" s="105">
        <v>10</v>
      </c>
    </row>
    <row r="181" spans="2:24">
      <c r="B181" s="105">
        <v>110</v>
      </c>
      <c r="C181" s="105">
        <v>94</v>
      </c>
      <c r="D181" s="105">
        <v>115</v>
      </c>
      <c r="E181" s="105">
        <v>99</v>
      </c>
      <c r="F181" s="105">
        <v>91</v>
      </c>
      <c r="G181" s="105">
        <v>75</v>
      </c>
      <c r="H181" s="105">
        <v>16</v>
      </c>
      <c r="U181" s="105">
        <v>2.9</v>
      </c>
      <c r="V181" s="105">
        <v>2.9</v>
      </c>
      <c r="W181" s="105">
        <v>2.5</v>
      </c>
      <c r="X181" s="105">
        <v>16</v>
      </c>
    </row>
    <row r="182" spans="2:24">
      <c r="B182" s="105">
        <v>146</v>
      </c>
      <c r="C182" s="105">
        <v>124</v>
      </c>
      <c r="D182" s="105">
        <v>152</v>
      </c>
      <c r="E182" s="105">
        <v>131</v>
      </c>
      <c r="F182" s="105">
        <v>116</v>
      </c>
      <c r="G182" s="105">
        <v>96</v>
      </c>
      <c r="H182" s="105">
        <v>25</v>
      </c>
      <c r="U182" s="105">
        <v>1.85</v>
      </c>
      <c r="V182" s="105">
        <v>1.85</v>
      </c>
      <c r="W182" s="105">
        <v>1.6</v>
      </c>
      <c r="X182" s="105">
        <v>25</v>
      </c>
    </row>
    <row r="183" spans="2:24">
      <c r="B183" s="105">
        <v>180</v>
      </c>
      <c r="C183" s="105">
        <v>154</v>
      </c>
      <c r="D183" s="105">
        <v>188</v>
      </c>
      <c r="E183" s="105">
        <v>162</v>
      </c>
      <c r="F183" s="105">
        <v>139</v>
      </c>
      <c r="G183" s="105">
        <v>115</v>
      </c>
      <c r="H183" s="105">
        <v>35</v>
      </c>
      <c r="U183" s="105">
        <v>1.35</v>
      </c>
      <c r="V183" s="105">
        <v>1.35</v>
      </c>
      <c r="W183" s="105">
        <v>1.1499999999999999</v>
      </c>
      <c r="X183" s="105">
        <v>35</v>
      </c>
    </row>
    <row r="184" spans="2:24">
      <c r="B184" s="105">
        <v>219</v>
      </c>
      <c r="C184" s="105">
        <v>187</v>
      </c>
      <c r="D184" s="105">
        <v>228</v>
      </c>
      <c r="E184" s="105">
        <v>197</v>
      </c>
      <c r="F184" s="105">
        <v>164</v>
      </c>
      <c r="G184" s="105">
        <v>135</v>
      </c>
      <c r="H184" s="105">
        <v>50</v>
      </c>
      <c r="U184" s="105">
        <v>0.98</v>
      </c>
      <c r="V184" s="105">
        <v>0.99</v>
      </c>
      <c r="W184" s="105">
        <v>0.86</v>
      </c>
      <c r="X184" s="105">
        <v>50</v>
      </c>
    </row>
    <row r="185" spans="2:24">
      <c r="B185" s="105">
        <v>279</v>
      </c>
      <c r="C185" s="105">
        <v>238</v>
      </c>
      <c r="D185" s="105">
        <v>291</v>
      </c>
      <c r="E185" s="105">
        <v>251</v>
      </c>
      <c r="F185" s="105">
        <v>203</v>
      </c>
      <c r="G185" s="105">
        <v>167</v>
      </c>
      <c r="H185" s="105">
        <v>70</v>
      </c>
      <c r="U185" s="105">
        <v>0.67</v>
      </c>
      <c r="V185" s="105">
        <v>0.67</v>
      </c>
      <c r="W185" s="105">
        <v>0.59</v>
      </c>
      <c r="X185" s="105">
        <v>70</v>
      </c>
    </row>
    <row r="186" spans="2:24">
      <c r="B186" s="105">
        <v>338</v>
      </c>
      <c r="C186" s="105">
        <v>289</v>
      </c>
      <c r="D186" s="105">
        <v>354</v>
      </c>
      <c r="E186" s="105">
        <v>304</v>
      </c>
      <c r="F186" s="105">
        <v>239</v>
      </c>
      <c r="G186" s="105">
        <v>197</v>
      </c>
      <c r="H186" s="105">
        <v>95</v>
      </c>
      <c r="U186" s="105">
        <v>0.49</v>
      </c>
      <c r="V186" s="105">
        <v>0.5</v>
      </c>
      <c r="W186" s="105">
        <v>0.43</v>
      </c>
      <c r="X186" s="105">
        <v>95</v>
      </c>
    </row>
    <row r="187" spans="2:24">
      <c r="B187" s="105">
        <v>392</v>
      </c>
      <c r="C187" s="105">
        <v>335</v>
      </c>
      <c r="D187" s="105">
        <v>410</v>
      </c>
      <c r="E187" s="105">
        <v>353</v>
      </c>
      <c r="F187" s="105">
        <v>271</v>
      </c>
      <c r="G187" s="105">
        <v>223</v>
      </c>
      <c r="H187" s="105">
        <v>120</v>
      </c>
      <c r="U187" s="105">
        <v>0.39</v>
      </c>
      <c r="V187" s="105">
        <v>0.4</v>
      </c>
      <c r="W187" s="105">
        <v>0.34</v>
      </c>
      <c r="X187" s="105">
        <v>120</v>
      </c>
    </row>
    <row r="188" spans="2:24">
      <c r="B188" s="105">
        <v>451</v>
      </c>
      <c r="C188" s="105">
        <v>386</v>
      </c>
      <c r="D188" s="105">
        <v>472</v>
      </c>
      <c r="E188" s="105">
        <v>406</v>
      </c>
      <c r="F188" s="105">
        <v>306</v>
      </c>
      <c r="G188" s="105">
        <v>251</v>
      </c>
      <c r="H188" s="105">
        <v>150</v>
      </c>
      <c r="U188" s="105">
        <v>0.31</v>
      </c>
      <c r="V188" s="105">
        <v>0.32</v>
      </c>
      <c r="W188" s="105">
        <v>0.28000000000000003</v>
      </c>
      <c r="X188" s="105">
        <v>150</v>
      </c>
    </row>
    <row r="189" spans="2:24">
      <c r="B189" s="105">
        <v>515</v>
      </c>
      <c r="C189" s="105">
        <v>441</v>
      </c>
      <c r="D189" s="105">
        <v>539</v>
      </c>
      <c r="E189" s="105">
        <v>463</v>
      </c>
      <c r="F189" s="105">
        <v>343</v>
      </c>
      <c r="G189" s="105">
        <v>281</v>
      </c>
      <c r="H189" s="105">
        <v>185</v>
      </c>
      <c r="U189" s="105">
        <v>0.25</v>
      </c>
      <c r="V189" s="105">
        <v>0.26</v>
      </c>
      <c r="W189" s="105">
        <v>0.22</v>
      </c>
      <c r="X189" s="105">
        <v>185</v>
      </c>
    </row>
    <row r="190" spans="2:24">
      <c r="B190" s="105">
        <v>607</v>
      </c>
      <c r="C190" s="105">
        <v>520</v>
      </c>
      <c r="D190" s="105">
        <v>636</v>
      </c>
      <c r="E190" s="105">
        <v>546</v>
      </c>
      <c r="F190" s="105">
        <v>395</v>
      </c>
      <c r="G190" s="105">
        <v>324</v>
      </c>
      <c r="H190" s="105">
        <v>240</v>
      </c>
      <c r="U190" s="105">
        <v>0.19500000000000001</v>
      </c>
      <c r="V190" s="105">
        <v>0.2</v>
      </c>
      <c r="W190" s="105">
        <v>0.17499999999999999</v>
      </c>
      <c r="X190" s="105">
        <v>240</v>
      </c>
    </row>
    <row r="191" spans="2:24">
      <c r="B191" s="105">
        <v>698</v>
      </c>
      <c r="C191" s="105">
        <v>599</v>
      </c>
      <c r="D191" s="105">
        <v>732</v>
      </c>
      <c r="E191" s="105">
        <v>628</v>
      </c>
      <c r="F191" s="105">
        <v>446</v>
      </c>
      <c r="G191" s="105">
        <v>365</v>
      </c>
      <c r="H191" s="105">
        <v>300</v>
      </c>
      <c r="U191" s="105">
        <v>0.155</v>
      </c>
      <c r="V191" s="105">
        <v>0.16</v>
      </c>
      <c r="W191" s="105">
        <v>0.14000000000000001</v>
      </c>
      <c r="X191" s="105">
        <v>300</v>
      </c>
    </row>
    <row r="192" spans="2:24">
      <c r="B192" s="105">
        <v>787</v>
      </c>
      <c r="C192" s="105">
        <v>673</v>
      </c>
      <c r="D192" s="105">
        <v>847</v>
      </c>
      <c r="E192" s="105">
        <v>728</v>
      </c>
      <c r="H192" s="105">
        <v>400</v>
      </c>
      <c r="U192" s="105">
        <v>0.12</v>
      </c>
      <c r="V192" s="105">
        <v>0.13</v>
      </c>
      <c r="W192" s="105">
        <v>0.115</v>
      </c>
      <c r="X192" s="105">
        <v>400</v>
      </c>
    </row>
    <row r="195" spans="2:26">
      <c r="B195" s="105" t="s">
        <v>2010</v>
      </c>
      <c r="U195" s="105" t="s">
        <v>2011</v>
      </c>
    </row>
    <row r="197" spans="2:26" ht="51">
      <c r="B197" s="108" t="s">
        <v>1971</v>
      </c>
      <c r="C197" s="108" t="s">
        <v>1972</v>
      </c>
      <c r="D197" s="108" t="s">
        <v>1973</v>
      </c>
      <c r="E197" s="108" t="s">
        <v>1962</v>
      </c>
      <c r="U197" s="108" t="s">
        <v>1951</v>
      </c>
      <c r="V197" s="108" t="s">
        <v>1952</v>
      </c>
      <c r="W197" s="108" t="s">
        <v>1953</v>
      </c>
      <c r="X197" s="108" t="s">
        <v>1954</v>
      </c>
      <c r="Y197" s="108" t="s">
        <v>1965</v>
      </c>
      <c r="Z197" s="108" t="s">
        <v>1962</v>
      </c>
    </row>
    <row r="198" spans="2:26">
      <c r="B198" s="105">
        <v>30</v>
      </c>
      <c r="C198" s="105">
        <v>26</v>
      </c>
      <c r="E198" s="105">
        <v>4</v>
      </c>
      <c r="U198" s="105">
        <v>12</v>
      </c>
      <c r="V198" s="105">
        <v>12</v>
      </c>
      <c r="W198" s="105">
        <v>10</v>
      </c>
      <c r="Z198" s="105">
        <v>4</v>
      </c>
    </row>
    <row r="199" spans="2:26">
      <c r="B199" s="105">
        <v>39</v>
      </c>
      <c r="C199" s="105">
        <v>34</v>
      </c>
      <c r="E199" s="105">
        <v>6</v>
      </c>
      <c r="U199" s="105">
        <v>7.8</v>
      </c>
      <c r="V199" s="105">
        <v>7.8</v>
      </c>
      <c r="W199" s="105">
        <v>6.7</v>
      </c>
      <c r="Z199" s="105">
        <v>6</v>
      </c>
    </row>
    <row r="200" spans="2:26">
      <c r="B200" s="105">
        <v>51</v>
      </c>
      <c r="C200" s="105">
        <v>47</v>
      </c>
      <c r="E200" s="105">
        <v>10</v>
      </c>
      <c r="U200" s="105">
        <v>4.5999999999999996</v>
      </c>
      <c r="V200" s="105">
        <v>4.5999999999999996</v>
      </c>
      <c r="W200" s="105">
        <v>4</v>
      </c>
      <c r="Z200" s="105">
        <v>10</v>
      </c>
    </row>
    <row r="201" spans="2:26">
      <c r="B201" s="105">
        <v>73</v>
      </c>
      <c r="C201" s="105">
        <v>63</v>
      </c>
      <c r="E201" s="105">
        <v>16</v>
      </c>
      <c r="U201" s="105">
        <v>2.9</v>
      </c>
      <c r="V201" s="105">
        <v>2.9</v>
      </c>
      <c r="W201" s="105">
        <v>2.5</v>
      </c>
      <c r="Z201" s="105">
        <v>16</v>
      </c>
    </row>
    <row r="202" spans="2:26">
      <c r="B202" s="105">
        <v>97</v>
      </c>
      <c r="C202" s="105">
        <v>83</v>
      </c>
      <c r="E202" s="105">
        <v>25</v>
      </c>
      <c r="U202" s="105">
        <v>1.8</v>
      </c>
      <c r="V202" s="105">
        <v>1.8</v>
      </c>
      <c r="W202" s="105">
        <v>1.55</v>
      </c>
      <c r="Z202" s="105">
        <v>25</v>
      </c>
    </row>
    <row r="203" spans="2:26">
      <c r="C203" s="105">
        <v>102</v>
      </c>
      <c r="D203" s="105">
        <v>140</v>
      </c>
      <c r="E203" s="105">
        <v>35</v>
      </c>
      <c r="W203" s="105">
        <v>1.1000000000000001</v>
      </c>
      <c r="X203" s="105">
        <v>1.31</v>
      </c>
      <c r="Y203" s="105">
        <v>1.31</v>
      </c>
      <c r="Z203" s="105">
        <v>35</v>
      </c>
    </row>
    <row r="204" spans="2:26">
      <c r="C204" s="105">
        <v>124</v>
      </c>
      <c r="D204" s="105">
        <v>175</v>
      </c>
      <c r="E204" s="105">
        <v>50</v>
      </c>
      <c r="W204" s="105">
        <v>0.83</v>
      </c>
      <c r="X204" s="105">
        <v>0.91</v>
      </c>
      <c r="Y204" s="105">
        <v>0.91</v>
      </c>
      <c r="Z204" s="105">
        <v>50</v>
      </c>
    </row>
    <row r="205" spans="2:26">
      <c r="C205" s="105">
        <v>158</v>
      </c>
      <c r="D205" s="105">
        <v>216</v>
      </c>
      <c r="E205" s="105">
        <v>70</v>
      </c>
      <c r="W205" s="105">
        <v>0.56999999999999995</v>
      </c>
      <c r="X205" s="105">
        <v>0.64</v>
      </c>
      <c r="Y205" s="105">
        <v>0.64</v>
      </c>
      <c r="Z205" s="105">
        <v>70</v>
      </c>
    </row>
    <row r="206" spans="2:26">
      <c r="C206" s="105">
        <v>192</v>
      </c>
      <c r="D206" s="105">
        <v>258</v>
      </c>
      <c r="E206" s="105">
        <v>95</v>
      </c>
      <c r="W206" s="105">
        <v>0.42</v>
      </c>
      <c r="X206" s="105">
        <v>0.49</v>
      </c>
      <c r="Y206" s="105">
        <v>0.49</v>
      </c>
      <c r="Z206" s="105">
        <v>95</v>
      </c>
    </row>
    <row r="207" spans="2:26">
      <c r="C207" s="105">
        <v>222</v>
      </c>
      <c r="D207" s="105">
        <v>302</v>
      </c>
      <c r="E207" s="105">
        <v>120</v>
      </c>
      <c r="W207" s="105">
        <v>0.33</v>
      </c>
      <c r="X207" s="105">
        <v>0.38</v>
      </c>
      <c r="Y207" s="105">
        <v>0.38</v>
      </c>
      <c r="Z207" s="105">
        <v>120</v>
      </c>
    </row>
    <row r="208" spans="2:26">
      <c r="C208" s="105">
        <v>255</v>
      </c>
      <c r="D208" s="105">
        <v>347</v>
      </c>
      <c r="E208" s="105">
        <v>150</v>
      </c>
      <c r="W208" s="105">
        <v>0.27</v>
      </c>
      <c r="X208" s="105">
        <v>0.31</v>
      </c>
      <c r="Y208" s="105">
        <v>0.31</v>
      </c>
      <c r="Z208" s="105">
        <v>150</v>
      </c>
    </row>
    <row r="209" spans="2:26">
      <c r="C209" s="105">
        <v>291</v>
      </c>
      <c r="D209" s="105">
        <v>394</v>
      </c>
      <c r="E209" s="105">
        <v>185</v>
      </c>
      <c r="W209" s="105">
        <v>0.22</v>
      </c>
      <c r="X209" s="105">
        <v>0.25</v>
      </c>
      <c r="Y209" s="105">
        <v>0.25</v>
      </c>
      <c r="Z209" s="105">
        <v>185</v>
      </c>
    </row>
    <row r="210" spans="2:26">
      <c r="C210" s="105">
        <v>343</v>
      </c>
      <c r="D210" s="105">
        <v>471</v>
      </c>
      <c r="E210" s="105">
        <v>240</v>
      </c>
      <c r="W210" s="105">
        <v>0.17</v>
      </c>
      <c r="X210" s="105">
        <v>0.19</v>
      </c>
      <c r="Y210" s="105">
        <v>0.19500000000000001</v>
      </c>
      <c r="Z210" s="105">
        <v>240</v>
      </c>
    </row>
    <row r="211" spans="2:26">
      <c r="C211" s="105">
        <v>394</v>
      </c>
      <c r="D211" s="105">
        <v>541</v>
      </c>
      <c r="E211" s="105">
        <v>300</v>
      </c>
      <c r="W211" s="105">
        <v>0.13500000000000001</v>
      </c>
      <c r="X211" s="105">
        <v>0.15</v>
      </c>
      <c r="Y211" s="105">
        <v>0.155</v>
      </c>
      <c r="Z211" s="105">
        <v>300</v>
      </c>
    </row>
    <row r="212" spans="2:26">
      <c r="D212" s="105">
        <v>644</v>
      </c>
      <c r="E212" s="105">
        <v>400</v>
      </c>
      <c r="X212" s="105">
        <v>0.115</v>
      </c>
      <c r="Y212" s="105">
        <v>0.12</v>
      </c>
      <c r="Z212" s="105">
        <v>400</v>
      </c>
    </row>
    <row r="213" spans="2:26">
      <c r="D213" s="105">
        <v>738</v>
      </c>
      <c r="E213" s="105">
        <v>500</v>
      </c>
      <c r="X213" s="105">
        <v>0.09</v>
      </c>
      <c r="Y213" s="105">
        <v>9.9000000000000005E-2</v>
      </c>
      <c r="Z213" s="105">
        <v>500</v>
      </c>
    </row>
    <row r="214" spans="2:26">
      <c r="D214" s="105">
        <v>861</v>
      </c>
      <c r="E214" s="105">
        <v>630</v>
      </c>
      <c r="X214" s="105">
        <v>6.8000000000000005E-2</v>
      </c>
      <c r="Y214" s="105">
        <v>7.9000000000000001E-2</v>
      </c>
      <c r="Z214" s="105">
        <v>630</v>
      </c>
    </row>
    <row r="217" spans="2:26">
      <c r="B217" s="105" t="s">
        <v>2012</v>
      </c>
      <c r="U217" s="105" t="s">
        <v>2013</v>
      </c>
    </row>
    <row r="219" spans="2:26" ht="51">
      <c r="B219" s="108" t="s">
        <v>1971</v>
      </c>
      <c r="C219" s="108" t="s">
        <v>1972</v>
      </c>
      <c r="D219" s="108" t="s">
        <v>1973</v>
      </c>
      <c r="E219" s="108" t="s">
        <v>1962</v>
      </c>
      <c r="U219" s="108" t="s">
        <v>1951</v>
      </c>
      <c r="V219" s="108" t="s">
        <v>1952</v>
      </c>
      <c r="W219" s="108" t="s">
        <v>1953</v>
      </c>
      <c r="X219" s="108" t="s">
        <v>1954</v>
      </c>
      <c r="Y219" s="108" t="s">
        <v>1962</v>
      </c>
    </row>
    <row r="220" spans="2:26">
      <c r="B220" s="105">
        <v>42</v>
      </c>
      <c r="C220" s="105">
        <v>37</v>
      </c>
      <c r="E220" s="105">
        <v>4</v>
      </c>
      <c r="U220" s="105">
        <v>13.2</v>
      </c>
      <c r="V220" s="105">
        <v>13.2</v>
      </c>
      <c r="W220" s="105">
        <v>11.1</v>
      </c>
      <c r="Y220" s="105">
        <v>4</v>
      </c>
    </row>
    <row r="221" spans="2:26">
      <c r="B221" s="105">
        <v>55</v>
      </c>
      <c r="C221" s="105">
        <v>49</v>
      </c>
      <c r="E221" s="105">
        <v>6</v>
      </c>
      <c r="U221" s="105">
        <v>8.5</v>
      </c>
      <c r="V221" s="105">
        <v>8.5</v>
      </c>
      <c r="W221" s="105">
        <v>7.4</v>
      </c>
      <c r="Y221" s="105">
        <v>6</v>
      </c>
    </row>
    <row r="222" spans="2:26">
      <c r="B222" s="105">
        <v>76</v>
      </c>
      <c r="C222" s="105">
        <v>66</v>
      </c>
      <c r="E222" s="105">
        <v>10</v>
      </c>
      <c r="U222" s="105">
        <v>5.0999999999999996</v>
      </c>
      <c r="V222" s="105">
        <v>5.0999999999999996</v>
      </c>
      <c r="W222" s="105">
        <v>4.4000000000000004</v>
      </c>
      <c r="Y222" s="105">
        <v>10</v>
      </c>
    </row>
    <row r="223" spans="2:26">
      <c r="B223" s="105">
        <v>103</v>
      </c>
      <c r="C223" s="105">
        <v>89</v>
      </c>
      <c r="E223" s="105">
        <v>16</v>
      </c>
      <c r="U223" s="105">
        <v>3.2</v>
      </c>
      <c r="V223" s="105">
        <v>3.2</v>
      </c>
      <c r="W223" s="105">
        <v>2.7</v>
      </c>
      <c r="Y223" s="105">
        <v>16</v>
      </c>
    </row>
    <row r="224" spans="2:26">
      <c r="B224" s="105">
        <v>136</v>
      </c>
      <c r="C224" s="105">
        <v>119</v>
      </c>
      <c r="E224" s="105">
        <v>25</v>
      </c>
      <c r="U224" s="105">
        <v>2.0299999999999998</v>
      </c>
      <c r="V224" s="105">
        <v>2.0299999999999998</v>
      </c>
      <c r="W224" s="105">
        <v>1.73</v>
      </c>
      <c r="Y224" s="105">
        <v>25</v>
      </c>
    </row>
    <row r="225" spans="2:25">
      <c r="C225" s="105">
        <v>146</v>
      </c>
      <c r="D225" s="105">
        <v>200</v>
      </c>
      <c r="E225" s="105">
        <v>35</v>
      </c>
      <c r="U225" s="105">
        <v>1.42</v>
      </c>
      <c r="W225" s="105">
        <v>1.22</v>
      </c>
      <c r="X225" s="105">
        <v>1.44</v>
      </c>
      <c r="Y225" s="105">
        <v>35</v>
      </c>
    </row>
    <row r="226" spans="2:25">
      <c r="C226" s="105">
        <v>177</v>
      </c>
      <c r="D226" s="105">
        <v>250</v>
      </c>
      <c r="E226" s="105">
        <v>50</v>
      </c>
      <c r="U226" s="105">
        <v>1</v>
      </c>
      <c r="W226" s="105">
        <v>0.91</v>
      </c>
      <c r="X226" s="105">
        <v>1</v>
      </c>
      <c r="Y226" s="105">
        <v>50</v>
      </c>
    </row>
    <row r="227" spans="2:25">
      <c r="C227" s="105">
        <v>255</v>
      </c>
      <c r="D227" s="105">
        <v>310</v>
      </c>
      <c r="E227" s="105">
        <v>70</v>
      </c>
      <c r="U227" s="105">
        <v>0.71</v>
      </c>
      <c r="W227" s="105">
        <v>0.62</v>
      </c>
      <c r="X227" s="105">
        <v>0.71</v>
      </c>
      <c r="Y227" s="105">
        <v>70</v>
      </c>
    </row>
    <row r="228" spans="2:25">
      <c r="C228" s="105">
        <v>273</v>
      </c>
      <c r="D228" s="105">
        <v>369</v>
      </c>
      <c r="E228" s="105">
        <v>95</v>
      </c>
      <c r="U228" s="105">
        <v>0.54</v>
      </c>
      <c r="W228" s="105">
        <v>0.47</v>
      </c>
      <c r="X228" s="105">
        <v>0.54</v>
      </c>
      <c r="Y228" s="105">
        <v>95</v>
      </c>
    </row>
    <row r="229" spans="2:25">
      <c r="C229" s="105">
        <v>316</v>
      </c>
      <c r="D229" s="105">
        <v>432</v>
      </c>
      <c r="E229" s="105">
        <v>120</v>
      </c>
      <c r="U229" s="105">
        <v>0.42</v>
      </c>
      <c r="W229" s="105">
        <v>0.37</v>
      </c>
      <c r="X229" s="105">
        <v>0.42</v>
      </c>
      <c r="Y229" s="105">
        <v>120</v>
      </c>
    </row>
    <row r="230" spans="2:25">
      <c r="C230" s="105">
        <v>363</v>
      </c>
      <c r="D230" s="105">
        <v>497</v>
      </c>
      <c r="E230" s="105">
        <v>150</v>
      </c>
      <c r="U230" s="105">
        <v>0.34</v>
      </c>
      <c r="W230" s="105">
        <v>0.28999999999999998</v>
      </c>
      <c r="X230" s="105">
        <v>0.34</v>
      </c>
      <c r="Y230" s="105">
        <v>150</v>
      </c>
    </row>
    <row r="231" spans="2:25">
      <c r="C231" s="105">
        <v>414</v>
      </c>
      <c r="D231" s="105">
        <v>564</v>
      </c>
      <c r="E231" s="105">
        <v>185</v>
      </c>
      <c r="U231" s="105">
        <v>0.27</v>
      </c>
      <c r="W231" s="105">
        <v>0.24</v>
      </c>
      <c r="X231" s="105">
        <v>0.27</v>
      </c>
      <c r="Y231" s="105">
        <v>185</v>
      </c>
    </row>
    <row r="232" spans="2:25">
      <c r="C232" s="105">
        <v>487</v>
      </c>
      <c r="D232" s="105">
        <v>673</v>
      </c>
      <c r="E232" s="105">
        <v>240</v>
      </c>
      <c r="U232" s="105">
        <v>0.21</v>
      </c>
      <c r="W232" s="105">
        <v>0.188</v>
      </c>
      <c r="X232" s="105">
        <v>0.21</v>
      </c>
      <c r="Y232" s="105">
        <v>240</v>
      </c>
    </row>
    <row r="233" spans="2:25">
      <c r="C233" s="105">
        <v>560</v>
      </c>
      <c r="D233" s="105">
        <v>773</v>
      </c>
      <c r="E233" s="105">
        <v>300</v>
      </c>
      <c r="U233" s="105">
        <v>0.16700000000000001</v>
      </c>
      <c r="W233" s="105">
        <v>0.14699999999999999</v>
      </c>
      <c r="X233" s="105">
        <v>0.17299999999999999</v>
      </c>
      <c r="Y233" s="105">
        <v>300</v>
      </c>
    </row>
    <row r="234" spans="2:25">
      <c r="D234" s="105">
        <v>924</v>
      </c>
      <c r="E234" s="105">
        <v>400</v>
      </c>
      <c r="U234" s="105">
        <v>0.127</v>
      </c>
      <c r="X234" s="105">
        <v>0.13200000000000001</v>
      </c>
      <c r="Y234" s="105">
        <v>400</v>
      </c>
    </row>
    <row r="235" spans="2:25">
      <c r="D235" s="105">
        <v>1062</v>
      </c>
      <c r="E235" s="105">
        <v>500</v>
      </c>
      <c r="U235" s="105">
        <v>0.1</v>
      </c>
      <c r="X235" s="105">
        <v>0.107</v>
      </c>
      <c r="Y235" s="105">
        <v>500</v>
      </c>
    </row>
    <row r="236" spans="2:25">
      <c r="D236" s="105">
        <v>1242</v>
      </c>
      <c r="E236" s="105">
        <v>630</v>
      </c>
      <c r="U236" s="105">
        <v>7.3999999999999996E-2</v>
      </c>
      <c r="X236" s="105">
        <v>8.5000000000000006E-2</v>
      </c>
      <c r="Y236" s="105">
        <v>630</v>
      </c>
    </row>
    <row r="239" spans="2:25">
      <c r="B239" s="105" t="s">
        <v>2014</v>
      </c>
      <c r="U239" s="105" t="s">
        <v>2015</v>
      </c>
    </row>
    <row r="241" spans="2:28" ht="34">
      <c r="B241" s="108" t="s">
        <v>2016</v>
      </c>
      <c r="C241" s="108" t="s">
        <v>1972</v>
      </c>
      <c r="D241" s="108" t="s">
        <v>2017</v>
      </c>
      <c r="E241" s="108" t="s">
        <v>1962</v>
      </c>
      <c r="U241" s="108" t="s">
        <v>1951</v>
      </c>
      <c r="V241" s="108" t="s">
        <v>1952</v>
      </c>
      <c r="W241" s="108" t="s">
        <v>1962</v>
      </c>
    </row>
    <row r="242" spans="2:28">
      <c r="B242" s="105">
        <v>3</v>
      </c>
      <c r="C242" s="105">
        <v>3</v>
      </c>
      <c r="D242" s="105">
        <v>2</v>
      </c>
      <c r="E242" s="105">
        <v>0.5</v>
      </c>
      <c r="U242" s="105">
        <v>93</v>
      </c>
      <c r="V242" s="105">
        <v>80</v>
      </c>
      <c r="W242" s="105">
        <v>0.5</v>
      </c>
    </row>
    <row r="243" spans="2:28">
      <c r="B243" s="105">
        <v>6</v>
      </c>
      <c r="C243" s="105">
        <v>6</v>
      </c>
      <c r="D243" s="105">
        <v>3</v>
      </c>
      <c r="E243" s="105">
        <v>0.75</v>
      </c>
      <c r="U243" s="105">
        <v>62</v>
      </c>
      <c r="V243" s="105">
        <v>54</v>
      </c>
      <c r="W243" s="105">
        <v>0.75</v>
      </c>
    </row>
    <row r="244" spans="2:28">
      <c r="B244" s="105">
        <v>10</v>
      </c>
      <c r="C244" s="105">
        <v>10</v>
      </c>
      <c r="D244" s="105">
        <v>5</v>
      </c>
      <c r="E244" s="105">
        <v>1</v>
      </c>
      <c r="U244" s="105">
        <v>46</v>
      </c>
      <c r="V244" s="105">
        <v>40</v>
      </c>
      <c r="W244" s="105">
        <v>1</v>
      </c>
    </row>
    <row r="245" spans="2:28">
      <c r="B245" s="105">
        <v>13</v>
      </c>
      <c r="D245" s="105">
        <v>5</v>
      </c>
      <c r="E245" s="105">
        <v>1.25</v>
      </c>
      <c r="U245" s="105">
        <v>37</v>
      </c>
      <c r="W245" s="105">
        <v>1.25</v>
      </c>
    </row>
    <row r="246" spans="2:28">
      <c r="B246" s="105">
        <v>16</v>
      </c>
      <c r="C246" s="105">
        <v>16</v>
      </c>
      <c r="D246" s="105">
        <v>5</v>
      </c>
      <c r="E246" s="105">
        <v>1.5</v>
      </c>
      <c r="U246" s="105">
        <v>32</v>
      </c>
      <c r="V246" s="105">
        <v>27</v>
      </c>
      <c r="W246" s="105">
        <v>1.5</v>
      </c>
    </row>
    <row r="247" spans="2:28">
      <c r="B247" s="105">
        <v>25</v>
      </c>
      <c r="C247" s="105">
        <v>20</v>
      </c>
      <c r="D247" s="105">
        <v>5</v>
      </c>
      <c r="E247" s="105">
        <v>2.5</v>
      </c>
      <c r="U247" s="105">
        <v>19</v>
      </c>
      <c r="V247" s="105">
        <v>16</v>
      </c>
      <c r="W247" s="105">
        <v>2.5</v>
      </c>
    </row>
    <row r="248" spans="2:28">
      <c r="B248" s="105">
        <v>32</v>
      </c>
      <c r="C248" s="105">
        <v>25</v>
      </c>
      <c r="D248" s="105">
        <v>5</v>
      </c>
      <c r="E248" s="105">
        <v>4</v>
      </c>
      <c r="U248" s="105">
        <v>12</v>
      </c>
      <c r="V248" s="105">
        <v>10</v>
      </c>
      <c r="W248" s="105">
        <v>4</v>
      </c>
    </row>
    <row r="251" spans="2:28">
      <c r="B251" s="105" t="s">
        <v>2018</v>
      </c>
      <c r="U251" s="105" t="s">
        <v>2019</v>
      </c>
    </row>
    <row r="252" spans="2:28">
      <c r="I252" s="107"/>
      <c r="AB252" s="107"/>
    </row>
    <row r="253" spans="2:28" ht="85">
      <c r="B253" s="108" t="s">
        <v>1965</v>
      </c>
      <c r="C253" s="108" t="s">
        <v>2020</v>
      </c>
      <c r="D253" s="108" t="s">
        <v>2021</v>
      </c>
      <c r="E253" s="108" t="s">
        <v>2022</v>
      </c>
      <c r="F253" s="108" t="s">
        <v>2023</v>
      </c>
      <c r="G253" s="108" t="s">
        <v>2024</v>
      </c>
      <c r="H253" s="108" t="s">
        <v>2025</v>
      </c>
      <c r="I253" s="108" t="s">
        <v>2026</v>
      </c>
      <c r="J253" s="109" t="s">
        <v>1962</v>
      </c>
      <c r="U253" s="108" t="s">
        <v>1951</v>
      </c>
      <c r="V253" s="108" t="s">
        <v>1952</v>
      </c>
      <c r="W253" s="108" t="s">
        <v>1953</v>
      </c>
      <c r="X253" s="108" t="s">
        <v>1954</v>
      </c>
      <c r="Y253" s="108" t="s">
        <v>1965</v>
      </c>
      <c r="Z253" s="108" t="s">
        <v>1966</v>
      </c>
      <c r="AA253" s="108" t="s">
        <v>1962</v>
      </c>
    </row>
    <row r="254" spans="2:28">
      <c r="B254" s="106" t="s">
        <v>2027</v>
      </c>
      <c r="J254" s="110"/>
      <c r="U254" s="105">
        <v>42</v>
      </c>
      <c r="V254" s="105">
        <v>42</v>
      </c>
      <c r="W254" s="105">
        <v>36</v>
      </c>
      <c r="X254" s="105">
        <v>36</v>
      </c>
      <c r="Y254" s="105">
        <v>36</v>
      </c>
      <c r="Z254" s="105">
        <v>36</v>
      </c>
      <c r="AA254" s="105">
        <v>1</v>
      </c>
    </row>
    <row r="255" spans="2:28">
      <c r="B255" s="105">
        <v>18.5</v>
      </c>
      <c r="C255" s="105">
        <v>15</v>
      </c>
      <c r="D255" s="105">
        <v>17</v>
      </c>
      <c r="E255" s="105">
        <v>19.5</v>
      </c>
      <c r="F255" s="105">
        <v>16.5</v>
      </c>
      <c r="G255" s="105">
        <v>18</v>
      </c>
      <c r="H255" s="105">
        <v>20</v>
      </c>
      <c r="I255" s="105">
        <v>23</v>
      </c>
      <c r="J255" s="105">
        <v>1</v>
      </c>
      <c r="U255" s="105">
        <v>28</v>
      </c>
      <c r="V255" s="105">
        <v>28</v>
      </c>
      <c r="W255" s="105">
        <v>24</v>
      </c>
      <c r="X255" s="105">
        <v>24</v>
      </c>
      <c r="Y255" s="105">
        <v>24</v>
      </c>
      <c r="Z255" s="105">
        <v>24</v>
      </c>
      <c r="AA255" s="105">
        <v>1.5</v>
      </c>
    </row>
    <row r="256" spans="2:28">
      <c r="B256" s="105">
        <v>23</v>
      </c>
      <c r="C256" s="105">
        <v>19</v>
      </c>
      <c r="D256" s="105">
        <v>21</v>
      </c>
      <c r="E256" s="105">
        <v>25</v>
      </c>
      <c r="F256" s="105">
        <v>21</v>
      </c>
      <c r="G256" s="105">
        <v>23</v>
      </c>
      <c r="H256" s="105">
        <v>26</v>
      </c>
      <c r="I256" s="105">
        <v>29</v>
      </c>
      <c r="J256" s="105">
        <v>1.5</v>
      </c>
      <c r="U256" s="105">
        <v>17</v>
      </c>
      <c r="V256" s="105">
        <v>17</v>
      </c>
      <c r="W256" s="105">
        <v>14</v>
      </c>
      <c r="X256" s="105">
        <v>14</v>
      </c>
      <c r="Y256" s="105">
        <v>14</v>
      </c>
      <c r="Z256" s="105">
        <v>14</v>
      </c>
      <c r="AA256" s="105">
        <v>2.5</v>
      </c>
    </row>
    <row r="257" spans="2:27">
      <c r="B257" s="105">
        <v>31</v>
      </c>
      <c r="C257" s="105">
        <v>26</v>
      </c>
      <c r="D257" s="105">
        <v>29</v>
      </c>
      <c r="E257" s="105">
        <v>33</v>
      </c>
      <c r="F257" s="105">
        <v>28</v>
      </c>
      <c r="G257" s="105">
        <v>31</v>
      </c>
      <c r="H257" s="105">
        <v>34</v>
      </c>
      <c r="I257" s="105">
        <v>39</v>
      </c>
      <c r="J257" s="105">
        <v>2.5</v>
      </c>
      <c r="U257" s="105">
        <v>10</v>
      </c>
      <c r="V257" s="105">
        <v>10</v>
      </c>
      <c r="W257" s="105">
        <v>9.1</v>
      </c>
      <c r="X257" s="105">
        <v>9.1</v>
      </c>
      <c r="Y257" s="105">
        <v>9.1</v>
      </c>
      <c r="Z257" s="105">
        <v>9.1</v>
      </c>
      <c r="AA257" s="105">
        <v>4</v>
      </c>
    </row>
    <row r="258" spans="2:27">
      <c r="B258" s="111">
        <v>40</v>
      </c>
      <c r="C258" s="111">
        <v>35</v>
      </c>
      <c r="D258" s="111">
        <v>38</v>
      </c>
      <c r="E258" s="111">
        <v>44</v>
      </c>
      <c r="F258" s="111">
        <v>37</v>
      </c>
      <c r="G258" s="111">
        <v>41</v>
      </c>
      <c r="H258" s="111">
        <v>45</v>
      </c>
      <c r="I258" s="111">
        <v>51</v>
      </c>
      <c r="J258" s="111">
        <v>4</v>
      </c>
      <c r="U258" s="105">
        <v>7</v>
      </c>
      <c r="V258" s="105">
        <v>7</v>
      </c>
      <c r="W258" s="105">
        <v>6</v>
      </c>
      <c r="X258" s="105">
        <v>6</v>
      </c>
      <c r="Y258" s="105">
        <v>6</v>
      </c>
      <c r="Z258" s="105">
        <v>6</v>
      </c>
      <c r="AA258" s="105">
        <v>6</v>
      </c>
    </row>
    <row r="259" spans="2:27">
      <c r="B259" s="106" t="s">
        <v>2028</v>
      </c>
      <c r="U259" s="105">
        <v>4.2</v>
      </c>
      <c r="V259" s="105">
        <v>4.2</v>
      </c>
      <c r="W259" s="105">
        <v>3.6</v>
      </c>
      <c r="X259" s="105">
        <v>3.6</v>
      </c>
      <c r="Y259" s="105">
        <v>3.6</v>
      </c>
      <c r="Z259" s="105">
        <v>3.6</v>
      </c>
      <c r="AA259" s="105">
        <v>10</v>
      </c>
    </row>
    <row r="260" spans="2:27">
      <c r="B260" s="105">
        <v>19.5</v>
      </c>
      <c r="C260" s="105">
        <v>16</v>
      </c>
      <c r="D260" s="105">
        <v>18</v>
      </c>
      <c r="E260" s="105">
        <v>21</v>
      </c>
      <c r="F260" s="105">
        <v>17.5</v>
      </c>
      <c r="G260" s="105">
        <v>20</v>
      </c>
      <c r="H260" s="105">
        <v>22</v>
      </c>
      <c r="I260" s="105">
        <v>25</v>
      </c>
      <c r="J260" s="110">
        <v>1</v>
      </c>
      <c r="U260" s="105">
        <v>2.6</v>
      </c>
      <c r="V260" s="105">
        <v>2.6</v>
      </c>
      <c r="W260" s="105">
        <v>2.2999999999999998</v>
      </c>
      <c r="X260" s="105">
        <v>2.2999999999999998</v>
      </c>
      <c r="Y260" s="105">
        <v>2.2999999999999998</v>
      </c>
      <c r="Z260" s="105">
        <v>2.2999999999999998</v>
      </c>
      <c r="AA260" s="105">
        <v>16</v>
      </c>
    </row>
    <row r="261" spans="2:27">
      <c r="B261" s="105">
        <v>25</v>
      </c>
      <c r="C261" s="105">
        <v>21</v>
      </c>
      <c r="D261" s="105">
        <v>23</v>
      </c>
      <c r="E261" s="105">
        <v>26</v>
      </c>
      <c r="F261" s="105">
        <v>22</v>
      </c>
      <c r="G261" s="105">
        <v>26</v>
      </c>
      <c r="H261" s="105">
        <v>28</v>
      </c>
      <c r="I261" s="105">
        <v>32</v>
      </c>
      <c r="J261" s="105">
        <v>1.5</v>
      </c>
      <c r="U261" s="105">
        <v>1.65</v>
      </c>
      <c r="V261" s="105">
        <v>1.65</v>
      </c>
      <c r="W261" s="105">
        <v>1.45</v>
      </c>
      <c r="X261" s="105">
        <v>1.45</v>
      </c>
      <c r="Y261" s="105">
        <v>1.45</v>
      </c>
      <c r="Z261" s="105">
        <v>1.45</v>
      </c>
      <c r="AA261" s="105">
        <v>25</v>
      </c>
    </row>
    <row r="262" spans="2:27">
      <c r="B262" s="105">
        <v>34</v>
      </c>
      <c r="C262" s="105">
        <v>28</v>
      </c>
      <c r="D262" s="105">
        <v>31</v>
      </c>
      <c r="E262" s="105">
        <v>36</v>
      </c>
      <c r="F262" s="105">
        <v>30</v>
      </c>
      <c r="G262" s="105">
        <v>34</v>
      </c>
      <c r="H262" s="105">
        <v>37</v>
      </c>
      <c r="I262" s="105">
        <v>43</v>
      </c>
      <c r="J262" s="110">
        <v>2.5</v>
      </c>
      <c r="U262" s="105">
        <v>1.2</v>
      </c>
      <c r="X262" s="105">
        <v>1.05</v>
      </c>
      <c r="Y262" s="105">
        <v>1.05</v>
      </c>
      <c r="Z262" s="105">
        <v>1.05</v>
      </c>
      <c r="AA262" s="105">
        <v>35</v>
      </c>
    </row>
    <row r="263" spans="2:27">
      <c r="B263" s="105">
        <v>45</v>
      </c>
      <c r="C263" s="105">
        <v>37</v>
      </c>
      <c r="D263" s="105">
        <v>41</v>
      </c>
      <c r="E263" s="105">
        <v>47</v>
      </c>
      <c r="F263" s="105">
        <v>40</v>
      </c>
      <c r="G263" s="105">
        <v>45</v>
      </c>
      <c r="H263" s="105">
        <v>49</v>
      </c>
      <c r="I263" s="105">
        <v>56</v>
      </c>
      <c r="J263" s="105">
        <v>4</v>
      </c>
      <c r="U263" s="105">
        <v>0.89</v>
      </c>
      <c r="X263" s="105">
        <v>0.78</v>
      </c>
      <c r="Y263" s="105">
        <v>0.79</v>
      </c>
      <c r="Z263" s="105">
        <v>0.82</v>
      </c>
      <c r="AA263" s="105">
        <v>50</v>
      </c>
    </row>
    <row r="264" spans="2:27">
      <c r="B264" s="105">
        <v>57</v>
      </c>
      <c r="C264" s="105">
        <v>48</v>
      </c>
      <c r="D264" s="105">
        <v>52</v>
      </c>
      <c r="E264" s="105">
        <v>60</v>
      </c>
      <c r="F264" s="105">
        <v>51</v>
      </c>
      <c r="G264" s="105">
        <v>57</v>
      </c>
      <c r="H264" s="105">
        <v>62</v>
      </c>
      <c r="I264" s="105">
        <v>71</v>
      </c>
      <c r="J264" s="110">
        <v>6</v>
      </c>
      <c r="U264" s="105">
        <v>0.62</v>
      </c>
      <c r="X264" s="105">
        <v>0.54</v>
      </c>
      <c r="Y264" s="105">
        <v>0.55000000000000004</v>
      </c>
      <c r="Z264" s="105">
        <v>0.57999999999999996</v>
      </c>
      <c r="AA264" s="105">
        <v>70</v>
      </c>
    </row>
    <row r="265" spans="2:27">
      <c r="B265" s="105">
        <v>77</v>
      </c>
      <c r="C265" s="105">
        <v>65</v>
      </c>
      <c r="D265" s="105">
        <v>70</v>
      </c>
      <c r="E265" s="105">
        <v>82</v>
      </c>
      <c r="F265" s="105">
        <v>69</v>
      </c>
      <c r="G265" s="105">
        <v>77</v>
      </c>
      <c r="H265" s="105">
        <v>84</v>
      </c>
      <c r="I265" s="105">
        <v>95</v>
      </c>
      <c r="J265" s="105">
        <v>10</v>
      </c>
      <c r="U265" s="105">
        <v>0.46</v>
      </c>
      <c r="X265" s="105">
        <v>0.4</v>
      </c>
      <c r="Y265" s="105">
        <v>0.41</v>
      </c>
      <c r="Z265" s="105">
        <v>0.44</v>
      </c>
      <c r="AA265" s="105">
        <v>95</v>
      </c>
    </row>
    <row r="266" spans="2:27">
      <c r="B266" s="105">
        <v>102</v>
      </c>
      <c r="C266" s="105">
        <v>86</v>
      </c>
      <c r="D266" s="105">
        <v>92</v>
      </c>
      <c r="E266" s="105">
        <v>109</v>
      </c>
      <c r="F266" s="105">
        <v>92</v>
      </c>
      <c r="G266" s="105">
        <v>102</v>
      </c>
      <c r="H266" s="105">
        <v>110</v>
      </c>
      <c r="I266" s="105">
        <v>125</v>
      </c>
      <c r="J266" s="110">
        <v>16</v>
      </c>
      <c r="U266" s="105">
        <v>0.37</v>
      </c>
      <c r="X266" s="105">
        <v>0.32</v>
      </c>
      <c r="Y266" s="105">
        <v>0.33</v>
      </c>
      <c r="Z266" s="105">
        <v>0.36</v>
      </c>
      <c r="AA266" s="105">
        <v>120</v>
      </c>
    </row>
    <row r="267" spans="2:27">
      <c r="B267" s="105">
        <v>133</v>
      </c>
      <c r="C267" s="105">
        <v>112</v>
      </c>
      <c r="D267" s="105">
        <v>120</v>
      </c>
      <c r="E267" s="105">
        <v>142</v>
      </c>
      <c r="F267" s="105">
        <v>120</v>
      </c>
      <c r="G267" s="105">
        <v>132</v>
      </c>
      <c r="H267" s="105">
        <v>142</v>
      </c>
      <c r="I267" s="105">
        <v>162</v>
      </c>
      <c r="J267" s="105">
        <v>25</v>
      </c>
      <c r="U267" s="105">
        <v>0.3</v>
      </c>
      <c r="X267" s="105">
        <v>0.26</v>
      </c>
      <c r="Y267" s="105">
        <v>0.28999999999999998</v>
      </c>
      <c r="Z267" s="105">
        <v>0.32</v>
      </c>
      <c r="AA267" s="105">
        <v>150</v>
      </c>
    </row>
    <row r="268" spans="2:27">
      <c r="B268" s="105">
        <v>163</v>
      </c>
      <c r="C268" s="105">
        <v>137</v>
      </c>
      <c r="D268" s="105">
        <v>147</v>
      </c>
      <c r="E268" s="105">
        <v>174</v>
      </c>
      <c r="F268" s="105">
        <v>147</v>
      </c>
      <c r="G268" s="105">
        <v>161</v>
      </c>
      <c r="H268" s="105">
        <v>173</v>
      </c>
      <c r="I268" s="105">
        <v>197</v>
      </c>
      <c r="J268" s="110">
        <v>35</v>
      </c>
      <c r="U268" s="105">
        <v>0.25</v>
      </c>
      <c r="X268" s="105">
        <v>0.21</v>
      </c>
      <c r="Y268" s="105">
        <v>0.25</v>
      </c>
      <c r="Z268" s="105">
        <v>0.28000000000000003</v>
      </c>
      <c r="AA268" s="105">
        <v>185</v>
      </c>
    </row>
    <row r="269" spans="2:27">
      <c r="B269" s="105">
        <v>202</v>
      </c>
      <c r="C269" s="105">
        <v>169</v>
      </c>
      <c r="D269" s="105">
        <v>181</v>
      </c>
      <c r="E269" s="105">
        <v>215</v>
      </c>
      <c r="F269" s="105">
        <v>182</v>
      </c>
      <c r="G269" s="105">
        <v>198</v>
      </c>
      <c r="H269" s="105">
        <v>213</v>
      </c>
      <c r="I269" s="105">
        <v>242</v>
      </c>
      <c r="J269" s="105">
        <v>50</v>
      </c>
      <c r="U269" s="105">
        <v>0.19</v>
      </c>
      <c r="X269" s="105">
        <v>0.16500000000000001</v>
      </c>
      <c r="Y269" s="105">
        <v>0.21</v>
      </c>
      <c r="Z269" s="105">
        <v>0.26</v>
      </c>
      <c r="AA269" s="105">
        <v>240</v>
      </c>
    </row>
    <row r="270" spans="2:27">
      <c r="B270" s="105">
        <v>247</v>
      </c>
      <c r="C270" s="105">
        <v>207</v>
      </c>
      <c r="D270" s="105">
        <v>221</v>
      </c>
      <c r="E270" s="105">
        <v>264</v>
      </c>
      <c r="F270" s="105">
        <v>223</v>
      </c>
      <c r="G270" s="105">
        <v>241</v>
      </c>
      <c r="H270" s="105">
        <v>259</v>
      </c>
      <c r="I270" s="105">
        <v>294</v>
      </c>
      <c r="J270" s="110">
        <v>70</v>
      </c>
    </row>
    <row r="271" spans="2:27">
      <c r="B271" s="105">
        <v>296</v>
      </c>
      <c r="C271" s="105">
        <v>249</v>
      </c>
      <c r="D271" s="105">
        <v>264</v>
      </c>
      <c r="E271" s="105">
        <v>317</v>
      </c>
      <c r="F271" s="105">
        <v>267</v>
      </c>
      <c r="G271" s="105">
        <v>289</v>
      </c>
      <c r="H271" s="105">
        <v>309</v>
      </c>
      <c r="I271" s="105">
        <v>351</v>
      </c>
      <c r="J271" s="105">
        <v>95</v>
      </c>
    </row>
    <row r="272" spans="2:27">
      <c r="B272" s="105">
        <v>340</v>
      </c>
      <c r="C272" s="105">
        <v>286</v>
      </c>
      <c r="D272" s="105">
        <v>303</v>
      </c>
      <c r="E272" s="105">
        <v>364</v>
      </c>
      <c r="F272" s="105">
        <v>308</v>
      </c>
      <c r="G272" s="105">
        <v>331</v>
      </c>
      <c r="H272" s="105">
        <v>353</v>
      </c>
      <c r="I272" s="105">
        <v>402</v>
      </c>
      <c r="J272" s="110">
        <v>120</v>
      </c>
    </row>
    <row r="273" spans="2:27">
      <c r="B273" s="105">
        <v>388</v>
      </c>
      <c r="C273" s="105">
        <v>327</v>
      </c>
      <c r="D273" s="105">
        <v>346</v>
      </c>
      <c r="E273" s="105">
        <v>416</v>
      </c>
      <c r="F273" s="105">
        <v>352</v>
      </c>
      <c r="G273" s="105">
        <v>377</v>
      </c>
      <c r="H273" s="105">
        <v>400</v>
      </c>
      <c r="I273" s="105">
        <v>454</v>
      </c>
      <c r="J273" s="105">
        <v>150</v>
      </c>
    </row>
    <row r="274" spans="2:27">
      <c r="B274" s="105">
        <v>440</v>
      </c>
      <c r="C274" s="105">
        <v>371</v>
      </c>
      <c r="D274" s="105">
        <v>392</v>
      </c>
      <c r="E274" s="105">
        <v>472</v>
      </c>
      <c r="F274" s="105">
        <v>399</v>
      </c>
      <c r="G274" s="105">
        <v>426</v>
      </c>
      <c r="H274" s="105">
        <v>446</v>
      </c>
      <c r="I274" s="105">
        <v>507</v>
      </c>
      <c r="J274" s="110">
        <v>185</v>
      </c>
    </row>
    <row r="275" spans="2:27">
      <c r="B275" s="105">
        <v>514</v>
      </c>
      <c r="C275" s="105">
        <v>434</v>
      </c>
      <c r="D275" s="105">
        <v>457</v>
      </c>
      <c r="E275" s="105">
        <v>552</v>
      </c>
      <c r="F275" s="105">
        <v>466</v>
      </c>
      <c r="G275" s="105">
        <v>496</v>
      </c>
      <c r="H275" s="105">
        <v>497</v>
      </c>
      <c r="I275" s="105">
        <v>565</v>
      </c>
      <c r="J275" s="105">
        <v>240</v>
      </c>
    </row>
    <row r="278" spans="2:27">
      <c r="B278" s="105" t="s">
        <v>2029</v>
      </c>
      <c r="U278" s="105" t="s">
        <v>2030</v>
      </c>
    </row>
    <row r="279" spans="2:27">
      <c r="I279" s="107"/>
    </row>
    <row r="280" spans="2:27" ht="85">
      <c r="B280" s="108" t="s">
        <v>1965</v>
      </c>
      <c r="C280" s="108" t="s">
        <v>2020</v>
      </c>
      <c r="D280" s="108" t="s">
        <v>2021</v>
      </c>
      <c r="E280" s="108" t="s">
        <v>2022</v>
      </c>
      <c r="F280" s="108" t="s">
        <v>2023</v>
      </c>
      <c r="G280" s="108" t="s">
        <v>2024</v>
      </c>
      <c r="H280" s="108" t="s">
        <v>2025</v>
      </c>
      <c r="I280" s="108" t="s">
        <v>2026</v>
      </c>
      <c r="J280" s="109" t="s">
        <v>1962</v>
      </c>
      <c r="U280" s="108" t="s">
        <v>1951</v>
      </c>
      <c r="V280" s="108" t="s">
        <v>1952</v>
      </c>
      <c r="W280" s="108" t="s">
        <v>1953</v>
      </c>
      <c r="X280" s="108" t="s">
        <v>1954</v>
      </c>
      <c r="Y280" s="108" t="s">
        <v>1965</v>
      </c>
      <c r="Z280" s="108" t="s">
        <v>1966</v>
      </c>
      <c r="AA280" s="108" t="s">
        <v>1962</v>
      </c>
    </row>
    <row r="281" spans="2:27">
      <c r="B281" s="106" t="s">
        <v>2027</v>
      </c>
      <c r="J281" s="110"/>
      <c r="U281" s="105">
        <v>47</v>
      </c>
      <c r="V281" s="105">
        <v>47</v>
      </c>
      <c r="W281" s="105">
        <v>40</v>
      </c>
      <c r="X281" s="105">
        <v>40</v>
      </c>
      <c r="Y281" s="105">
        <v>40</v>
      </c>
      <c r="Z281" s="105">
        <v>40</v>
      </c>
      <c r="AA281" s="105">
        <v>1</v>
      </c>
    </row>
    <row r="282" spans="2:27">
      <c r="B282" s="105">
        <v>22</v>
      </c>
      <c r="C282" s="105">
        <v>19</v>
      </c>
      <c r="D282" s="105">
        <v>21</v>
      </c>
      <c r="E282" s="105">
        <v>24</v>
      </c>
      <c r="F282" s="105">
        <v>21</v>
      </c>
      <c r="G282" s="105">
        <v>23</v>
      </c>
      <c r="H282" s="105">
        <v>26</v>
      </c>
      <c r="I282" s="105">
        <v>29</v>
      </c>
      <c r="J282" s="105">
        <v>1</v>
      </c>
      <c r="U282" s="105">
        <v>31</v>
      </c>
      <c r="V282" s="105">
        <v>31</v>
      </c>
      <c r="W282" s="105">
        <v>27</v>
      </c>
      <c r="X282" s="105">
        <v>27</v>
      </c>
      <c r="Y282" s="105">
        <v>27</v>
      </c>
      <c r="Z282" s="105">
        <v>27</v>
      </c>
      <c r="AA282" s="105">
        <v>1.5</v>
      </c>
    </row>
    <row r="283" spans="2:27">
      <c r="B283" s="105">
        <v>28</v>
      </c>
      <c r="C283" s="105">
        <v>24</v>
      </c>
      <c r="D283" s="105">
        <v>27</v>
      </c>
      <c r="E283" s="105">
        <v>31</v>
      </c>
      <c r="F283" s="105">
        <v>26</v>
      </c>
      <c r="G283" s="105">
        <v>29</v>
      </c>
      <c r="H283" s="105">
        <v>33</v>
      </c>
      <c r="I283" s="105">
        <v>37</v>
      </c>
      <c r="J283" s="105">
        <v>1.5</v>
      </c>
      <c r="U283" s="105">
        <v>19</v>
      </c>
      <c r="V283" s="105">
        <v>19</v>
      </c>
      <c r="W283" s="105">
        <v>16</v>
      </c>
      <c r="X283" s="105">
        <v>16</v>
      </c>
      <c r="Y283" s="105">
        <v>16</v>
      </c>
      <c r="Z283" s="105">
        <v>16</v>
      </c>
      <c r="AA283" s="105">
        <v>2.5</v>
      </c>
    </row>
    <row r="284" spans="2:27">
      <c r="B284" s="105">
        <v>38</v>
      </c>
      <c r="C284" s="105">
        <v>33</v>
      </c>
      <c r="D284" s="105">
        <v>36</v>
      </c>
      <c r="E284" s="105">
        <v>41</v>
      </c>
      <c r="F284" s="105">
        <v>35</v>
      </c>
      <c r="G284" s="105">
        <v>39</v>
      </c>
      <c r="H284" s="105">
        <v>43</v>
      </c>
      <c r="I284" s="105">
        <v>49</v>
      </c>
      <c r="J284" s="105">
        <v>2.5</v>
      </c>
      <c r="U284" s="105">
        <v>12</v>
      </c>
      <c r="V284" s="105">
        <v>12</v>
      </c>
      <c r="W284" s="105">
        <v>10</v>
      </c>
      <c r="X284" s="105">
        <v>10</v>
      </c>
      <c r="Y284" s="105">
        <v>10</v>
      </c>
      <c r="Z284" s="105">
        <v>10</v>
      </c>
      <c r="AA284" s="105">
        <v>4</v>
      </c>
    </row>
    <row r="285" spans="2:27">
      <c r="B285" s="111">
        <v>51</v>
      </c>
      <c r="C285" s="111">
        <v>44</v>
      </c>
      <c r="D285" s="111">
        <v>47</v>
      </c>
      <c r="E285" s="111">
        <v>54</v>
      </c>
      <c r="F285" s="111">
        <v>46</v>
      </c>
      <c r="G285" s="111">
        <v>51</v>
      </c>
      <c r="H285" s="111">
        <v>56</v>
      </c>
      <c r="I285" s="111">
        <v>64</v>
      </c>
      <c r="J285" s="111">
        <v>4</v>
      </c>
      <c r="U285" s="105">
        <v>7.8</v>
      </c>
      <c r="V285" s="105">
        <v>7.8</v>
      </c>
      <c r="W285" s="105">
        <v>6.8</v>
      </c>
      <c r="X285" s="105">
        <v>6.8</v>
      </c>
      <c r="Y285" s="105">
        <v>6.8</v>
      </c>
      <c r="Z285" s="105">
        <v>6.8</v>
      </c>
      <c r="AA285" s="105">
        <v>6</v>
      </c>
    </row>
    <row r="286" spans="2:27">
      <c r="B286" s="106" t="s">
        <v>2028</v>
      </c>
      <c r="U286" s="105">
        <v>4.7</v>
      </c>
      <c r="V286" s="105">
        <v>4.7</v>
      </c>
      <c r="W286" s="105">
        <v>4.0999999999999996</v>
      </c>
      <c r="X286" s="105">
        <v>4.0999999999999996</v>
      </c>
      <c r="Y286" s="105">
        <v>4.0999999999999996</v>
      </c>
      <c r="Z286" s="105">
        <v>4.0999999999999996</v>
      </c>
      <c r="AA286" s="105">
        <v>10</v>
      </c>
    </row>
    <row r="287" spans="2:27">
      <c r="B287" s="105">
        <v>24</v>
      </c>
      <c r="C287" s="105">
        <v>20</v>
      </c>
      <c r="D287" s="105">
        <v>24</v>
      </c>
      <c r="E287" s="105">
        <v>26</v>
      </c>
      <c r="F287" s="105">
        <v>22</v>
      </c>
      <c r="G287" s="105">
        <v>25</v>
      </c>
      <c r="H287" s="105">
        <v>28</v>
      </c>
      <c r="I287" s="105">
        <v>32</v>
      </c>
      <c r="J287" s="110">
        <v>1</v>
      </c>
      <c r="U287" s="105">
        <v>3</v>
      </c>
      <c r="V287" s="105">
        <v>3</v>
      </c>
      <c r="W287" s="105">
        <v>2.6</v>
      </c>
      <c r="X287" s="105">
        <v>2.6</v>
      </c>
      <c r="Y287" s="105">
        <v>2.6</v>
      </c>
      <c r="Z287" s="105">
        <v>2.6</v>
      </c>
      <c r="AA287" s="105">
        <v>16</v>
      </c>
    </row>
    <row r="288" spans="2:27">
      <c r="B288" s="105">
        <v>31</v>
      </c>
      <c r="C288" s="105">
        <v>26</v>
      </c>
      <c r="D288" s="105">
        <v>30</v>
      </c>
      <c r="E288" s="105">
        <v>33</v>
      </c>
      <c r="F288" s="105">
        <v>28</v>
      </c>
      <c r="G288" s="105">
        <v>32</v>
      </c>
      <c r="H288" s="105">
        <v>35</v>
      </c>
      <c r="I288" s="105">
        <v>40</v>
      </c>
      <c r="J288" s="105">
        <v>1.5</v>
      </c>
      <c r="U288" s="105">
        <v>1.85</v>
      </c>
      <c r="V288" s="105">
        <v>1.85</v>
      </c>
      <c r="W288" s="105">
        <v>1.6</v>
      </c>
      <c r="X288" s="105">
        <v>1.6</v>
      </c>
      <c r="Y288" s="105">
        <v>1.6</v>
      </c>
      <c r="Z288" s="105">
        <v>1.6</v>
      </c>
      <c r="AA288" s="105">
        <v>25</v>
      </c>
    </row>
    <row r="289" spans="2:27">
      <c r="B289" s="105">
        <v>42</v>
      </c>
      <c r="C289" s="105">
        <v>35</v>
      </c>
      <c r="D289" s="105">
        <v>41</v>
      </c>
      <c r="E289" s="105">
        <v>45</v>
      </c>
      <c r="F289" s="105">
        <v>38</v>
      </c>
      <c r="G289" s="105">
        <v>43</v>
      </c>
      <c r="H289" s="105">
        <v>47</v>
      </c>
      <c r="I289" s="105">
        <v>54</v>
      </c>
      <c r="J289" s="110">
        <v>2.5</v>
      </c>
      <c r="U289" s="105">
        <v>1.35</v>
      </c>
      <c r="X289" s="105">
        <v>1.1499999999999999</v>
      </c>
      <c r="Y289" s="105">
        <v>1.1499999999999999</v>
      </c>
      <c r="Z289" s="105">
        <v>1.2</v>
      </c>
      <c r="AA289" s="105">
        <v>35</v>
      </c>
    </row>
    <row r="290" spans="2:27">
      <c r="B290" s="105">
        <v>55</v>
      </c>
      <c r="C290" s="105">
        <v>47</v>
      </c>
      <c r="D290" s="105">
        <v>53</v>
      </c>
      <c r="E290" s="105">
        <v>60</v>
      </c>
      <c r="F290" s="105">
        <v>50</v>
      </c>
      <c r="G290" s="105">
        <v>56</v>
      </c>
      <c r="H290" s="105">
        <v>61</v>
      </c>
      <c r="I290" s="105">
        <v>70</v>
      </c>
      <c r="J290" s="105">
        <v>4</v>
      </c>
      <c r="U290" s="105">
        <v>1</v>
      </c>
      <c r="X290" s="105">
        <v>0.87</v>
      </c>
      <c r="Y290" s="105">
        <v>0.88</v>
      </c>
      <c r="Z290" s="105">
        <v>0.9</v>
      </c>
      <c r="AA290" s="105">
        <v>50</v>
      </c>
    </row>
    <row r="291" spans="2:27">
      <c r="B291" s="105">
        <v>70</v>
      </c>
      <c r="C291" s="105">
        <v>59</v>
      </c>
      <c r="D291" s="105">
        <v>67</v>
      </c>
      <c r="E291" s="105">
        <v>76</v>
      </c>
      <c r="F291" s="105">
        <v>64</v>
      </c>
      <c r="G291" s="105">
        <v>71</v>
      </c>
      <c r="H291" s="105">
        <v>78</v>
      </c>
      <c r="I291" s="105">
        <v>89</v>
      </c>
      <c r="J291" s="110">
        <v>6</v>
      </c>
      <c r="U291" s="105">
        <v>0.69</v>
      </c>
      <c r="X291" s="105">
        <v>0.6</v>
      </c>
      <c r="Y291" s="105">
        <v>0.61</v>
      </c>
      <c r="Z291" s="105">
        <v>0.63</v>
      </c>
      <c r="AA291" s="105">
        <v>70</v>
      </c>
    </row>
    <row r="292" spans="2:27">
      <c r="B292" s="105">
        <v>96</v>
      </c>
      <c r="C292" s="105">
        <v>81</v>
      </c>
      <c r="D292" s="105">
        <v>91</v>
      </c>
      <c r="E292" s="105">
        <v>104</v>
      </c>
      <c r="F292" s="105">
        <v>87</v>
      </c>
      <c r="G292" s="105">
        <v>96</v>
      </c>
      <c r="H292" s="105">
        <v>105</v>
      </c>
      <c r="I292" s="105">
        <v>120</v>
      </c>
      <c r="J292" s="105">
        <v>10</v>
      </c>
      <c r="U292" s="105">
        <v>0.51</v>
      </c>
      <c r="X292" s="105">
        <v>0.45</v>
      </c>
      <c r="Y292" s="105">
        <v>0.46</v>
      </c>
      <c r="Z292" s="105">
        <v>0.48</v>
      </c>
      <c r="AA292" s="105">
        <v>95</v>
      </c>
    </row>
    <row r="293" spans="2:27">
      <c r="B293" s="105">
        <v>127</v>
      </c>
      <c r="C293" s="105">
        <v>107</v>
      </c>
      <c r="D293" s="105">
        <v>119</v>
      </c>
      <c r="E293" s="105">
        <v>137</v>
      </c>
      <c r="F293" s="105">
        <v>115</v>
      </c>
      <c r="G293" s="105">
        <v>127</v>
      </c>
      <c r="H293" s="105">
        <v>137</v>
      </c>
      <c r="I293" s="105">
        <v>157</v>
      </c>
      <c r="J293" s="110">
        <v>16</v>
      </c>
      <c r="U293" s="105">
        <v>0.41</v>
      </c>
      <c r="X293" s="105">
        <v>0.36</v>
      </c>
      <c r="Y293" s="105">
        <v>0.37</v>
      </c>
      <c r="Z293" s="105">
        <v>0.39</v>
      </c>
      <c r="AA293" s="105">
        <v>120</v>
      </c>
    </row>
    <row r="294" spans="2:27">
      <c r="B294" s="105">
        <v>166</v>
      </c>
      <c r="C294" s="105">
        <v>140</v>
      </c>
      <c r="D294" s="105">
        <v>154</v>
      </c>
      <c r="E294" s="105">
        <v>179</v>
      </c>
      <c r="F294" s="105">
        <v>150</v>
      </c>
      <c r="G294" s="105">
        <v>164</v>
      </c>
      <c r="H294" s="105">
        <v>178</v>
      </c>
      <c r="I294" s="105">
        <v>204</v>
      </c>
      <c r="J294" s="105">
        <v>25</v>
      </c>
      <c r="U294" s="105">
        <v>0.33</v>
      </c>
      <c r="X294" s="105">
        <v>0.28999999999999998</v>
      </c>
      <c r="Y294" s="105">
        <v>0.31</v>
      </c>
      <c r="Z294" s="105">
        <v>0.34</v>
      </c>
      <c r="AA294" s="105">
        <v>150</v>
      </c>
    </row>
    <row r="295" spans="2:27">
      <c r="B295" s="105">
        <v>203</v>
      </c>
      <c r="C295" s="105">
        <v>171</v>
      </c>
      <c r="D295" s="105">
        <v>187</v>
      </c>
      <c r="E295" s="105">
        <v>220</v>
      </c>
      <c r="F295" s="105">
        <v>184</v>
      </c>
      <c r="G295" s="105">
        <v>200</v>
      </c>
      <c r="H295" s="105">
        <v>216</v>
      </c>
      <c r="I295" s="105">
        <v>248</v>
      </c>
      <c r="J295" s="110">
        <v>35</v>
      </c>
      <c r="U295" s="105">
        <v>0.27</v>
      </c>
      <c r="X295" s="105">
        <v>0.23</v>
      </c>
      <c r="Y295" s="105">
        <v>0.26</v>
      </c>
      <c r="Z295" s="105">
        <v>0.28999999999999998</v>
      </c>
      <c r="AA295" s="105">
        <v>185</v>
      </c>
    </row>
    <row r="296" spans="2:27">
      <c r="B296" s="105">
        <v>251</v>
      </c>
      <c r="C296" s="105">
        <v>212</v>
      </c>
      <c r="D296" s="105">
        <v>230</v>
      </c>
      <c r="E296" s="105">
        <v>272</v>
      </c>
      <c r="F296" s="105">
        <v>228</v>
      </c>
      <c r="G296" s="105">
        <v>247</v>
      </c>
      <c r="H296" s="105">
        <v>266</v>
      </c>
      <c r="I296" s="105">
        <v>304</v>
      </c>
      <c r="J296" s="105">
        <v>50</v>
      </c>
      <c r="U296" s="105">
        <v>0.21</v>
      </c>
      <c r="X296" s="105">
        <v>0.18</v>
      </c>
      <c r="Y296" s="105">
        <v>0.22</v>
      </c>
      <c r="Z296" s="105">
        <v>0.26</v>
      </c>
      <c r="AA296" s="105">
        <v>240</v>
      </c>
    </row>
    <row r="297" spans="2:27">
      <c r="B297" s="105">
        <v>307</v>
      </c>
      <c r="C297" s="105">
        <v>260</v>
      </c>
      <c r="D297" s="105">
        <v>280</v>
      </c>
      <c r="E297" s="105">
        <v>333</v>
      </c>
      <c r="F297" s="105">
        <v>279</v>
      </c>
      <c r="G297" s="105">
        <v>300</v>
      </c>
      <c r="H297" s="105">
        <v>323</v>
      </c>
      <c r="I297" s="105">
        <v>370</v>
      </c>
      <c r="J297" s="110">
        <v>70</v>
      </c>
    </row>
    <row r="298" spans="2:27">
      <c r="B298" s="105">
        <v>369</v>
      </c>
      <c r="C298" s="105">
        <v>312</v>
      </c>
      <c r="D298" s="105">
        <v>334</v>
      </c>
      <c r="E298" s="105">
        <v>400</v>
      </c>
      <c r="F298" s="105">
        <v>335</v>
      </c>
      <c r="G298" s="105">
        <v>359</v>
      </c>
      <c r="H298" s="105">
        <v>385</v>
      </c>
      <c r="I298" s="105">
        <v>441</v>
      </c>
      <c r="J298" s="105">
        <v>95</v>
      </c>
    </row>
    <row r="299" spans="2:27">
      <c r="B299" s="105">
        <v>424</v>
      </c>
      <c r="C299" s="105">
        <v>359</v>
      </c>
      <c r="D299" s="105">
        <v>383</v>
      </c>
      <c r="E299" s="105">
        <v>460</v>
      </c>
      <c r="F299" s="105">
        <v>385</v>
      </c>
      <c r="G299" s="105">
        <v>411</v>
      </c>
      <c r="H299" s="105">
        <v>441</v>
      </c>
      <c r="I299" s="105">
        <v>505</v>
      </c>
      <c r="J299" s="110">
        <v>120</v>
      </c>
    </row>
    <row r="300" spans="2:27">
      <c r="B300" s="105">
        <v>485</v>
      </c>
      <c r="C300" s="105">
        <v>410</v>
      </c>
      <c r="D300" s="105">
        <v>435</v>
      </c>
      <c r="E300" s="105">
        <v>526</v>
      </c>
      <c r="F300" s="105">
        <v>441</v>
      </c>
      <c r="G300" s="105">
        <v>469</v>
      </c>
      <c r="H300" s="105">
        <v>498</v>
      </c>
      <c r="I300" s="105">
        <v>565</v>
      </c>
      <c r="J300" s="105">
        <v>150</v>
      </c>
    </row>
    <row r="301" spans="2:27">
      <c r="B301" s="105">
        <v>550</v>
      </c>
      <c r="C301" s="105">
        <v>465</v>
      </c>
      <c r="D301" s="105">
        <v>392</v>
      </c>
      <c r="E301" s="105">
        <v>596</v>
      </c>
      <c r="F301" s="105">
        <v>500</v>
      </c>
      <c r="G301" s="105">
        <v>530</v>
      </c>
      <c r="H301" s="105">
        <v>557</v>
      </c>
      <c r="I301" s="105">
        <v>629</v>
      </c>
      <c r="J301" s="110">
        <v>185</v>
      </c>
    </row>
    <row r="302" spans="2:27">
      <c r="B302" s="105">
        <v>643</v>
      </c>
      <c r="C302" s="105">
        <v>544</v>
      </c>
      <c r="D302" s="105">
        <v>572</v>
      </c>
      <c r="E302" s="105">
        <v>697</v>
      </c>
      <c r="F302" s="105">
        <v>584</v>
      </c>
      <c r="G302" s="105">
        <v>617</v>
      </c>
      <c r="H302" s="105">
        <v>624</v>
      </c>
      <c r="I302" s="105">
        <v>704</v>
      </c>
      <c r="J302" s="105">
        <v>240</v>
      </c>
    </row>
    <row r="305" spans="2:29">
      <c r="B305" s="105" t="s">
        <v>2031</v>
      </c>
      <c r="U305" s="105" t="s">
        <v>2032</v>
      </c>
    </row>
    <row r="306" spans="2:29">
      <c r="I306" s="107"/>
    </row>
    <row r="307" spans="2:29" ht="68">
      <c r="B307" s="108" t="s">
        <v>1951</v>
      </c>
      <c r="C307" s="108" t="s">
        <v>1952</v>
      </c>
      <c r="D307" s="108" t="s">
        <v>1953</v>
      </c>
      <c r="E307" s="108" t="s">
        <v>1954</v>
      </c>
      <c r="F307" s="108" t="s">
        <v>1955</v>
      </c>
      <c r="G307" s="108" t="s">
        <v>1956</v>
      </c>
      <c r="H307" s="108" t="s">
        <v>1957</v>
      </c>
      <c r="I307" s="108" t="s">
        <v>1958</v>
      </c>
      <c r="J307" s="108" t="s">
        <v>1959</v>
      </c>
      <c r="K307" s="108" t="s">
        <v>1960</v>
      </c>
      <c r="L307" s="108" t="s">
        <v>1961</v>
      </c>
      <c r="M307" s="109" t="s">
        <v>1962</v>
      </c>
      <c r="U307" s="108" t="s">
        <v>1951</v>
      </c>
      <c r="V307" s="108" t="s">
        <v>1952</v>
      </c>
      <c r="W307" s="108" t="s">
        <v>1953</v>
      </c>
      <c r="X307" s="108" t="s">
        <v>1954</v>
      </c>
      <c r="Y307" s="108" t="s">
        <v>1965</v>
      </c>
      <c r="Z307" s="108" t="s">
        <v>1966</v>
      </c>
      <c r="AA307" s="108" t="s">
        <v>2033</v>
      </c>
      <c r="AB307" s="108" t="s">
        <v>2034</v>
      </c>
      <c r="AC307" s="108" t="s">
        <v>1962</v>
      </c>
    </row>
    <row r="308" spans="2:29">
      <c r="B308" s="105">
        <v>93</v>
      </c>
      <c r="C308" s="105">
        <v>84</v>
      </c>
      <c r="D308" s="105">
        <v>118</v>
      </c>
      <c r="E308" s="105">
        <v>104</v>
      </c>
      <c r="F308" s="105">
        <v>125</v>
      </c>
      <c r="G308" s="105">
        <v>110</v>
      </c>
      <c r="H308" s="105">
        <v>149</v>
      </c>
      <c r="I308" s="105">
        <v>133</v>
      </c>
      <c r="J308" s="105">
        <v>128</v>
      </c>
      <c r="K308" s="105">
        <v>169</v>
      </c>
      <c r="L308" s="105">
        <v>152</v>
      </c>
      <c r="M308" s="105">
        <v>50</v>
      </c>
      <c r="U308" s="105">
        <v>1.55</v>
      </c>
      <c r="V308" s="105">
        <v>1.6</v>
      </c>
      <c r="W308" s="105">
        <v>1.55</v>
      </c>
      <c r="X308" s="105">
        <v>1.55</v>
      </c>
      <c r="Y308" s="105">
        <v>1.35</v>
      </c>
      <c r="Z308" s="105">
        <v>1.35</v>
      </c>
      <c r="AA308" s="105">
        <v>1.35</v>
      </c>
      <c r="AB308" s="105">
        <v>1.35</v>
      </c>
      <c r="AC308" s="105">
        <v>50</v>
      </c>
    </row>
    <row r="309" spans="2:29">
      <c r="B309" s="105">
        <v>118</v>
      </c>
      <c r="C309" s="105">
        <v>107</v>
      </c>
      <c r="D309" s="105">
        <v>150</v>
      </c>
      <c r="E309" s="105">
        <v>133</v>
      </c>
      <c r="F309" s="105">
        <v>160</v>
      </c>
      <c r="G309" s="105">
        <v>140</v>
      </c>
      <c r="H309" s="105">
        <v>192</v>
      </c>
      <c r="I309" s="105">
        <v>173</v>
      </c>
      <c r="J309" s="105">
        <v>166</v>
      </c>
      <c r="K309" s="105">
        <v>217</v>
      </c>
      <c r="L309" s="105">
        <v>196</v>
      </c>
      <c r="M309" s="105">
        <v>70</v>
      </c>
      <c r="U309" s="105">
        <v>1.05</v>
      </c>
      <c r="V309" s="105">
        <v>1.1000000000000001</v>
      </c>
      <c r="W309" s="105">
        <v>1.05</v>
      </c>
      <c r="X309" s="105">
        <v>1.05</v>
      </c>
      <c r="Y309" s="105">
        <v>0.94</v>
      </c>
      <c r="Z309" s="105">
        <v>0.91</v>
      </c>
      <c r="AA309" s="105">
        <v>0.91</v>
      </c>
      <c r="AB309" s="105">
        <v>0.91</v>
      </c>
      <c r="AC309" s="105">
        <v>70</v>
      </c>
    </row>
    <row r="310" spans="2:29">
      <c r="B310" s="105">
        <v>142</v>
      </c>
      <c r="C310" s="105">
        <v>129</v>
      </c>
      <c r="D310" s="105">
        <v>181</v>
      </c>
      <c r="E310" s="105">
        <v>161</v>
      </c>
      <c r="F310" s="105">
        <v>195</v>
      </c>
      <c r="G310" s="105">
        <v>170</v>
      </c>
      <c r="H310" s="105">
        <v>235</v>
      </c>
      <c r="I310" s="105">
        <v>212</v>
      </c>
      <c r="J310" s="105">
        <v>203</v>
      </c>
      <c r="K310" s="105">
        <v>265</v>
      </c>
      <c r="L310" s="105">
        <v>241</v>
      </c>
      <c r="M310" s="105">
        <v>95</v>
      </c>
      <c r="U310" s="105">
        <v>0.77</v>
      </c>
      <c r="V310" s="105">
        <v>0.81</v>
      </c>
      <c r="W310" s="105">
        <v>0.77</v>
      </c>
      <c r="X310" s="105">
        <v>0.77</v>
      </c>
      <c r="Y310" s="105">
        <v>0.7</v>
      </c>
      <c r="Z310" s="105">
        <v>0.67</v>
      </c>
      <c r="AA310" s="105">
        <v>0.67</v>
      </c>
      <c r="AB310" s="105">
        <v>0.67</v>
      </c>
      <c r="AC310" s="105">
        <v>95</v>
      </c>
    </row>
    <row r="311" spans="2:29">
      <c r="B311" s="105">
        <v>164</v>
      </c>
      <c r="C311" s="105">
        <v>149</v>
      </c>
      <c r="D311" s="105">
        <v>210</v>
      </c>
      <c r="E311" s="105">
        <v>186</v>
      </c>
      <c r="F311" s="105">
        <v>226</v>
      </c>
      <c r="G311" s="105">
        <v>197</v>
      </c>
      <c r="H311" s="105">
        <v>273</v>
      </c>
      <c r="I311" s="105">
        <v>247</v>
      </c>
      <c r="J311" s="105">
        <v>237</v>
      </c>
      <c r="K311" s="105">
        <v>308</v>
      </c>
      <c r="L311" s="105">
        <v>282</v>
      </c>
      <c r="M311" s="105">
        <v>120</v>
      </c>
      <c r="U311" s="105">
        <v>0.61</v>
      </c>
      <c r="V311" s="105">
        <v>0.64</v>
      </c>
      <c r="W311" s="105">
        <v>0.61</v>
      </c>
      <c r="X311" s="105">
        <v>0.61</v>
      </c>
      <c r="Y311" s="105">
        <v>0.55000000000000004</v>
      </c>
      <c r="Z311" s="105">
        <v>0.53</v>
      </c>
      <c r="AA311" s="105">
        <v>0.53</v>
      </c>
      <c r="AB311" s="105">
        <v>0.53</v>
      </c>
      <c r="AC311" s="105">
        <v>120</v>
      </c>
    </row>
    <row r="312" spans="2:29">
      <c r="B312" s="105">
        <v>189</v>
      </c>
      <c r="C312" s="105">
        <v>170</v>
      </c>
      <c r="D312" s="105">
        <v>234</v>
      </c>
      <c r="E312" s="105">
        <v>204</v>
      </c>
      <c r="F312" s="105">
        <v>261</v>
      </c>
      <c r="G312" s="105">
        <v>227</v>
      </c>
      <c r="H312" s="105">
        <v>316</v>
      </c>
      <c r="I312" s="105">
        <v>287</v>
      </c>
      <c r="J312" s="105">
        <v>274</v>
      </c>
      <c r="K312" s="105">
        <v>356</v>
      </c>
      <c r="L312" s="105">
        <v>327</v>
      </c>
      <c r="M312" s="105">
        <v>150</v>
      </c>
      <c r="U312" s="105">
        <v>0.49</v>
      </c>
      <c r="V312" s="105">
        <v>0.51</v>
      </c>
      <c r="W312" s="105">
        <v>0.49</v>
      </c>
      <c r="X312" s="105">
        <v>0.49</v>
      </c>
      <c r="Y312" s="105">
        <v>0.45</v>
      </c>
      <c r="Z312" s="105">
        <v>0.42</v>
      </c>
      <c r="AA312" s="105">
        <v>0.42</v>
      </c>
      <c r="AB312" s="105">
        <v>0.42</v>
      </c>
      <c r="AC312" s="105">
        <v>150</v>
      </c>
    </row>
    <row r="313" spans="2:29">
      <c r="B313" s="105">
        <v>215</v>
      </c>
      <c r="C313" s="105">
        <v>194</v>
      </c>
      <c r="D313" s="105">
        <v>266</v>
      </c>
      <c r="E313" s="105">
        <v>230</v>
      </c>
      <c r="F313" s="105">
        <v>298</v>
      </c>
      <c r="G313" s="105">
        <v>259</v>
      </c>
      <c r="H313" s="105">
        <v>363</v>
      </c>
      <c r="I313" s="105">
        <v>330</v>
      </c>
      <c r="J313" s="105">
        <v>316</v>
      </c>
      <c r="K313" s="105">
        <v>407</v>
      </c>
      <c r="L313" s="105">
        <v>376</v>
      </c>
      <c r="M313" s="105">
        <v>185</v>
      </c>
      <c r="U313" s="105">
        <v>0.39</v>
      </c>
      <c r="V313" s="105">
        <v>0.42</v>
      </c>
      <c r="W313" s="105">
        <v>0.4</v>
      </c>
      <c r="X313" s="105">
        <v>0.4</v>
      </c>
      <c r="Y313" s="105">
        <v>0.36</v>
      </c>
      <c r="Z313" s="105">
        <v>0.34</v>
      </c>
      <c r="AA313" s="105">
        <v>0.34</v>
      </c>
      <c r="AB313" s="105">
        <v>0.34</v>
      </c>
      <c r="AC313" s="105">
        <v>185</v>
      </c>
    </row>
    <row r="314" spans="2:29">
      <c r="B314" s="105">
        <v>252</v>
      </c>
      <c r="C314" s="105">
        <v>227</v>
      </c>
      <c r="D314" s="105">
        <v>312</v>
      </c>
      <c r="E314" s="105">
        <v>269</v>
      </c>
      <c r="F314" s="105">
        <v>352</v>
      </c>
      <c r="G314" s="105">
        <v>305</v>
      </c>
      <c r="H314" s="105">
        <v>430</v>
      </c>
      <c r="I314" s="105">
        <v>392</v>
      </c>
      <c r="J314" s="105">
        <v>375</v>
      </c>
      <c r="K314" s="105">
        <v>482</v>
      </c>
      <c r="L314" s="105">
        <v>447</v>
      </c>
      <c r="M314" s="105">
        <v>240</v>
      </c>
      <c r="U314" s="105">
        <v>0.3</v>
      </c>
      <c r="V314" s="105">
        <v>0.32</v>
      </c>
      <c r="W314" s="105">
        <v>0.3</v>
      </c>
      <c r="X314" s="105">
        <v>0.3</v>
      </c>
      <c r="Y314" s="105">
        <v>0.28000000000000003</v>
      </c>
      <c r="Z314" s="105">
        <v>0.26</v>
      </c>
      <c r="AA314" s="105">
        <v>0.26</v>
      </c>
      <c r="AB314" s="105">
        <v>0.26</v>
      </c>
      <c r="AC314" s="105">
        <v>240</v>
      </c>
    </row>
    <row r="315" spans="2:29">
      <c r="B315" s="105">
        <v>289</v>
      </c>
      <c r="C315" s="105">
        <v>261</v>
      </c>
      <c r="D315" s="105">
        <v>358</v>
      </c>
      <c r="E315" s="105">
        <v>306</v>
      </c>
      <c r="F315" s="105">
        <v>406</v>
      </c>
      <c r="G315" s="105">
        <v>351</v>
      </c>
      <c r="H315" s="105">
        <v>497</v>
      </c>
      <c r="I315" s="105">
        <v>455</v>
      </c>
      <c r="J315" s="105">
        <v>434</v>
      </c>
      <c r="K315" s="105">
        <v>557</v>
      </c>
      <c r="L315" s="105">
        <v>519</v>
      </c>
      <c r="M315" s="105">
        <v>300</v>
      </c>
      <c r="U315" s="105">
        <v>0.24</v>
      </c>
      <c r="V315" s="105">
        <v>0.26</v>
      </c>
      <c r="W315" s="105">
        <v>0.24</v>
      </c>
      <c r="X315" s="105">
        <v>0.24</v>
      </c>
      <c r="Y315" s="105">
        <v>0.23</v>
      </c>
      <c r="Z315" s="105">
        <v>0.21</v>
      </c>
      <c r="AA315" s="105">
        <v>0.21</v>
      </c>
      <c r="AB315" s="105">
        <v>0.21</v>
      </c>
      <c r="AC315" s="105">
        <v>300</v>
      </c>
    </row>
    <row r="316" spans="2:29">
      <c r="D316" s="105">
        <v>413</v>
      </c>
      <c r="E316" s="105">
        <v>352</v>
      </c>
      <c r="F316" s="105">
        <v>511</v>
      </c>
      <c r="G316" s="105">
        <v>472</v>
      </c>
      <c r="H316" s="105">
        <v>543</v>
      </c>
      <c r="I316" s="105">
        <v>502</v>
      </c>
      <c r="J316" s="105">
        <v>507</v>
      </c>
      <c r="K316" s="105">
        <v>625</v>
      </c>
      <c r="L316" s="105">
        <v>584</v>
      </c>
      <c r="M316" s="105">
        <v>380</v>
      </c>
      <c r="U316" s="105">
        <v>0.19</v>
      </c>
      <c r="V316" s="105">
        <v>0.22</v>
      </c>
      <c r="W316" s="105">
        <v>0.19500000000000001</v>
      </c>
      <c r="X316" s="105">
        <v>0.19500000000000001</v>
      </c>
      <c r="Y316" s="105">
        <v>0.19</v>
      </c>
      <c r="Z316" s="105">
        <v>0.17</v>
      </c>
      <c r="AA316" s="105">
        <v>0.17</v>
      </c>
      <c r="AB316" s="105">
        <v>0.17</v>
      </c>
      <c r="AC316" s="105">
        <v>380</v>
      </c>
    </row>
    <row r="317" spans="2:29">
      <c r="D317" s="105">
        <v>477</v>
      </c>
      <c r="E317" s="105">
        <v>405</v>
      </c>
      <c r="F317" s="105">
        <v>591</v>
      </c>
      <c r="G317" s="105">
        <v>546</v>
      </c>
      <c r="H317" s="105">
        <v>629</v>
      </c>
      <c r="I317" s="105">
        <v>582</v>
      </c>
      <c r="J317" s="105">
        <v>590</v>
      </c>
      <c r="K317" s="105">
        <v>726</v>
      </c>
      <c r="L317" s="105">
        <v>680</v>
      </c>
      <c r="M317" s="105">
        <v>480</v>
      </c>
      <c r="U317" s="105">
        <v>0.15</v>
      </c>
      <c r="V317" s="105">
        <v>0.18</v>
      </c>
      <c r="W317" s="105">
        <v>0.155</v>
      </c>
      <c r="X317" s="105">
        <v>0.155</v>
      </c>
      <c r="Y317" s="105">
        <v>0.155</v>
      </c>
      <c r="Z317" s="105">
        <v>0.14000000000000001</v>
      </c>
      <c r="AA317" s="105">
        <v>0.14000000000000001</v>
      </c>
      <c r="AB317" s="105">
        <v>0.13500000000000001</v>
      </c>
      <c r="AC317" s="105">
        <v>480</v>
      </c>
    </row>
    <row r="318" spans="2:29">
      <c r="D318" s="105">
        <v>545</v>
      </c>
      <c r="E318" s="105">
        <v>462</v>
      </c>
      <c r="F318" s="105">
        <v>679</v>
      </c>
      <c r="G318" s="105">
        <v>626</v>
      </c>
      <c r="H318" s="105">
        <v>722</v>
      </c>
      <c r="I318" s="105">
        <v>669</v>
      </c>
      <c r="J318" s="105">
        <v>680</v>
      </c>
      <c r="K318" s="105">
        <v>837</v>
      </c>
      <c r="L318" s="105">
        <v>787</v>
      </c>
      <c r="M318" s="105">
        <v>600</v>
      </c>
      <c r="U318" s="105">
        <v>0.12</v>
      </c>
      <c r="V318" s="105">
        <v>0.15</v>
      </c>
      <c r="W318" s="105">
        <v>0.13</v>
      </c>
      <c r="X318" s="105">
        <v>0.125</v>
      </c>
      <c r="Y318" s="105">
        <v>0.125</v>
      </c>
      <c r="Z318" s="105">
        <v>0.11</v>
      </c>
      <c r="AA318" s="105">
        <v>0.11</v>
      </c>
      <c r="AB318" s="105">
        <v>0.11</v>
      </c>
      <c r="AC318" s="105">
        <v>600</v>
      </c>
    </row>
    <row r="319" spans="2:29">
      <c r="F319" s="105">
        <v>771</v>
      </c>
      <c r="G319" s="105">
        <v>709</v>
      </c>
      <c r="H319" s="105">
        <v>820</v>
      </c>
      <c r="I319" s="105">
        <v>761</v>
      </c>
      <c r="J319" s="105">
        <v>776</v>
      </c>
      <c r="K319" s="105">
        <v>956</v>
      </c>
      <c r="L319" s="105">
        <v>902</v>
      </c>
      <c r="M319" s="105">
        <v>740</v>
      </c>
      <c r="U319" s="105">
        <v>9.9000000000000005E-2</v>
      </c>
      <c r="W319" s="105">
        <v>0.105</v>
      </c>
      <c r="X319" s="105">
        <v>0.1</v>
      </c>
      <c r="Z319" s="105">
        <v>9.4E-2</v>
      </c>
      <c r="AA319" s="105">
        <v>9.4E-2</v>
      </c>
      <c r="AB319" s="105">
        <v>8.8999999999999996E-2</v>
      </c>
      <c r="AC319" s="105">
        <v>740</v>
      </c>
    </row>
    <row r="320" spans="2:29">
      <c r="F320" s="105">
        <v>900</v>
      </c>
      <c r="G320" s="105">
        <v>823</v>
      </c>
      <c r="H320" s="105">
        <v>953</v>
      </c>
      <c r="I320" s="105">
        <v>886</v>
      </c>
      <c r="J320" s="105">
        <v>907</v>
      </c>
      <c r="K320" s="105">
        <v>1125</v>
      </c>
      <c r="L320" s="105">
        <v>1066</v>
      </c>
      <c r="M320" s="105">
        <v>960</v>
      </c>
      <c r="U320" s="105">
        <v>7.4999999999999997E-2</v>
      </c>
      <c r="W320" s="105">
        <v>8.5999999999999993E-2</v>
      </c>
      <c r="X320" s="105">
        <v>8.2000000000000003E-2</v>
      </c>
      <c r="Z320" s="105">
        <v>7.6999999999999999E-2</v>
      </c>
      <c r="AA320" s="105">
        <v>7.6999999999999999E-2</v>
      </c>
      <c r="AB320" s="105">
        <v>7.0999999999999994E-2</v>
      </c>
      <c r="AC320" s="105">
        <v>960</v>
      </c>
    </row>
    <row r="321" spans="2:29">
      <c r="F321" s="105">
        <v>1022</v>
      </c>
      <c r="G321" s="105">
        <v>926</v>
      </c>
      <c r="H321" s="105">
        <v>1073</v>
      </c>
      <c r="I321" s="105">
        <v>999</v>
      </c>
      <c r="J321" s="105">
        <v>1026</v>
      </c>
      <c r="K321" s="105">
        <v>1293</v>
      </c>
      <c r="L321" s="105">
        <v>1229</v>
      </c>
      <c r="M321" s="105">
        <v>1200</v>
      </c>
      <c r="U321" s="105">
        <v>0.06</v>
      </c>
      <c r="W321" s="105">
        <v>7.3999999999999996E-2</v>
      </c>
      <c r="X321" s="105">
        <v>6.8000000000000005E-2</v>
      </c>
      <c r="Z321" s="105">
        <v>6.6000000000000003E-2</v>
      </c>
      <c r="AA321" s="105">
        <v>6.6000000000000003E-2</v>
      </c>
      <c r="AB321" s="105">
        <v>5.8999999999999997E-2</v>
      </c>
      <c r="AC321" s="105">
        <v>1200</v>
      </c>
    </row>
    <row r="324" spans="2:29">
      <c r="B324" s="105" t="s">
        <v>2035</v>
      </c>
      <c r="U324" s="105" t="s">
        <v>2036</v>
      </c>
    </row>
    <row r="325" spans="2:29">
      <c r="I325" s="107"/>
    </row>
    <row r="326" spans="2:29" ht="34">
      <c r="B326" s="108" t="s">
        <v>1951</v>
      </c>
      <c r="C326" s="108" t="s">
        <v>1952</v>
      </c>
      <c r="D326" s="108" t="s">
        <v>1953</v>
      </c>
      <c r="E326" s="108" t="s">
        <v>1954</v>
      </c>
      <c r="F326" s="108" t="s">
        <v>1965</v>
      </c>
      <c r="G326" s="108" t="s">
        <v>1966</v>
      </c>
      <c r="H326" s="108" t="s">
        <v>1967</v>
      </c>
      <c r="I326" s="108" t="s">
        <v>1968</v>
      </c>
      <c r="J326" s="108" t="s">
        <v>1962</v>
      </c>
      <c r="U326" s="108" t="s">
        <v>1951</v>
      </c>
      <c r="V326" s="108" t="s">
        <v>1952</v>
      </c>
      <c r="W326" s="108" t="s">
        <v>1953</v>
      </c>
      <c r="X326" s="108" t="s">
        <v>1962</v>
      </c>
    </row>
    <row r="327" spans="2:29">
      <c r="B327" s="105">
        <v>44</v>
      </c>
      <c r="C327" s="105">
        <v>41</v>
      </c>
      <c r="D327" s="105">
        <v>54</v>
      </c>
      <c r="E327" s="105">
        <v>48</v>
      </c>
      <c r="F327" s="105">
        <v>66</v>
      </c>
      <c r="G327" s="105">
        <v>59</v>
      </c>
      <c r="H327" s="105">
        <v>73</v>
      </c>
      <c r="I327" s="105">
        <v>61</v>
      </c>
      <c r="J327" s="105">
        <v>16</v>
      </c>
      <c r="U327" s="105">
        <v>4.5</v>
      </c>
      <c r="V327" s="105">
        <v>4.5</v>
      </c>
      <c r="W327" s="105">
        <v>3.9</v>
      </c>
      <c r="X327" s="105">
        <v>16</v>
      </c>
    </row>
    <row r="328" spans="2:29">
      <c r="B328" s="105">
        <v>58</v>
      </c>
      <c r="C328" s="105">
        <v>53</v>
      </c>
      <c r="D328" s="105">
        <v>71</v>
      </c>
      <c r="E328" s="105">
        <v>62</v>
      </c>
      <c r="F328" s="105">
        <v>83</v>
      </c>
      <c r="G328" s="105">
        <v>73</v>
      </c>
      <c r="H328" s="105">
        <v>89</v>
      </c>
      <c r="I328" s="105">
        <v>78</v>
      </c>
      <c r="J328" s="105">
        <v>25</v>
      </c>
      <c r="U328" s="105">
        <v>2.9</v>
      </c>
      <c r="V328" s="105">
        <v>2.9</v>
      </c>
      <c r="W328" s="105">
        <v>2.5</v>
      </c>
      <c r="X328" s="105">
        <v>25</v>
      </c>
    </row>
    <row r="329" spans="2:29">
      <c r="B329" s="105">
        <v>71</v>
      </c>
      <c r="C329" s="105">
        <v>65</v>
      </c>
      <c r="D329" s="105">
        <v>86</v>
      </c>
      <c r="E329" s="105">
        <v>77</v>
      </c>
      <c r="F329" s="105">
        <v>103</v>
      </c>
      <c r="G329" s="105">
        <v>90</v>
      </c>
      <c r="H329" s="105">
        <v>111</v>
      </c>
      <c r="I329" s="105">
        <v>96</v>
      </c>
      <c r="J329" s="105">
        <v>35</v>
      </c>
      <c r="U329" s="105">
        <v>2.1</v>
      </c>
      <c r="V329" s="105">
        <v>2.1</v>
      </c>
      <c r="W329" s="105">
        <v>1.8</v>
      </c>
      <c r="X329" s="105">
        <v>35</v>
      </c>
    </row>
    <row r="330" spans="2:29">
      <c r="B330" s="105">
        <v>86</v>
      </c>
      <c r="C330" s="105">
        <v>78</v>
      </c>
      <c r="D330" s="105">
        <v>104</v>
      </c>
      <c r="E330" s="105">
        <v>92</v>
      </c>
      <c r="F330" s="105">
        <v>125</v>
      </c>
      <c r="G330" s="105">
        <v>110</v>
      </c>
      <c r="H330" s="105">
        <v>135</v>
      </c>
      <c r="I330" s="105">
        <v>117</v>
      </c>
      <c r="J330" s="105">
        <v>50</v>
      </c>
      <c r="U330" s="105">
        <v>1.55</v>
      </c>
      <c r="V330" s="105">
        <v>1.55</v>
      </c>
      <c r="W330" s="105">
        <v>1.35</v>
      </c>
      <c r="X330" s="105">
        <v>50</v>
      </c>
    </row>
    <row r="331" spans="2:29">
      <c r="B331" s="105">
        <v>108</v>
      </c>
      <c r="C331" s="105">
        <v>98</v>
      </c>
      <c r="D331" s="105">
        <v>131</v>
      </c>
      <c r="E331" s="105">
        <v>116</v>
      </c>
      <c r="F331" s="105">
        <v>160</v>
      </c>
      <c r="G331" s="105">
        <v>140</v>
      </c>
      <c r="H331" s="105">
        <v>173</v>
      </c>
      <c r="I331" s="105">
        <v>150</v>
      </c>
      <c r="J331" s="105">
        <v>70</v>
      </c>
      <c r="U331" s="105">
        <v>1.05</v>
      </c>
      <c r="V331" s="105">
        <v>1.05</v>
      </c>
      <c r="W331" s="105">
        <v>0.9</v>
      </c>
      <c r="X331" s="105">
        <v>70</v>
      </c>
    </row>
    <row r="332" spans="2:29">
      <c r="B332" s="105">
        <v>130</v>
      </c>
      <c r="C332" s="105">
        <v>118</v>
      </c>
      <c r="D332" s="105">
        <v>157</v>
      </c>
      <c r="E332" s="105">
        <v>139</v>
      </c>
      <c r="F332" s="105">
        <v>195</v>
      </c>
      <c r="G332" s="105">
        <v>170</v>
      </c>
      <c r="H332" s="105">
        <v>210</v>
      </c>
      <c r="I332" s="105">
        <v>183</v>
      </c>
      <c r="J332" s="105">
        <v>95</v>
      </c>
      <c r="U332" s="105">
        <v>0.77</v>
      </c>
      <c r="V332" s="105">
        <v>0.77</v>
      </c>
      <c r="W332" s="105">
        <v>0.67</v>
      </c>
      <c r="X332" s="105">
        <v>95</v>
      </c>
    </row>
    <row r="333" spans="2:29">
      <c r="C333" s="105">
        <v>135</v>
      </c>
      <c r="E333" s="105">
        <v>160</v>
      </c>
      <c r="G333" s="105">
        <v>197</v>
      </c>
      <c r="I333" s="105">
        <v>212</v>
      </c>
      <c r="J333" s="105">
        <v>120</v>
      </c>
      <c r="W333" s="105">
        <v>0.53</v>
      </c>
      <c r="X333" s="105">
        <v>120</v>
      </c>
    </row>
    <row r="334" spans="2:29">
      <c r="C334" s="105">
        <v>155</v>
      </c>
      <c r="E334" s="105">
        <v>176</v>
      </c>
      <c r="G334" s="105">
        <v>227</v>
      </c>
      <c r="I334" s="105">
        <v>245</v>
      </c>
      <c r="J334" s="105">
        <v>150</v>
      </c>
      <c r="W334" s="105">
        <v>0.42</v>
      </c>
      <c r="X334" s="105">
        <v>150</v>
      </c>
    </row>
    <row r="335" spans="2:29">
      <c r="C335" s="105">
        <v>176</v>
      </c>
      <c r="E335" s="105">
        <v>199</v>
      </c>
      <c r="G335" s="105">
        <v>259</v>
      </c>
      <c r="I335" s="105">
        <v>280</v>
      </c>
      <c r="J335" s="105">
        <v>185</v>
      </c>
      <c r="W335" s="105">
        <v>0.34</v>
      </c>
      <c r="X335" s="105">
        <v>185</v>
      </c>
    </row>
    <row r="336" spans="2:29">
      <c r="C336" s="105">
        <v>207</v>
      </c>
      <c r="E336" s="105">
        <v>232</v>
      </c>
      <c r="G336" s="105">
        <v>305</v>
      </c>
      <c r="I336" s="105">
        <v>330</v>
      </c>
      <c r="J336" s="105">
        <v>240</v>
      </c>
      <c r="W336" s="105">
        <v>0.26</v>
      </c>
      <c r="X336" s="105">
        <v>240</v>
      </c>
    </row>
    <row r="337" spans="2:27">
      <c r="C337" s="105">
        <v>237</v>
      </c>
      <c r="E337" s="105">
        <v>265</v>
      </c>
      <c r="G337" s="105">
        <v>351</v>
      </c>
      <c r="I337" s="105">
        <v>381</v>
      </c>
      <c r="J337" s="105">
        <v>300</v>
      </c>
      <c r="W337" s="105">
        <v>0.21</v>
      </c>
      <c r="X337" s="105">
        <v>300</v>
      </c>
    </row>
    <row r="340" spans="2:27">
      <c r="B340" s="105" t="s">
        <v>2037</v>
      </c>
      <c r="U340" s="105" t="s">
        <v>2038</v>
      </c>
    </row>
    <row r="341" spans="2:27">
      <c r="I341" s="107"/>
    </row>
    <row r="342" spans="2:27" ht="68">
      <c r="B342" s="108" t="s">
        <v>1955</v>
      </c>
      <c r="C342" s="108" t="s">
        <v>1977</v>
      </c>
      <c r="D342" s="108" t="s">
        <v>1957</v>
      </c>
      <c r="E342" s="108" t="s">
        <v>1958</v>
      </c>
      <c r="F342" s="108" t="s">
        <v>1959</v>
      </c>
      <c r="G342" s="108" t="s">
        <v>1978</v>
      </c>
      <c r="H342" s="108" t="s">
        <v>1979</v>
      </c>
      <c r="I342" s="108" t="s">
        <v>1980</v>
      </c>
      <c r="J342" s="108" t="s">
        <v>1981</v>
      </c>
      <c r="K342" s="108" t="s">
        <v>1982</v>
      </c>
      <c r="L342" s="108" t="s">
        <v>1983</v>
      </c>
      <c r="M342" s="109" t="s">
        <v>1962</v>
      </c>
      <c r="U342" s="108" t="s">
        <v>1951</v>
      </c>
      <c r="V342" s="108" t="s">
        <v>1952</v>
      </c>
      <c r="W342" s="108" t="s">
        <v>1953</v>
      </c>
      <c r="X342" s="108" t="s">
        <v>1954</v>
      </c>
      <c r="Y342" s="108" t="s">
        <v>1965</v>
      </c>
      <c r="Z342" s="108" t="s">
        <v>1966</v>
      </c>
      <c r="AA342" s="108" t="s">
        <v>1962</v>
      </c>
    </row>
    <row r="343" spans="2:27">
      <c r="B343" s="105">
        <v>143</v>
      </c>
      <c r="C343" s="105">
        <v>133</v>
      </c>
      <c r="D343" s="105">
        <v>152</v>
      </c>
      <c r="E343" s="105">
        <v>141</v>
      </c>
      <c r="F343" s="105">
        <v>131</v>
      </c>
      <c r="G343" s="105">
        <v>167</v>
      </c>
      <c r="H343" s="105">
        <v>157</v>
      </c>
      <c r="I343" s="105">
        <v>168</v>
      </c>
      <c r="J343" s="105">
        <v>159</v>
      </c>
      <c r="K343" s="105">
        <v>169</v>
      </c>
      <c r="L343" s="105">
        <v>155</v>
      </c>
      <c r="M343" s="110">
        <v>50</v>
      </c>
      <c r="U343" s="105">
        <v>1.55</v>
      </c>
      <c r="V343" s="105">
        <v>1.55</v>
      </c>
      <c r="W343" s="105">
        <v>1.55</v>
      </c>
      <c r="X343" s="105">
        <v>1.35</v>
      </c>
      <c r="Y343" s="105">
        <v>1.35</v>
      </c>
      <c r="Z343" s="105">
        <v>1.3</v>
      </c>
      <c r="AA343" s="105">
        <v>50</v>
      </c>
    </row>
    <row r="344" spans="2:27">
      <c r="B344" s="105">
        <v>183</v>
      </c>
      <c r="C344" s="105">
        <v>168</v>
      </c>
      <c r="D344" s="105">
        <v>194</v>
      </c>
      <c r="E344" s="105">
        <v>178</v>
      </c>
      <c r="F344" s="105">
        <v>168</v>
      </c>
      <c r="G344" s="105">
        <v>214</v>
      </c>
      <c r="H344" s="105">
        <v>202</v>
      </c>
      <c r="I344" s="105">
        <v>212</v>
      </c>
      <c r="J344" s="105">
        <v>200</v>
      </c>
      <c r="K344" s="105">
        <v>213</v>
      </c>
      <c r="L344" s="105">
        <v>196</v>
      </c>
      <c r="M344" s="105">
        <v>70</v>
      </c>
      <c r="U344" s="105">
        <v>1.05</v>
      </c>
      <c r="V344" s="105">
        <v>1.05</v>
      </c>
      <c r="W344" s="105">
        <v>1.05</v>
      </c>
      <c r="X344" s="105">
        <v>0.92</v>
      </c>
      <c r="Y344" s="105">
        <v>0.93</v>
      </c>
      <c r="Z344" s="105">
        <v>0.95</v>
      </c>
      <c r="AA344" s="105">
        <v>70</v>
      </c>
    </row>
    <row r="345" spans="2:27">
      <c r="B345" s="105">
        <v>221</v>
      </c>
      <c r="C345" s="105">
        <v>202</v>
      </c>
      <c r="D345" s="105">
        <v>234</v>
      </c>
      <c r="E345" s="105">
        <v>214</v>
      </c>
      <c r="F345" s="105">
        <v>205</v>
      </c>
      <c r="G345" s="105">
        <v>261</v>
      </c>
      <c r="H345" s="105">
        <v>247</v>
      </c>
      <c r="I345" s="105">
        <v>259</v>
      </c>
      <c r="J345" s="105">
        <v>245</v>
      </c>
      <c r="K345" s="105">
        <v>255</v>
      </c>
      <c r="L345" s="105">
        <v>236</v>
      </c>
      <c r="M345" s="110">
        <v>95</v>
      </c>
      <c r="U345" s="105">
        <v>0.77</v>
      </c>
      <c r="V345" s="105">
        <v>0.78</v>
      </c>
      <c r="W345" s="105">
        <v>0.81</v>
      </c>
      <c r="X345" s="105">
        <v>0.68</v>
      </c>
      <c r="Y345" s="105">
        <v>0.7</v>
      </c>
      <c r="Z345" s="105">
        <v>0.73</v>
      </c>
      <c r="AA345" s="105">
        <v>95</v>
      </c>
    </row>
    <row r="346" spans="2:27">
      <c r="B346" s="105">
        <v>255</v>
      </c>
      <c r="C346" s="105">
        <v>233</v>
      </c>
      <c r="D346" s="105">
        <v>270</v>
      </c>
      <c r="E346" s="105">
        <v>246</v>
      </c>
      <c r="F346" s="105">
        <v>238</v>
      </c>
      <c r="G346" s="105">
        <v>303</v>
      </c>
      <c r="H346" s="105">
        <v>288</v>
      </c>
      <c r="I346" s="105">
        <v>299</v>
      </c>
      <c r="J346" s="105">
        <v>285</v>
      </c>
      <c r="K346" s="105">
        <v>293</v>
      </c>
      <c r="L346" s="105">
        <v>272</v>
      </c>
      <c r="M346" s="105">
        <v>120</v>
      </c>
      <c r="U346" s="105">
        <v>0.61</v>
      </c>
      <c r="V346" s="105">
        <v>0.62</v>
      </c>
      <c r="W346" s="105">
        <v>0.65</v>
      </c>
      <c r="X346" s="105">
        <v>0.54</v>
      </c>
      <c r="Y346" s="105">
        <v>0.56999999999999995</v>
      </c>
      <c r="Z346" s="105">
        <v>0.6</v>
      </c>
      <c r="AA346" s="105">
        <v>120</v>
      </c>
    </row>
    <row r="347" spans="2:27">
      <c r="B347" s="105">
        <v>294</v>
      </c>
      <c r="C347" s="105">
        <v>267</v>
      </c>
      <c r="D347" s="105">
        <v>310</v>
      </c>
      <c r="E347" s="105">
        <v>282</v>
      </c>
      <c r="F347" s="105">
        <v>275</v>
      </c>
      <c r="G347" s="105">
        <v>349</v>
      </c>
      <c r="H347" s="105">
        <v>333</v>
      </c>
      <c r="I347" s="105">
        <v>340</v>
      </c>
      <c r="J347" s="105">
        <v>323</v>
      </c>
      <c r="K347" s="105">
        <v>334</v>
      </c>
      <c r="L347" s="105">
        <v>312</v>
      </c>
      <c r="M347" s="110">
        <v>150</v>
      </c>
      <c r="U347" s="105">
        <v>0.49</v>
      </c>
      <c r="V347" s="105">
        <v>0.5</v>
      </c>
      <c r="W347" s="105">
        <v>0.53</v>
      </c>
      <c r="X347" s="105">
        <v>0.44</v>
      </c>
      <c r="Y347" s="105">
        <v>0.46</v>
      </c>
      <c r="Z347" s="105">
        <v>0.5</v>
      </c>
      <c r="AA347" s="105">
        <v>150</v>
      </c>
    </row>
    <row r="348" spans="2:27">
      <c r="B348" s="105">
        <v>334</v>
      </c>
      <c r="C348" s="105">
        <v>303</v>
      </c>
      <c r="D348" s="105">
        <v>352</v>
      </c>
      <c r="E348" s="105">
        <v>319</v>
      </c>
      <c r="F348" s="105">
        <v>315</v>
      </c>
      <c r="G348" s="105">
        <v>400</v>
      </c>
      <c r="H348" s="105">
        <v>382</v>
      </c>
      <c r="I348" s="105">
        <v>389</v>
      </c>
      <c r="J348" s="105">
        <v>371</v>
      </c>
      <c r="K348" s="105">
        <v>379</v>
      </c>
      <c r="L348" s="105">
        <v>354</v>
      </c>
      <c r="M348" s="105">
        <v>185</v>
      </c>
      <c r="U348" s="105">
        <v>0.39</v>
      </c>
      <c r="V348" s="105">
        <v>0.41</v>
      </c>
      <c r="W348" s="105">
        <v>0.44</v>
      </c>
      <c r="X348" s="105">
        <v>0.35</v>
      </c>
      <c r="Y348" s="105">
        <v>0.38</v>
      </c>
      <c r="Z348" s="105">
        <v>0.45100000000000001</v>
      </c>
      <c r="AA348" s="105">
        <v>185</v>
      </c>
    </row>
    <row r="349" spans="2:27">
      <c r="B349" s="105">
        <v>393</v>
      </c>
      <c r="C349" s="105">
        <v>354</v>
      </c>
      <c r="D349" s="105">
        <v>413</v>
      </c>
      <c r="E349" s="105">
        <v>374</v>
      </c>
      <c r="F349" s="105">
        <v>372</v>
      </c>
      <c r="G349" s="105">
        <v>472</v>
      </c>
      <c r="H349" s="105">
        <v>452</v>
      </c>
      <c r="I349" s="105">
        <v>457</v>
      </c>
      <c r="J349" s="105">
        <v>437</v>
      </c>
      <c r="K349" s="105">
        <v>443</v>
      </c>
      <c r="L349" s="105">
        <v>415</v>
      </c>
      <c r="M349" s="110">
        <v>240</v>
      </c>
      <c r="U349" s="105">
        <v>0.3</v>
      </c>
      <c r="V349" s="105">
        <v>0.32</v>
      </c>
      <c r="W349" s="105">
        <v>0.34</v>
      </c>
      <c r="X349" s="105">
        <v>28</v>
      </c>
      <c r="Y349" s="105">
        <v>0.3</v>
      </c>
      <c r="Z349" s="105">
        <v>0.33</v>
      </c>
      <c r="AA349" s="105">
        <v>240</v>
      </c>
    </row>
    <row r="350" spans="2:27">
      <c r="B350" s="105">
        <v>452</v>
      </c>
      <c r="C350" s="105">
        <v>405</v>
      </c>
      <c r="D350" s="105">
        <v>474</v>
      </c>
      <c r="E350" s="105">
        <v>427</v>
      </c>
      <c r="F350" s="105">
        <v>430</v>
      </c>
      <c r="G350" s="105">
        <v>545</v>
      </c>
      <c r="H350" s="105">
        <v>523</v>
      </c>
      <c r="I350" s="105">
        <v>520</v>
      </c>
      <c r="J350" s="105">
        <v>498</v>
      </c>
      <c r="K350" s="105">
        <v>505</v>
      </c>
      <c r="L350" s="105">
        <v>475</v>
      </c>
      <c r="M350" s="105">
        <v>300</v>
      </c>
      <c r="U350" s="105">
        <v>0.24</v>
      </c>
      <c r="V350" s="105">
        <v>0.26</v>
      </c>
      <c r="W350" s="105">
        <v>0.28000000000000003</v>
      </c>
      <c r="X350" s="105">
        <v>0.22</v>
      </c>
      <c r="Y350" s="105">
        <v>0.24</v>
      </c>
      <c r="Z350" s="105">
        <v>0.28000000000000003</v>
      </c>
      <c r="AA350" s="105">
        <v>300</v>
      </c>
    </row>
    <row r="351" spans="2:27">
      <c r="B351" s="105">
        <v>518</v>
      </c>
      <c r="C351" s="105">
        <v>452</v>
      </c>
      <c r="D351" s="105">
        <v>543</v>
      </c>
      <c r="E351" s="105">
        <v>479</v>
      </c>
      <c r="F351" s="105">
        <v>497</v>
      </c>
      <c r="G351" s="105">
        <v>638</v>
      </c>
      <c r="H351" s="105">
        <v>613</v>
      </c>
      <c r="I351" s="105">
        <v>583</v>
      </c>
      <c r="J351" s="105">
        <v>559</v>
      </c>
      <c r="K351" s="105">
        <v>551</v>
      </c>
      <c r="L351" s="105">
        <v>518</v>
      </c>
      <c r="M351" s="105">
        <v>380</v>
      </c>
      <c r="U351" s="105">
        <v>0.19</v>
      </c>
      <c r="V351" s="105">
        <v>0.22</v>
      </c>
      <c r="W351" s="105">
        <v>0.26</v>
      </c>
      <c r="X351" s="105">
        <v>0.185</v>
      </c>
      <c r="Y351" s="105">
        <v>0.22</v>
      </c>
      <c r="Z351" s="105">
        <v>0.27</v>
      </c>
      <c r="AA351" s="105">
        <v>380</v>
      </c>
    </row>
    <row r="352" spans="2:27">
      <c r="B352" s="105">
        <v>586</v>
      </c>
      <c r="C352" s="105">
        <v>501</v>
      </c>
      <c r="D352" s="105">
        <v>616</v>
      </c>
      <c r="E352" s="105">
        <v>534</v>
      </c>
      <c r="F352" s="105">
        <v>568</v>
      </c>
      <c r="G352" s="105">
        <v>742</v>
      </c>
      <c r="H352" s="105">
        <v>715</v>
      </c>
      <c r="I352" s="105">
        <v>655</v>
      </c>
      <c r="J352" s="105">
        <v>629</v>
      </c>
      <c r="K352" s="105">
        <v>604</v>
      </c>
      <c r="L352" s="105">
        <v>568</v>
      </c>
      <c r="M352" s="105">
        <v>480</v>
      </c>
      <c r="U352" s="105">
        <v>0.15</v>
      </c>
      <c r="V352" s="105">
        <v>0.18</v>
      </c>
      <c r="W352" s="105">
        <v>0.22</v>
      </c>
      <c r="X352" s="105">
        <v>0.155</v>
      </c>
      <c r="Y352" s="105">
        <v>0.19500000000000001</v>
      </c>
      <c r="Z352" s="105">
        <v>0.24</v>
      </c>
      <c r="AA352" s="105">
        <v>480</v>
      </c>
    </row>
    <row r="353" spans="2:27">
      <c r="B353" s="105">
        <v>658</v>
      </c>
      <c r="C353" s="105">
        <v>550</v>
      </c>
      <c r="D353" s="105">
        <v>692</v>
      </c>
      <c r="E353" s="105">
        <v>589</v>
      </c>
      <c r="F353" s="105">
        <v>642</v>
      </c>
      <c r="G353" s="105">
        <v>859</v>
      </c>
      <c r="H353" s="105">
        <v>828</v>
      </c>
      <c r="I353" s="105">
        <v>724</v>
      </c>
      <c r="J353" s="105">
        <v>696</v>
      </c>
      <c r="K353" s="105">
        <v>656</v>
      </c>
      <c r="L353" s="105">
        <v>618</v>
      </c>
      <c r="M353" s="105">
        <v>600</v>
      </c>
      <c r="U353" s="105">
        <v>0.12</v>
      </c>
      <c r="V353" s="105">
        <v>0.15</v>
      </c>
      <c r="W353" s="105">
        <v>0.19500000000000001</v>
      </c>
      <c r="X353" s="105">
        <v>0.13</v>
      </c>
      <c r="Y353" s="105">
        <v>0.17</v>
      </c>
      <c r="Z353" s="105">
        <v>0.21</v>
      </c>
      <c r="AA353" s="105">
        <v>600</v>
      </c>
    </row>
    <row r="354" spans="2:27">
      <c r="B354" s="105">
        <v>728</v>
      </c>
      <c r="C354" s="105">
        <v>596</v>
      </c>
      <c r="D354" s="105">
        <v>769</v>
      </c>
      <c r="E354" s="105">
        <v>642</v>
      </c>
      <c r="F354" s="105">
        <v>715</v>
      </c>
      <c r="G354" s="105">
        <v>986</v>
      </c>
      <c r="H354" s="105">
        <v>952</v>
      </c>
      <c r="I354" s="105">
        <v>802</v>
      </c>
      <c r="J354" s="105">
        <v>770</v>
      </c>
      <c r="K354" s="105">
        <v>707</v>
      </c>
      <c r="L354" s="105">
        <v>666</v>
      </c>
      <c r="M354" s="105">
        <v>740</v>
      </c>
      <c r="U354" s="105">
        <v>9.7000000000000003E-2</v>
      </c>
      <c r="V354" s="105">
        <v>0.13500000000000001</v>
      </c>
      <c r="W354" s="105">
        <v>0.18</v>
      </c>
      <c r="X354" s="105">
        <v>0.115</v>
      </c>
      <c r="Y354" s="105">
        <v>0.16</v>
      </c>
      <c r="Z354" s="105">
        <v>0.2</v>
      </c>
      <c r="AA354" s="105">
        <v>740</v>
      </c>
    </row>
    <row r="355" spans="2:27">
      <c r="B355" s="105">
        <v>819</v>
      </c>
      <c r="C355" s="105">
        <v>651</v>
      </c>
      <c r="D355" s="105">
        <v>868</v>
      </c>
      <c r="E355" s="105">
        <v>706</v>
      </c>
      <c r="F355" s="105">
        <v>808</v>
      </c>
      <c r="G355" s="105">
        <v>1171</v>
      </c>
      <c r="H355" s="105">
        <v>1133</v>
      </c>
      <c r="I355" s="105">
        <v>866</v>
      </c>
      <c r="J355" s="105">
        <v>832</v>
      </c>
      <c r="K355" s="105">
        <v>770</v>
      </c>
      <c r="L355" s="105">
        <v>726</v>
      </c>
      <c r="M355" s="105">
        <v>960</v>
      </c>
      <c r="U355" s="105">
        <v>7.4999999999999997E-2</v>
      </c>
      <c r="V355" s="105">
        <v>0.115</v>
      </c>
      <c r="W355" s="105">
        <v>0.16500000000000001</v>
      </c>
      <c r="X355" s="105">
        <v>0.1</v>
      </c>
      <c r="Y355" s="105">
        <v>0.15</v>
      </c>
      <c r="Z355" s="105">
        <v>0.19</v>
      </c>
      <c r="AA355" s="105">
        <v>960</v>
      </c>
    </row>
    <row r="356" spans="2:27">
      <c r="B356" s="105">
        <v>893</v>
      </c>
      <c r="C356" s="105">
        <v>692</v>
      </c>
      <c r="D356" s="105">
        <v>952</v>
      </c>
      <c r="E356" s="105">
        <v>756</v>
      </c>
      <c r="F356" s="105">
        <v>880</v>
      </c>
      <c r="G356" s="105">
        <v>1360</v>
      </c>
      <c r="H356" s="105">
        <v>1317</v>
      </c>
      <c r="I356" s="105">
        <v>938</v>
      </c>
      <c r="J356" s="105">
        <v>902</v>
      </c>
      <c r="K356" s="105">
        <v>822</v>
      </c>
      <c r="L356" s="105">
        <v>774</v>
      </c>
      <c r="M356" s="105">
        <v>1200</v>
      </c>
      <c r="U356" s="105">
        <v>0.06</v>
      </c>
      <c r="V356" s="105">
        <v>0.11</v>
      </c>
      <c r="W356" s="105">
        <v>0.16</v>
      </c>
      <c r="X356" s="105">
        <v>9.4E-2</v>
      </c>
      <c r="Y356" s="105">
        <v>0.14499999999999999</v>
      </c>
      <c r="Z356" s="105">
        <v>0.185</v>
      </c>
      <c r="AA356" s="105">
        <v>1200</v>
      </c>
    </row>
    <row r="359" spans="2:27">
      <c r="B359" s="105" t="s">
        <v>2039</v>
      </c>
      <c r="U359" s="105" t="s">
        <v>2040</v>
      </c>
    </row>
    <row r="360" spans="2:27">
      <c r="I360" s="107"/>
    </row>
    <row r="361" spans="2:27" ht="34">
      <c r="B361" s="108" t="s">
        <v>1965</v>
      </c>
      <c r="C361" s="108" t="s">
        <v>1986</v>
      </c>
      <c r="D361" s="108" t="s">
        <v>1967</v>
      </c>
      <c r="E361" s="108" t="s">
        <v>1987</v>
      </c>
      <c r="F361" s="108" t="s">
        <v>1988</v>
      </c>
      <c r="G361" s="108" t="s">
        <v>1989</v>
      </c>
      <c r="H361" s="108" t="s">
        <v>1962</v>
      </c>
      <c r="U361" s="108" t="s">
        <v>1951</v>
      </c>
      <c r="V361" s="108" t="s">
        <v>1952</v>
      </c>
      <c r="W361" s="108" t="s">
        <v>1953</v>
      </c>
      <c r="X361" s="108" t="s">
        <v>1962</v>
      </c>
    </row>
    <row r="362" spans="2:27">
      <c r="B362" s="105">
        <v>68</v>
      </c>
      <c r="C362" s="105">
        <v>58</v>
      </c>
      <c r="D362" s="105">
        <v>71</v>
      </c>
      <c r="E362" s="105">
        <v>61</v>
      </c>
      <c r="H362" s="105">
        <v>16</v>
      </c>
      <c r="U362" s="105">
        <v>4.5</v>
      </c>
      <c r="V362" s="105">
        <v>4.5</v>
      </c>
      <c r="W362" s="105">
        <v>3.9</v>
      </c>
      <c r="X362" s="105">
        <v>16</v>
      </c>
    </row>
    <row r="363" spans="2:27">
      <c r="B363" s="105">
        <v>89</v>
      </c>
      <c r="C363" s="105">
        <v>76</v>
      </c>
      <c r="D363" s="105">
        <v>94</v>
      </c>
      <c r="E363" s="105">
        <v>80</v>
      </c>
      <c r="F363" s="105">
        <v>77</v>
      </c>
      <c r="G363" s="105">
        <v>64</v>
      </c>
      <c r="H363" s="105">
        <v>25</v>
      </c>
      <c r="U363" s="105">
        <v>2.9</v>
      </c>
      <c r="V363" s="105">
        <v>2.9</v>
      </c>
      <c r="W363" s="105">
        <v>2.5</v>
      </c>
      <c r="X363" s="105">
        <v>25</v>
      </c>
    </row>
    <row r="364" spans="2:27">
      <c r="B364" s="105">
        <v>109</v>
      </c>
      <c r="C364" s="105">
        <v>94</v>
      </c>
      <c r="D364" s="105">
        <v>115</v>
      </c>
      <c r="E364" s="105">
        <v>99</v>
      </c>
      <c r="F364" s="105">
        <v>93</v>
      </c>
      <c r="G364" s="105">
        <v>77</v>
      </c>
      <c r="H364" s="105">
        <v>35</v>
      </c>
      <c r="U364" s="105">
        <v>2.1</v>
      </c>
      <c r="V364" s="105">
        <v>2.1</v>
      </c>
      <c r="W364" s="105">
        <v>1.8</v>
      </c>
      <c r="X364" s="105">
        <v>35</v>
      </c>
    </row>
    <row r="365" spans="2:27">
      <c r="B365" s="105">
        <v>131</v>
      </c>
      <c r="C365" s="105">
        <v>113</v>
      </c>
      <c r="D365" s="105">
        <v>139</v>
      </c>
      <c r="E365" s="105">
        <v>119</v>
      </c>
      <c r="F365" s="105">
        <v>109</v>
      </c>
      <c r="G365" s="105">
        <v>91</v>
      </c>
      <c r="H365" s="105">
        <v>50</v>
      </c>
      <c r="U365" s="105">
        <v>1.55</v>
      </c>
      <c r="V365" s="105">
        <v>1.55</v>
      </c>
      <c r="W365" s="105">
        <v>1.35</v>
      </c>
      <c r="X365" s="105">
        <v>50</v>
      </c>
    </row>
    <row r="366" spans="2:27">
      <c r="B366" s="105">
        <v>165</v>
      </c>
      <c r="C366" s="105">
        <v>143</v>
      </c>
      <c r="D366" s="105">
        <v>175</v>
      </c>
      <c r="E366" s="105">
        <v>151</v>
      </c>
      <c r="F366" s="105">
        <v>135</v>
      </c>
      <c r="G366" s="105">
        <v>112</v>
      </c>
      <c r="H366" s="105">
        <v>70</v>
      </c>
      <c r="U366" s="105">
        <v>1.05</v>
      </c>
      <c r="V366" s="105">
        <v>1.05</v>
      </c>
      <c r="W366" s="105">
        <v>0.9</v>
      </c>
      <c r="X366" s="105">
        <v>70</v>
      </c>
    </row>
    <row r="367" spans="2:27">
      <c r="B367" s="105">
        <v>199</v>
      </c>
      <c r="C367" s="105">
        <v>174</v>
      </c>
      <c r="D367" s="105">
        <v>211</v>
      </c>
      <c r="E367" s="105">
        <v>186</v>
      </c>
      <c r="F367" s="105">
        <v>159</v>
      </c>
      <c r="G367" s="105">
        <v>132</v>
      </c>
      <c r="H367" s="105">
        <v>95</v>
      </c>
      <c r="U367" s="105">
        <v>0.77</v>
      </c>
      <c r="V367" s="105">
        <v>0.77</v>
      </c>
      <c r="W367" s="105">
        <v>0.67</v>
      </c>
      <c r="X367" s="105">
        <v>95</v>
      </c>
    </row>
    <row r="368" spans="2:27">
      <c r="C368" s="105">
        <v>202</v>
      </c>
      <c r="E368" s="105">
        <v>216</v>
      </c>
      <c r="G368" s="105">
        <v>150</v>
      </c>
      <c r="H368" s="105">
        <v>120</v>
      </c>
      <c r="W368" s="105">
        <v>0.53</v>
      </c>
      <c r="X368" s="105">
        <v>120</v>
      </c>
    </row>
    <row r="369" spans="2:29">
      <c r="C369" s="105">
        <v>232</v>
      </c>
      <c r="E369" s="105">
        <v>250</v>
      </c>
      <c r="G369" s="105">
        <v>169</v>
      </c>
      <c r="H369" s="105">
        <v>150</v>
      </c>
      <c r="W369" s="105">
        <v>0.42</v>
      </c>
      <c r="X369" s="105">
        <v>150</v>
      </c>
    </row>
    <row r="370" spans="2:29">
      <c r="C370" s="105">
        <v>265</v>
      </c>
      <c r="E370" s="105">
        <v>287</v>
      </c>
      <c r="G370" s="105">
        <v>190</v>
      </c>
      <c r="H370" s="105">
        <v>185</v>
      </c>
      <c r="W370" s="105">
        <v>0.34</v>
      </c>
      <c r="X370" s="105">
        <v>185</v>
      </c>
    </row>
    <row r="371" spans="2:29">
      <c r="C371" s="105">
        <v>312</v>
      </c>
      <c r="E371" s="105">
        <v>342</v>
      </c>
      <c r="G371" s="105">
        <v>218</v>
      </c>
      <c r="H371" s="105">
        <v>240</v>
      </c>
      <c r="W371" s="105">
        <v>0.26</v>
      </c>
      <c r="X371" s="105">
        <v>240</v>
      </c>
    </row>
    <row r="372" spans="2:29">
      <c r="C372" s="105">
        <v>360</v>
      </c>
      <c r="E372" s="105">
        <v>399</v>
      </c>
      <c r="G372" s="105">
        <v>247</v>
      </c>
      <c r="H372" s="105">
        <v>300</v>
      </c>
      <c r="W372" s="105">
        <v>0.21</v>
      </c>
      <c r="X372" s="105">
        <v>300</v>
      </c>
    </row>
    <row r="375" spans="2:29">
      <c r="B375" s="105" t="s">
        <v>2041</v>
      </c>
      <c r="U375" s="105" t="s">
        <v>2042</v>
      </c>
    </row>
    <row r="376" spans="2:29">
      <c r="I376" s="107"/>
    </row>
    <row r="377" spans="2:29" ht="68">
      <c r="B377" s="108" t="s">
        <v>1951</v>
      </c>
      <c r="C377" s="108" t="s">
        <v>1952</v>
      </c>
      <c r="D377" s="108" t="s">
        <v>1953</v>
      </c>
      <c r="E377" s="108" t="s">
        <v>1954</v>
      </c>
      <c r="F377" s="108" t="s">
        <v>1955</v>
      </c>
      <c r="G377" s="108" t="s">
        <v>1956</v>
      </c>
      <c r="H377" s="108" t="s">
        <v>1957</v>
      </c>
      <c r="I377" s="108" t="s">
        <v>1958</v>
      </c>
      <c r="J377" s="108" t="s">
        <v>1959</v>
      </c>
      <c r="K377" s="108" t="s">
        <v>2001</v>
      </c>
      <c r="L377" s="108" t="s">
        <v>1961</v>
      </c>
      <c r="M377" s="109" t="s">
        <v>1962</v>
      </c>
      <c r="U377" s="108" t="s">
        <v>1951</v>
      </c>
      <c r="V377" s="108" t="s">
        <v>1952</v>
      </c>
      <c r="W377" s="108" t="s">
        <v>1953</v>
      </c>
      <c r="X377" s="108" t="s">
        <v>1954</v>
      </c>
      <c r="Y377" s="108" t="s">
        <v>1965</v>
      </c>
      <c r="Z377" s="108" t="s">
        <v>1966</v>
      </c>
      <c r="AA377" s="108" t="s">
        <v>2033</v>
      </c>
      <c r="AB377" s="108" t="s">
        <v>2034</v>
      </c>
      <c r="AC377" s="108" t="s">
        <v>1962</v>
      </c>
    </row>
    <row r="378" spans="2:29">
      <c r="B378" s="105">
        <v>125</v>
      </c>
      <c r="C378" s="105">
        <v>113</v>
      </c>
      <c r="D378" s="105">
        <v>157</v>
      </c>
      <c r="E378" s="105">
        <v>140</v>
      </c>
      <c r="F378" s="105">
        <v>154</v>
      </c>
      <c r="G378" s="105">
        <v>136</v>
      </c>
      <c r="H378" s="105">
        <v>184</v>
      </c>
      <c r="I378" s="105">
        <v>165</v>
      </c>
      <c r="J378" s="105">
        <v>159</v>
      </c>
      <c r="K378" s="105">
        <v>210</v>
      </c>
      <c r="L378" s="105">
        <v>188</v>
      </c>
      <c r="M378" s="105">
        <v>50</v>
      </c>
      <c r="U378" s="105">
        <v>1.65</v>
      </c>
      <c r="V378" s="105">
        <v>1.7</v>
      </c>
      <c r="W378" s="105">
        <v>1.65</v>
      </c>
      <c r="X378" s="105">
        <v>1.65</v>
      </c>
      <c r="Y378" s="105">
        <v>1.44</v>
      </c>
      <c r="Z378" s="105">
        <v>1.44</v>
      </c>
      <c r="AA378" s="105">
        <v>1.44</v>
      </c>
      <c r="AB378" s="105">
        <v>1.44</v>
      </c>
      <c r="AC378" s="105">
        <v>50</v>
      </c>
    </row>
    <row r="379" spans="2:29">
      <c r="B379" s="105">
        <v>158</v>
      </c>
      <c r="C379" s="105">
        <v>142</v>
      </c>
      <c r="D379" s="105">
        <v>200</v>
      </c>
      <c r="E379" s="105">
        <v>179</v>
      </c>
      <c r="F379" s="105">
        <v>198</v>
      </c>
      <c r="G379" s="105">
        <v>174</v>
      </c>
      <c r="H379" s="105">
        <v>237</v>
      </c>
      <c r="I379" s="105">
        <v>215</v>
      </c>
      <c r="J379" s="105">
        <v>206</v>
      </c>
      <c r="K379" s="105">
        <v>271</v>
      </c>
      <c r="L379" s="105">
        <v>244</v>
      </c>
      <c r="M379" s="105">
        <v>70</v>
      </c>
      <c r="U379" s="105">
        <v>1.1299999999999999</v>
      </c>
      <c r="V379" s="105">
        <v>1.17</v>
      </c>
      <c r="W379" s="105">
        <v>1.1200000000000001</v>
      </c>
      <c r="X379" s="105">
        <v>1.1200000000000001</v>
      </c>
      <c r="Y379" s="105">
        <v>1</v>
      </c>
      <c r="Z379" s="105">
        <v>0.97</v>
      </c>
      <c r="AA379" s="105">
        <v>0.97</v>
      </c>
      <c r="AB379" s="105">
        <v>0.97</v>
      </c>
      <c r="AC379" s="105">
        <v>70</v>
      </c>
    </row>
    <row r="380" spans="2:29">
      <c r="B380" s="105">
        <v>191</v>
      </c>
      <c r="C380" s="105">
        <v>171</v>
      </c>
      <c r="D380" s="105">
        <v>242</v>
      </c>
      <c r="E380" s="105">
        <v>217</v>
      </c>
      <c r="F380" s="105">
        <v>241</v>
      </c>
      <c r="G380" s="105">
        <v>211</v>
      </c>
      <c r="H380" s="105">
        <v>289</v>
      </c>
      <c r="I380" s="105">
        <v>264</v>
      </c>
      <c r="J380" s="105">
        <v>253</v>
      </c>
      <c r="K380" s="105">
        <v>332</v>
      </c>
      <c r="L380" s="105">
        <v>300</v>
      </c>
      <c r="M380" s="105">
        <v>95</v>
      </c>
      <c r="U380" s="105">
        <v>0.82</v>
      </c>
      <c r="V380" s="105">
        <v>0.86</v>
      </c>
      <c r="W380" s="105">
        <v>0.82</v>
      </c>
      <c r="X380" s="105">
        <v>0.82</v>
      </c>
      <c r="Y380" s="105">
        <v>0.75</v>
      </c>
      <c r="Z380" s="105">
        <v>0.71</v>
      </c>
      <c r="AA380" s="105">
        <v>0.71</v>
      </c>
      <c r="AB380" s="105">
        <v>0.71</v>
      </c>
      <c r="AC380" s="105">
        <v>95</v>
      </c>
    </row>
    <row r="381" spans="2:29">
      <c r="B381" s="105">
        <v>220</v>
      </c>
      <c r="C381" s="105">
        <v>197</v>
      </c>
      <c r="D381" s="105">
        <v>281</v>
      </c>
      <c r="E381" s="105">
        <v>251</v>
      </c>
      <c r="F381" s="105">
        <v>280</v>
      </c>
      <c r="G381" s="105">
        <v>245</v>
      </c>
      <c r="H381" s="105">
        <v>337</v>
      </c>
      <c r="I381" s="105">
        <v>308</v>
      </c>
      <c r="J381" s="105">
        <v>296</v>
      </c>
      <c r="K381" s="105">
        <v>387</v>
      </c>
      <c r="L381" s="105">
        <v>351</v>
      </c>
      <c r="M381" s="105">
        <v>120</v>
      </c>
      <c r="U381" s="105">
        <v>0.65</v>
      </c>
      <c r="V381" s="105">
        <v>0.68</v>
      </c>
      <c r="W381" s="105">
        <v>0.65</v>
      </c>
      <c r="X381" s="105">
        <v>0.65</v>
      </c>
      <c r="Y381" s="105">
        <v>0.59</v>
      </c>
      <c r="Z381" s="105">
        <v>0.56999999999999995</v>
      </c>
      <c r="AA381" s="105">
        <v>0.56999999999999995</v>
      </c>
      <c r="AB381" s="105">
        <v>0.56999999999999995</v>
      </c>
      <c r="AC381" s="105">
        <v>120</v>
      </c>
    </row>
    <row r="382" spans="2:29">
      <c r="B382" s="105">
        <v>253</v>
      </c>
      <c r="C382" s="105">
        <v>226</v>
      </c>
      <c r="D382" s="105">
        <v>307</v>
      </c>
      <c r="E382" s="105">
        <v>267</v>
      </c>
      <c r="F382" s="105">
        <v>324</v>
      </c>
      <c r="G382" s="105">
        <v>283</v>
      </c>
      <c r="H382" s="105">
        <v>389</v>
      </c>
      <c r="I382" s="105">
        <v>358</v>
      </c>
      <c r="J382" s="105">
        <v>343</v>
      </c>
      <c r="K382" s="105">
        <v>448</v>
      </c>
      <c r="L382" s="105">
        <v>408</v>
      </c>
      <c r="M382" s="105">
        <v>150</v>
      </c>
      <c r="U382" s="105">
        <v>0.53</v>
      </c>
      <c r="V382" s="105">
        <v>0.54</v>
      </c>
      <c r="W382" s="105">
        <v>0.52</v>
      </c>
      <c r="X382" s="105">
        <v>0.52</v>
      </c>
      <c r="Y382" s="105">
        <v>0.48</v>
      </c>
      <c r="Z382" s="105">
        <v>0.45</v>
      </c>
      <c r="AA382" s="105">
        <v>0.45</v>
      </c>
      <c r="AB382" s="105">
        <v>0.45</v>
      </c>
      <c r="AC382" s="105">
        <v>150</v>
      </c>
    </row>
    <row r="383" spans="2:29">
      <c r="B383" s="105">
        <v>288</v>
      </c>
      <c r="C383" s="105">
        <v>256</v>
      </c>
      <c r="D383" s="105">
        <v>351</v>
      </c>
      <c r="E383" s="105">
        <v>300</v>
      </c>
      <c r="F383" s="105">
        <v>371</v>
      </c>
      <c r="G383" s="105">
        <v>323</v>
      </c>
      <c r="H383" s="105">
        <v>447</v>
      </c>
      <c r="I383" s="105">
        <v>413</v>
      </c>
      <c r="J383" s="105">
        <v>395</v>
      </c>
      <c r="K383" s="105">
        <v>515</v>
      </c>
      <c r="L383" s="105">
        <v>470</v>
      </c>
      <c r="M383" s="105">
        <v>185</v>
      </c>
      <c r="U383" s="105">
        <v>0.42</v>
      </c>
      <c r="V383" s="105">
        <v>0.45</v>
      </c>
      <c r="W383" s="105">
        <v>0.43</v>
      </c>
      <c r="X383" s="105">
        <v>0.42</v>
      </c>
      <c r="Y383" s="105">
        <v>0.38</v>
      </c>
      <c r="Z383" s="105">
        <v>0.36</v>
      </c>
      <c r="AA383" s="105">
        <v>0.36</v>
      </c>
      <c r="AB383" s="105">
        <v>0.36</v>
      </c>
      <c r="AC383" s="105">
        <v>185</v>
      </c>
    </row>
    <row r="384" spans="2:29">
      <c r="B384" s="105">
        <v>338</v>
      </c>
      <c r="C384" s="105">
        <v>300</v>
      </c>
      <c r="D384" s="105">
        <v>412</v>
      </c>
      <c r="E384" s="105">
        <v>351</v>
      </c>
      <c r="F384" s="105">
        <v>439</v>
      </c>
      <c r="G384" s="105">
        <v>382</v>
      </c>
      <c r="H384" s="105">
        <v>530</v>
      </c>
      <c r="I384" s="105">
        <v>492</v>
      </c>
      <c r="J384" s="105">
        <v>471</v>
      </c>
      <c r="K384" s="105">
        <v>611</v>
      </c>
      <c r="L384" s="105">
        <v>561</v>
      </c>
      <c r="M384" s="105">
        <v>240</v>
      </c>
      <c r="U384" s="105">
        <v>0.32</v>
      </c>
      <c r="V384" s="105">
        <v>0.34</v>
      </c>
      <c r="W384" s="105">
        <v>0.32</v>
      </c>
      <c r="X384" s="105">
        <v>0.32</v>
      </c>
      <c r="Y384" s="105">
        <v>0.3</v>
      </c>
      <c r="Z384" s="105">
        <v>0.28000000000000003</v>
      </c>
      <c r="AA384" s="105">
        <v>0.28000000000000003</v>
      </c>
      <c r="AB384" s="105">
        <v>0.28000000000000003</v>
      </c>
      <c r="AC384" s="105">
        <v>240</v>
      </c>
    </row>
    <row r="385" spans="2:29">
      <c r="B385" s="105">
        <v>387</v>
      </c>
      <c r="C385" s="105">
        <v>344</v>
      </c>
      <c r="D385" s="105">
        <v>471</v>
      </c>
      <c r="E385" s="105">
        <v>402</v>
      </c>
      <c r="F385" s="105">
        <v>508</v>
      </c>
      <c r="G385" s="105">
        <v>440</v>
      </c>
      <c r="H385" s="105">
        <v>613</v>
      </c>
      <c r="I385" s="105">
        <v>571</v>
      </c>
      <c r="J385" s="105">
        <v>544</v>
      </c>
      <c r="K385" s="105">
        <v>708</v>
      </c>
      <c r="L385" s="105">
        <v>652</v>
      </c>
      <c r="M385" s="105">
        <v>300</v>
      </c>
      <c r="U385" s="105">
        <v>0.26</v>
      </c>
      <c r="V385" s="105">
        <v>0.28000000000000003</v>
      </c>
      <c r="W385" s="105">
        <v>0.26</v>
      </c>
      <c r="X385" s="105">
        <v>0.26</v>
      </c>
      <c r="Y385" s="105">
        <v>0.25</v>
      </c>
      <c r="Z385" s="105">
        <v>0.22</v>
      </c>
      <c r="AA385" s="105">
        <v>0.22</v>
      </c>
      <c r="AB385" s="105">
        <v>0.22</v>
      </c>
      <c r="AC385" s="105">
        <v>300</v>
      </c>
    </row>
    <row r="386" spans="2:29">
      <c r="F386" s="105">
        <v>658</v>
      </c>
      <c r="G386" s="105">
        <v>594</v>
      </c>
      <c r="H386" s="105">
        <v>679</v>
      </c>
      <c r="I386" s="105">
        <v>628</v>
      </c>
      <c r="J386" s="105">
        <v>638</v>
      </c>
      <c r="K386" s="105">
        <v>798</v>
      </c>
      <c r="L386" s="105">
        <v>742</v>
      </c>
      <c r="M386" s="110">
        <v>380</v>
      </c>
      <c r="U386" s="105">
        <v>0.2</v>
      </c>
      <c r="W386" s="105">
        <v>0.21</v>
      </c>
      <c r="X386" s="105">
        <v>0.21</v>
      </c>
      <c r="Y386" s="105">
        <v>0.2</v>
      </c>
      <c r="Z386" s="105">
        <v>0.18</v>
      </c>
      <c r="AA386" s="105">
        <v>0.18</v>
      </c>
      <c r="AB386" s="105">
        <v>0.18</v>
      </c>
      <c r="AC386" s="105">
        <v>380</v>
      </c>
    </row>
    <row r="387" spans="2:29">
      <c r="F387" s="105">
        <v>765</v>
      </c>
      <c r="G387" s="105">
        <v>692</v>
      </c>
      <c r="H387" s="105">
        <v>786</v>
      </c>
      <c r="I387" s="105">
        <v>728</v>
      </c>
      <c r="J387" s="105">
        <v>743</v>
      </c>
      <c r="K387" s="105">
        <v>927</v>
      </c>
      <c r="L387" s="105">
        <v>865</v>
      </c>
      <c r="M387" s="105">
        <v>480</v>
      </c>
      <c r="U387" s="105">
        <v>0.16</v>
      </c>
      <c r="W387" s="105">
        <v>0.17</v>
      </c>
      <c r="X387" s="105">
        <v>0.16500000000000001</v>
      </c>
      <c r="Y387" s="105">
        <v>0.16500000000000001</v>
      </c>
      <c r="Z387" s="105">
        <v>0.15</v>
      </c>
      <c r="AA387" s="105">
        <v>0.15</v>
      </c>
      <c r="AB387" s="105">
        <v>0.14499999999999999</v>
      </c>
      <c r="AC387" s="105">
        <v>480</v>
      </c>
    </row>
    <row r="388" spans="2:29">
      <c r="F388" s="105">
        <v>871</v>
      </c>
      <c r="G388" s="105">
        <v>791</v>
      </c>
      <c r="H388" s="105">
        <v>903</v>
      </c>
      <c r="I388" s="105">
        <v>836</v>
      </c>
      <c r="J388" s="105">
        <v>849</v>
      </c>
      <c r="K388" s="105">
        <v>1058</v>
      </c>
      <c r="L388" s="105">
        <v>990</v>
      </c>
      <c r="M388" s="105">
        <v>600</v>
      </c>
      <c r="U388" s="105">
        <v>0.13</v>
      </c>
      <c r="W388" s="105">
        <v>0.14000000000000001</v>
      </c>
      <c r="X388" s="105">
        <v>0.13500000000000001</v>
      </c>
      <c r="Y388" s="105">
        <v>0.13500000000000001</v>
      </c>
      <c r="Z388" s="105">
        <v>0.12</v>
      </c>
      <c r="AA388" s="105">
        <v>0.12</v>
      </c>
      <c r="AB388" s="105">
        <v>0.12</v>
      </c>
      <c r="AC388" s="105">
        <v>600</v>
      </c>
    </row>
    <row r="389" spans="2:29">
      <c r="F389" s="105">
        <v>1001</v>
      </c>
      <c r="G389" s="105">
        <v>991</v>
      </c>
      <c r="H389" s="105">
        <v>1025</v>
      </c>
      <c r="I389" s="105">
        <v>951</v>
      </c>
      <c r="J389" s="105">
        <v>979</v>
      </c>
      <c r="K389" s="105">
        <v>1218</v>
      </c>
      <c r="L389" s="105">
        <v>1143</v>
      </c>
      <c r="M389" s="105">
        <v>740</v>
      </c>
      <c r="U389" s="105">
        <v>0.105</v>
      </c>
      <c r="W389" s="105">
        <v>0.115</v>
      </c>
      <c r="X389" s="105">
        <v>0.11</v>
      </c>
      <c r="Z389" s="105">
        <v>0.1</v>
      </c>
      <c r="AA389" s="105">
        <v>0.1</v>
      </c>
      <c r="AB389" s="105">
        <v>9.5000000000000001E-2</v>
      </c>
      <c r="AC389" s="105">
        <v>740</v>
      </c>
    </row>
    <row r="390" spans="2:29">
      <c r="F390" s="105">
        <v>1176</v>
      </c>
      <c r="G390" s="105">
        <v>1072</v>
      </c>
      <c r="H390" s="105">
        <v>1191</v>
      </c>
      <c r="I390" s="105">
        <v>1108</v>
      </c>
      <c r="J390" s="105">
        <v>1151</v>
      </c>
      <c r="K390" s="105">
        <v>1440</v>
      </c>
      <c r="L390" s="105">
        <v>1355</v>
      </c>
      <c r="M390" s="105">
        <v>960</v>
      </c>
      <c r="U390" s="105">
        <v>0.08</v>
      </c>
      <c r="W390" s="105">
        <v>9.1999999999999998E-2</v>
      </c>
      <c r="X390" s="105">
        <v>8.6999999999999994E-2</v>
      </c>
      <c r="Z390" s="105">
        <v>8.2000000000000003E-2</v>
      </c>
      <c r="AA390" s="105">
        <v>8.2000000000000003E-2</v>
      </c>
      <c r="AB390" s="105">
        <v>7.5999999999999998E-2</v>
      </c>
      <c r="AC390" s="105">
        <v>960</v>
      </c>
    </row>
    <row r="391" spans="2:29">
      <c r="F391" s="105">
        <v>1333</v>
      </c>
      <c r="G391" s="105">
        <v>1217</v>
      </c>
      <c r="H391" s="105">
        <v>1341</v>
      </c>
      <c r="I391" s="105">
        <v>1249</v>
      </c>
      <c r="J391" s="105">
        <v>1307</v>
      </c>
      <c r="K391" s="105">
        <v>1643</v>
      </c>
      <c r="L391" s="105">
        <v>1550</v>
      </c>
      <c r="M391" s="105">
        <v>1200</v>
      </c>
      <c r="U391" s="105">
        <v>6.4000000000000001E-2</v>
      </c>
      <c r="W391" s="105">
        <v>7.9000000000000001E-2</v>
      </c>
      <c r="X391" s="105">
        <v>7.2999999999999995E-2</v>
      </c>
      <c r="Z391" s="105">
        <v>7.0000000000000007E-2</v>
      </c>
      <c r="AA391" s="105">
        <v>7.0000000000000007E-2</v>
      </c>
      <c r="AB391" s="105">
        <v>6.3E-2</v>
      </c>
      <c r="AC391" s="105">
        <v>1200</v>
      </c>
    </row>
    <row r="394" spans="2:29">
      <c r="B394" s="105" t="s">
        <v>2043</v>
      </c>
      <c r="U394" s="105" t="s">
        <v>2044</v>
      </c>
    </row>
    <row r="395" spans="2:29">
      <c r="I395" s="107"/>
    </row>
    <row r="396" spans="2:29" ht="34">
      <c r="B396" s="108" t="s">
        <v>1951</v>
      </c>
      <c r="C396" s="108" t="s">
        <v>1952</v>
      </c>
      <c r="D396" s="108" t="s">
        <v>1953</v>
      </c>
      <c r="E396" s="108" t="s">
        <v>1954</v>
      </c>
      <c r="F396" s="108" t="s">
        <v>1965</v>
      </c>
      <c r="G396" s="108" t="s">
        <v>2004</v>
      </c>
      <c r="H396" s="108" t="s">
        <v>1967</v>
      </c>
      <c r="I396" s="108" t="s">
        <v>2005</v>
      </c>
      <c r="J396" s="108" t="s">
        <v>1962</v>
      </c>
      <c r="U396" s="108" t="s">
        <v>1951</v>
      </c>
      <c r="V396" s="108" t="s">
        <v>1952</v>
      </c>
      <c r="W396" s="108" t="s">
        <v>1953</v>
      </c>
      <c r="X396" s="108" t="s">
        <v>1962</v>
      </c>
    </row>
    <row r="397" spans="2:29">
      <c r="B397" s="105">
        <v>60</v>
      </c>
      <c r="C397" s="105">
        <v>55</v>
      </c>
      <c r="D397" s="105">
        <v>72</v>
      </c>
      <c r="E397" s="105">
        <v>64</v>
      </c>
      <c r="F397" s="105">
        <v>84</v>
      </c>
      <c r="G397" s="105">
        <v>76</v>
      </c>
      <c r="H397" s="105">
        <v>91</v>
      </c>
      <c r="I397" s="105">
        <v>77</v>
      </c>
      <c r="J397" s="105">
        <v>16</v>
      </c>
      <c r="U397" s="105">
        <v>4.8</v>
      </c>
      <c r="V397" s="105">
        <v>4.8</v>
      </c>
      <c r="W397" s="105">
        <v>4.2</v>
      </c>
      <c r="X397" s="105">
        <v>16</v>
      </c>
    </row>
    <row r="398" spans="2:29">
      <c r="B398" s="105">
        <v>78</v>
      </c>
      <c r="C398" s="105">
        <v>71</v>
      </c>
      <c r="D398" s="105">
        <v>94</v>
      </c>
      <c r="E398" s="105">
        <v>84</v>
      </c>
      <c r="F398" s="105">
        <v>101</v>
      </c>
      <c r="G398" s="105">
        <v>90</v>
      </c>
      <c r="H398" s="105">
        <v>108</v>
      </c>
      <c r="I398" s="105">
        <v>97</v>
      </c>
      <c r="J398" s="105">
        <v>25</v>
      </c>
      <c r="U398" s="105">
        <v>3.1</v>
      </c>
      <c r="V398" s="105">
        <v>3.1</v>
      </c>
      <c r="W398" s="105">
        <v>2.7</v>
      </c>
      <c r="X398" s="105">
        <v>25</v>
      </c>
    </row>
    <row r="399" spans="2:29">
      <c r="B399" s="105">
        <v>96</v>
      </c>
      <c r="C399" s="105">
        <v>87</v>
      </c>
      <c r="D399" s="105">
        <v>115</v>
      </c>
      <c r="E399" s="105">
        <v>103</v>
      </c>
      <c r="F399" s="105">
        <v>126</v>
      </c>
      <c r="G399" s="105">
        <v>112</v>
      </c>
      <c r="H399" s="105">
        <v>135</v>
      </c>
      <c r="I399" s="105">
        <v>120</v>
      </c>
      <c r="J399" s="105">
        <v>35</v>
      </c>
      <c r="U399" s="105">
        <v>2.2000000000000002</v>
      </c>
      <c r="V399" s="105">
        <v>2.2000000000000002</v>
      </c>
      <c r="W399" s="105">
        <v>1.9</v>
      </c>
      <c r="X399" s="105">
        <v>35</v>
      </c>
    </row>
    <row r="400" spans="2:29">
      <c r="B400" s="105">
        <v>115</v>
      </c>
      <c r="C400" s="105">
        <v>104</v>
      </c>
      <c r="D400" s="105">
        <v>138</v>
      </c>
      <c r="E400" s="105">
        <v>124</v>
      </c>
      <c r="F400" s="105">
        <v>154</v>
      </c>
      <c r="G400" s="105">
        <v>136</v>
      </c>
      <c r="H400" s="105">
        <v>164</v>
      </c>
      <c r="I400" s="105">
        <v>146</v>
      </c>
      <c r="J400" s="105">
        <v>50</v>
      </c>
      <c r="U400" s="105">
        <v>1.6</v>
      </c>
      <c r="V400" s="105">
        <v>1.65</v>
      </c>
      <c r="W400" s="105">
        <v>1.4</v>
      </c>
      <c r="X400" s="105">
        <v>50</v>
      </c>
    </row>
    <row r="401" spans="2:27">
      <c r="B401" s="105">
        <v>145</v>
      </c>
      <c r="C401" s="105">
        <v>131</v>
      </c>
      <c r="D401" s="105">
        <v>175</v>
      </c>
      <c r="E401" s="105">
        <v>156</v>
      </c>
      <c r="F401" s="105">
        <v>198</v>
      </c>
      <c r="G401" s="105">
        <v>174</v>
      </c>
      <c r="H401" s="105">
        <v>211</v>
      </c>
      <c r="I401" s="105">
        <v>187</v>
      </c>
      <c r="J401" s="105">
        <v>70</v>
      </c>
      <c r="U401" s="105">
        <v>1.1000000000000001</v>
      </c>
      <c r="V401" s="105">
        <v>1.1000000000000001</v>
      </c>
      <c r="W401" s="105">
        <v>0.96</v>
      </c>
      <c r="X401" s="105">
        <v>70</v>
      </c>
    </row>
    <row r="402" spans="2:27">
      <c r="B402" s="105">
        <v>175</v>
      </c>
      <c r="C402" s="105">
        <v>157</v>
      </c>
      <c r="D402" s="105">
        <v>210</v>
      </c>
      <c r="E402" s="105">
        <v>188</v>
      </c>
      <c r="F402" s="105">
        <v>241</v>
      </c>
      <c r="G402" s="105">
        <v>211</v>
      </c>
      <c r="H402" s="105">
        <v>257</v>
      </c>
      <c r="I402" s="105">
        <v>227</v>
      </c>
      <c r="J402" s="105">
        <v>95</v>
      </c>
      <c r="U402" s="105">
        <v>0.82</v>
      </c>
      <c r="V402" s="105">
        <v>0.82</v>
      </c>
      <c r="W402" s="105">
        <v>0.71</v>
      </c>
      <c r="X402" s="105">
        <v>95</v>
      </c>
    </row>
    <row r="403" spans="2:27">
      <c r="C403" s="105">
        <v>180</v>
      </c>
      <c r="E403" s="105">
        <v>216</v>
      </c>
      <c r="G403" s="105">
        <v>245</v>
      </c>
      <c r="I403" s="105">
        <v>263</v>
      </c>
      <c r="J403" s="105">
        <v>120</v>
      </c>
      <c r="W403" s="105">
        <v>0.56000000000000005</v>
      </c>
      <c r="X403" s="105">
        <v>120</v>
      </c>
    </row>
    <row r="404" spans="2:27">
      <c r="C404" s="105">
        <v>206</v>
      </c>
      <c r="E404" s="105">
        <v>240</v>
      </c>
      <c r="G404" s="105">
        <v>283</v>
      </c>
      <c r="I404" s="105">
        <v>304</v>
      </c>
      <c r="J404" s="105">
        <v>150</v>
      </c>
      <c r="W404" s="105">
        <v>0.45</v>
      </c>
      <c r="X404" s="105">
        <v>150</v>
      </c>
    </row>
    <row r="405" spans="2:27">
      <c r="C405" s="105">
        <v>233</v>
      </c>
      <c r="E405" s="105">
        <v>272</v>
      </c>
      <c r="G405" s="105">
        <v>323</v>
      </c>
      <c r="I405" s="105">
        <v>347</v>
      </c>
      <c r="J405" s="105">
        <v>185</v>
      </c>
      <c r="W405" s="105">
        <v>0.37</v>
      </c>
      <c r="X405" s="105">
        <v>185</v>
      </c>
    </row>
    <row r="406" spans="2:27">
      <c r="C406" s="105">
        <v>273</v>
      </c>
      <c r="E406" s="105">
        <v>318</v>
      </c>
      <c r="G406" s="105">
        <v>382</v>
      </c>
      <c r="I406" s="105">
        <v>409</v>
      </c>
      <c r="J406" s="105">
        <v>240</v>
      </c>
      <c r="W406" s="105">
        <v>0.28000000000000003</v>
      </c>
      <c r="X406" s="105">
        <v>240</v>
      </c>
    </row>
    <row r="407" spans="2:27">
      <c r="C407" s="105">
        <v>313</v>
      </c>
      <c r="E407" s="105">
        <v>364</v>
      </c>
      <c r="G407" s="105">
        <v>440</v>
      </c>
      <c r="I407" s="105">
        <v>471</v>
      </c>
      <c r="J407" s="105">
        <v>300</v>
      </c>
      <c r="W407" s="105">
        <v>0.23</v>
      </c>
      <c r="X407" s="105">
        <v>300</v>
      </c>
    </row>
    <row r="410" spans="2:27">
      <c r="B410" s="105" t="s">
        <v>2045</v>
      </c>
      <c r="U410" s="105" t="s">
        <v>2046</v>
      </c>
    </row>
    <row r="411" spans="2:27">
      <c r="I411" s="107"/>
    </row>
    <row r="412" spans="2:27" ht="68">
      <c r="B412" s="108" t="s">
        <v>1955</v>
      </c>
      <c r="C412" s="108" t="s">
        <v>1977</v>
      </c>
      <c r="D412" s="108" t="s">
        <v>1957</v>
      </c>
      <c r="E412" s="108" t="s">
        <v>1958</v>
      </c>
      <c r="F412" s="108" t="s">
        <v>1959</v>
      </c>
      <c r="G412" s="108" t="s">
        <v>1978</v>
      </c>
      <c r="H412" s="108" t="s">
        <v>1979</v>
      </c>
      <c r="I412" s="108" t="s">
        <v>1980</v>
      </c>
      <c r="J412" s="108" t="s">
        <v>1981</v>
      </c>
      <c r="K412" s="108" t="s">
        <v>1982</v>
      </c>
      <c r="L412" s="108" t="s">
        <v>1983</v>
      </c>
      <c r="M412" s="109" t="s">
        <v>1962</v>
      </c>
      <c r="U412" s="108" t="s">
        <v>1951</v>
      </c>
      <c r="V412" s="108" t="s">
        <v>1952</v>
      </c>
      <c r="W412" s="108" t="s">
        <v>1953</v>
      </c>
      <c r="X412" s="108" t="s">
        <v>1954</v>
      </c>
      <c r="Y412" s="108" t="s">
        <v>1965</v>
      </c>
      <c r="Z412" s="108" t="s">
        <v>1966</v>
      </c>
      <c r="AA412" s="108" t="s">
        <v>1962</v>
      </c>
    </row>
    <row r="413" spans="2:27">
      <c r="B413" s="105">
        <v>179</v>
      </c>
      <c r="C413" s="105">
        <v>165</v>
      </c>
      <c r="D413" s="105">
        <v>192</v>
      </c>
      <c r="E413" s="105">
        <v>176</v>
      </c>
      <c r="F413" s="105">
        <v>162</v>
      </c>
      <c r="G413" s="105">
        <v>216</v>
      </c>
      <c r="H413" s="105">
        <v>197</v>
      </c>
      <c r="I413" s="105">
        <v>212</v>
      </c>
      <c r="J413" s="105">
        <v>199</v>
      </c>
      <c r="K413" s="105">
        <v>215</v>
      </c>
      <c r="L413" s="105">
        <v>192</v>
      </c>
      <c r="M413" s="110">
        <v>50</v>
      </c>
      <c r="U413" s="105">
        <v>1.6</v>
      </c>
      <c r="V413" s="105">
        <v>1.6</v>
      </c>
      <c r="W413" s="105">
        <v>1.6</v>
      </c>
      <c r="X413" s="105">
        <v>1.4</v>
      </c>
      <c r="Y413" s="105">
        <v>1.4</v>
      </c>
      <c r="Z413" s="105">
        <v>1.35</v>
      </c>
      <c r="AA413" s="105">
        <v>50</v>
      </c>
    </row>
    <row r="414" spans="2:27">
      <c r="B414" s="105">
        <v>228</v>
      </c>
      <c r="C414" s="105">
        <v>209</v>
      </c>
      <c r="D414" s="105">
        <v>244</v>
      </c>
      <c r="E414" s="105">
        <v>222</v>
      </c>
      <c r="F414" s="105">
        <v>207</v>
      </c>
      <c r="G414" s="105">
        <v>275</v>
      </c>
      <c r="H414" s="105">
        <v>253</v>
      </c>
      <c r="I414" s="105">
        <v>269</v>
      </c>
      <c r="J414" s="105">
        <v>254</v>
      </c>
      <c r="K414" s="105">
        <v>270</v>
      </c>
      <c r="L414" s="105">
        <v>244</v>
      </c>
      <c r="M414" s="105">
        <v>70</v>
      </c>
      <c r="U414" s="105">
        <v>1.1000000000000001</v>
      </c>
      <c r="V414" s="105">
        <v>1.1000000000000001</v>
      </c>
      <c r="W414" s="105">
        <v>1.1000000000000001</v>
      </c>
      <c r="X414" s="105">
        <v>0.96</v>
      </c>
      <c r="Y414" s="105">
        <v>0.97</v>
      </c>
      <c r="Z414" s="105">
        <v>0.99</v>
      </c>
      <c r="AA414" s="105">
        <v>70</v>
      </c>
    </row>
    <row r="415" spans="2:27">
      <c r="B415" s="105">
        <v>276</v>
      </c>
      <c r="C415" s="105">
        <v>252</v>
      </c>
      <c r="D415" s="105">
        <v>294</v>
      </c>
      <c r="E415" s="105">
        <v>267</v>
      </c>
      <c r="F415" s="105">
        <v>252</v>
      </c>
      <c r="G415" s="105">
        <v>332</v>
      </c>
      <c r="H415" s="105">
        <v>307</v>
      </c>
      <c r="I415" s="105">
        <v>328</v>
      </c>
      <c r="J415" s="105">
        <v>310</v>
      </c>
      <c r="K415" s="105">
        <v>324</v>
      </c>
      <c r="L415" s="105">
        <v>296</v>
      </c>
      <c r="M415" s="110">
        <v>95</v>
      </c>
      <c r="U415" s="105">
        <v>0.82</v>
      </c>
      <c r="V415" s="105">
        <v>0.83</v>
      </c>
      <c r="W415" s="105">
        <v>0.85</v>
      </c>
      <c r="X415" s="105">
        <v>0.71</v>
      </c>
      <c r="Y415" s="105">
        <v>0.74</v>
      </c>
      <c r="Z415" s="105">
        <v>0.76</v>
      </c>
      <c r="AA415" s="105">
        <v>95</v>
      </c>
    </row>
    <row r="416" spans="2:27">
      <c r="B416" s="105">
        <v>320</v>
      </c>
      <c r="C416" s="105">
        <v>291</v>
      </c>
      <c r="D416" s="105">
        <v>340</v>
      </c>
      <c r="E416" s="105">
        <v>308</v>
      </c>
      <c r="F416" s="105">
        <v>292</v>
      </c>
      <c r="G416" s="105">
        <v>384</v>
      </c>
      <c r="H416" s="105">
        <v>357</v>
      </c>
      <c r="I416" s="105">
        <v>378</v>
      </c>
      <c r="J416" s="105">
        <v>358</v>
      </c>
      <c r="K416" s="105">
        <v>372</v>
      </c>
      <c r="L416" s="105">
        <v>343</v>
      </c>
      <c r="M416" s="105">
        <v>120</v>
      </c>
      <c r="U416" s="105">
        <v>0.66</v>
      </c>
      <c r="V416" s="105">
        <v>0.66</v>
      </c>
      <c r="W416" s="105">
        <v>0.69</v>
      </c>
      <c r="X416" s="105">
        <v>0.56999999999999995</v>
      </c>
      <c r="Y416" s="105">
        <v>0.6</v>
      </c>
      <c r="Z416" s="105">
        <v>0.63</v>
      </c>
      <c r="AA416" s="105">
        <v>120</v>
      </c>
    </row>
    <row r="417" spans="2:27">
      <c r="B417" s="105">
        <v>368</v>
      </c>
      <c r="C417" s="105">
        <v>333</v>
      </c>
      <c r="D417" s="105">
        <v>390</v>
      </c>
      <c r="E417" s="105">
        <v>352</v>
      </c>
      <c r="F417" s="105">
        <v>337</v>
      </c>
      <c r="G417" s="105">
        <v>441</v>
      </c>
      <c r="H417" s="105">
        <v>411</v>
      </c>
      <c r="I417" s="105">
        <v>429</v>
      </c>
      <c r="J417" s="105">
        <v>409</v>
      </c>
      <c r="K417" s="105">
        <v>424</v>
      </c>
      <c r="L417" s="105">
        <v>394</v>
      </c>
      <c r="M417" s="110">
        <v>150</v>
      </c>
      <c r="U417" s="105">
        <v>0.52</v>
      </c>
      <c r="V417" s="105">
        <v>0.53</v>
      </c>
      <c r="W417" s="105">
        <v>0.56000000000000005</v>
      </c>
      <c r="X417" s="105">
        <v>0.46</v>
      </c>
      <c r="Y417" s="105">
        <v>0.49</v>
      </c>
      <c r="Z417" s="105">
        <v>0.52</v>
      </c>
      <c r="AA417" s="105">
        <v>150</v>
      </c>
    </row>
    <row r="418" spans="2:27">
      <c r="B418" s="105">
        <v>419</v>
      </c>
      <c r="C418" s="105">
        <v>378</v>
      </c>
      <c r="D418" s="105">
        <v>444</v>
      </c>
      <c r="E418" s="105">
        <v>400</v>
      </c>
      <c r="F418" s="105">
        <v>391</v>
      </c>
      <c r="G418" s="105">
        <v>511</v>
      </c>
      <c r="H418" s="105">
        <v>480</v>
      </c>
      <c r="I418" s="105">
        <v>490</v>
      </c>
      <c r="J418" s="105">
        <v>467</v>
      </c>
      <c r="K418" s="105">
        <v>477</v>
      </c>
      <c r="L418" s="105">
        <v>447</v>
      </c>
      <c r="M418" s="105">
        <v>185</v>
      </c>
      <c r="U418" s="105">
        <v>0.42</v>
      </c>
      <c r="V418" s="105">
        <v>0.43</v>
      </c>
      <c r="W418" s="105">
        <v>0.46</v>
      </c>
      <c r="X418" s="105">
        <v>0.38</v>
      </c>
      <c r="Y418" s="105">
        <v>0.4</v>
      </c>
      <c r="Z418" s="105">
        <v>0.44</v>
      </c>
      <c r="AA418" s="105">
        <v>185</v>
      </c>
    </row>
    <row r="419" spans="2:27">
      <c r="B419" s="105">
        <v>494</v>
      </c>
      <c r="C419" s="105">
        <v>443</v>
      </c>
      <c r="D419" s="105">
        <v>521</v>
      </c>
      <c r="E419" s="105">
        <v>468</v>
      </c>
      <c r="F419" s="105">
        <v>465</v>
      </c>
      <c r="G419" s="105">
        <v>605</v>
      </c>
      <c r="H419" s="105">
        <v>572</v>
      </c>
      <c r="I419" s="105">
        <v>576</v>
      </c>
      <c r="J419" s="105">
        <v>549</v>
      </c>
      <c r="K419" s="105">
        <v>554</v>
      </c>
      <c r="L419" s="105">
        <v>523</v>
      </c>
      <c r="M419" s="110">
        <v>240</v>
      </c>
      <c r="U419" s="105">
        <v>0.32</v>
      </c>
      <c r="V419" s="105">
        <v>0.34</v>
      </c>
      <c r="W419" s="105">
        <v>0.37</v>
      </c>
      <c r="X419" s="105">
        <v>0.28999999999999998</v>
      </c>
      <c r="Y419" s="105">
        <v>0.32</v>
      </c>
      <c r="Z419" s="105">
        <v>0.35</v>
      </c>
      <c r="AA419" s="105">
        <v>240</v>
      </c>
    </row>
    <row r="420" spans="2:27">
      <c r="B420" s="105">
        <v>568</v>
      </c>
      <c r="C420" s="105">
        <v>508</v>
      </c>
      <c r="D420" s="105">
        <v>597</v>
      </c>
      <c r="E420" s="105">
        <v>536</v>
      </c>
      <c r="F420" s="105">
        <v>540</v>
      </c>
      <c r="G420" s="105">
        <v>701</v>
      </c>
      <c r="H420" s="105">
        <v>666</v>
      </c>
      <c r="I420" s="105">
        <v>654</v>
      </c>
      <c r="J420" s="105">
        <v>624</v>
      </c>
      <c r="K420" s="105">
        <v>626</v>
      </c>
      <c r="L420" s="105">
        <v>595</v>
      </c>
      <c r="M420" s="105">
        <v>300</v>
      </c>
      <c r="U420" s="105">
        <v>0.26</v>
      </c>
      <c r="V420" s="105">
        <v>0.27</v>
      </c>
      <c r="W420" s="105">
        <v>0.3</v>
      </c>
      <c r="X420" s="105">
        <v>0.24</v>
      </c>
      <c r="Y420" s="105">
        <v>0.26</v>
      </c>
      <c r="Z420" s="105">
        <v>0.28999999999999998</v>
      </c>
      <c r="AA420" s="105">
        <v>300</v>
      </c>
    </row>
    <row r="421" spans="2:27">
      <c r="B421" s="105">
        <v>655</v>
      </c>
      <c r="C421" s="105">
        <v>573</v>
      </c>
      <c r="D421" s="105">
        <v>688</v>
      </c>
      <c r="E421" s="105">
        <v>608</v>
      </c>
      <c r="F421" s="105">
        <v>625</v>
      </c>
      <c r="G421" s="105">
        <v>812</v>
      </c>
      <c r="H421" s="105">
        <v>780</v>
      </c>
      <c r="I421" s="105">
        <v>735</v>
      </c>
      <c r="J421" s="105">
        <v>704</v>
      </c>
      <c r="K421" s="105">
        <v>693</v>
      </c>
      <c r="L421" s="105">
        <v>649</v>
      </c>
      <c r="M421" s="105">
        <v>380</v>
      </c>
      <c r="U421" s="105">
        <v>0.21</v>
      </c>
      <c r="V421" s="105">
        <v>0.23</v>
      </c>
      <c r="W421" s="105">
        <v>0.26</v>
      </c>
      <c r="X421" s="105">
        <v>0.19500000000000001</v>
      </c>
      <c r="Y421" s="105">
        <v>0.23</v>
      </c>
      <c r="Z421" s="105">
        <v>0.27</v>
      </c>
      <c r="AA421" s="105">
        <v>380</v>
      </c>
    </row>
    <row r="422" spans="2:27">
      <c r="B422" s="105">
        <v>747</v>
      </c>
      <c r="C422" s="105">
        <v>642</v>
      </c>
      <c r="D422" s="105">
        <v>786</v>
      </c>
      <c r="E422" s="105">
        <v>685</v>
      </c>
      <c r="F422" s="105">
        <v>714</v>
      </c>
      <c r="G422" s="105">
        <v>942</v>
      </c>
      <c r="H422" s="105">
        <v>906</v>
      </c>
      <c r="I422" s="105">
        <v>825</v>
      </c>
      <c r="J422" s="105">
        <v>790</v>
      </c>
      <c r="K422" s="105">
        <v>765</v>
      </c>
      <c r="L422" s="105">
        <v>717</v>
      </c>
      <c r="M422" s="105">
        <v>480</v>
      </c>
      <c r="U422" s="105">
        <v>0.16</v>
      </c>
      <c r="V422" s="105">
        <v>0.185</v>
      </c>
      <c r="W422" s="105">
        <v>0.23</v>
      </c>
      <c r="X422" s="105">
        <v>0.16</v>
      </c>
      <c r="Y422" s="105">
        <v>0.2</v>
      </c>
      <c r="Z422" s="105">
        <v>0.24</v>
      </c>
      <c r="AA422" s="105">
        <v>480</v>
      </c>
    </row>
    <row r="423" spans="2:27">
      <c r="B423" s="105">
        <v>836</v>
      </c>
      <c r="C423" s="105">
        <v>706</v>
      </c>
      <c r="D423" s="105">
        <v>880</v>
      </c>
      <c r="E423" s="105">
        <v>757</v>
      </c>
      <c r="F423" s="105">
        <v>801</v>
      </c>
      <c r="G423" s="105">
        <v>1076</v>
      </c>
      <c r="H423" s="105">
        <v>1036</v>
      </c>
      <c r="I423" s="105">
        <v>909</v>
      </c>
      <c r="J423" s="105">
        <v>872</v>
      </c>
      <c r="K423" s="105">
        <v>832</v>
      </c>
      <c r="L423" s="105">
        <v>780</v>
      </c>
      <c r="M423" s="105">
        <v>600</v>
      </c>
      <c r="U423" s="105">
        <v>0.13</v>
      </c>
      <c r="V423" s="105">
        <v>0.16</v>
      </c>
      <c r="W423" s="105">
        <v>0.2</v>
      </c>
      <c r="X423" s="105">
        <v>0.13500000000000001</v>
      </c>
      <c r="Y423" s="105">
        <v>0.17499999999999999</v>
      </c>
      <c r="Z423" s="105">
        <v>0.22</v>
      </c>
      <c r="AA423" s="105">
        <v>600</v>
      </c>
    </row>
    <row r="424" spans="2:27">
      <c r="B424" s="105">
        <v>934</v>
      </c>
      <c r="C424" s="105">
        <v>764</v>
      </c>
      <c r="D424" s="105">
        <v>988</v>
      </c>
      <c r="E424" s="105">
        <v>824</v>
      </c>
      <c r="F424" s="105">
        <v>897</v>
      </c>
      <c r="G424" s="105">
        <v>1250</v>
      </c>
      <c r="H424" s="105">
        <v>1205</v>
      </c>
      <c r="I424" s="105">
        <v>989</v>
      </c>
      <c r="J424" s="105">
        <v>950</v>
      </c>
      <c r="K424" s="105">
        <v>890</v>
      </c>
      <c r="L424" s="105">
        <v>835</v>
      </c>
      <c r="M424" s="105">
        <v>740</v>
      </c>
      <c r="U424" s="105">
        <v>0.105</v>
      </c>
      <c r="V424" s="105">
        <v>0.14000000000000001</v>
      </c>
      <c r="W424" s="105">
        <v>0.19</v>
      </c>
      <c r="X424" s="105">
        <v>0.12</v>
      </c>
      <c r="Y424" s="105">
        <v>0.16500000000000001</v>
      </c>
      <c r="Z424" s="105">
        <v>0.21</v>
      </c>
      <c r="AA424" s="105">
        <v>740</v>
      </c>
    </row>
    <row r="425" spans="2:27">
      <c r="B425" s="105">
        <v>1056</v>
      </c>
      <c r="C425" s="105">
        <v>838</v>
      </c>
      <c r="D425" s="105">
        <v>1121</v>
      </c>
      <c r="E425" s="105">
        <v>911</v>
      </c>
      <c r="F425" s="105">
        <v>1014</v>
      </c>
      <c r="G425" s="105">
        <v>1488</v>
      </c>
      <c r="H425" s="105">
        <v>1435</v>
      </c>
      <c r="I425" s="105">
        <v>1094</v>
      </c>
      <c r="J425" s="105">
        <v>1052</v>
      </c>
      <c r="K425" s="105">
        <v>970</v>
      </c>
      <c r="L425" s="105">
        <v>900</v>
      </c>
      <c r="M425" s="105">
        <v>960</v>
      </c>
      <c r="U425" s="105">
        <v>0.08</v>
      </c>
      <c r="V425" s="105">
        <v>0.12</v>
      </c>
      <c r="W425" s="105">
        <v>0.17</v>
      </c>
      <c r="X425" s="105">
        <v>0.105</v>
      </c>
      <c r="Y425" s="105">
        <v>0.15</v>
      </c>
      <c r="Z425" s="105">
        <v>0.19500000000000001</v>
      </c>
      <c r="AA425" s="105">
        <v>960</v>
      </c>
    </row>
    <row r="426" spans="2:27">
      <c r="B426" s="105">
        <v>1163</v>
      </c>
      <c r="C426" s="105">
        <v>903</v>
      </c>
      <c r="D426" s="105">
        <v>1236</v>
      </c>
      <c r="E426" s="105">
        <v>990</v>
      </c>
      <c r="F426" s="105">
        <v>1118</v>
      </c>
      <c r="G426" s="105">
        <v>1715</v>
      </c>
      <c r="H426" s="105">
        <v>1658</v>
      </c>
      <c r="I426" s="105">
        <v>1187</v>
      </c>
      <c r="J426" s="105">
        <v>1141</v>
      </c>
      <c r="K426" s="105">
        <v>1043</v>
      </c>
      <c r="L426" s="105">
        <v>980</v>
      </c>
      <c r="M426" s="105">
        <v>1200</v>
      </c>
      <c r="U426" s="105">
        <v>6.4000000000000001E-2</v>
      </c>
      <c r="V426" s="105">
        <v>0.105</v>
      </c>
      <c r="W426" s="105">
        <v>0.155</v>
      </c>
      <c r="X426" s="105">
        <v>9.2999999999999999E-2</v>
      </c>
      <c r="Y426" s="105">
        <v>0.14000000000000001</v>
      </c>
      <c r="Z426" s="105">
        <v>0.18</v>
      </c>
      <c r="AA426" s="105">
        <v>1200</v>
      </c>
    </row>
    <row r="429" spans="2:27">
      <c r="B429" s="105" t="s">
        <v>2047</v>
      </c>
      <c r="U429" s="105" t="s">
        <v>2048</v>
      </c>
    </row>
    <row r="431" spans="2:27" ht="34">
      <c r="B431" s="108" t="s">
        <v>1965</v>
      </c>
      <c r="C431" s="108" t="s">
        <v>1986</v>
      </c>
      <c r="D431" s="108" t="s">
        <v>1967</v>
      </c>
      <c r="E431" s="108" t="s">
        <v>1987</v>
      </c>
      <c r="F431" s="108" t="s">
        <v>1988</v>
      </c>
      <c r="G431" s="108" t="s">
        <v>1989</v>
      </c>
      <c r="H431" s="108" t="s">
        <v>1962</v>
      </c>
      <c r="U431" s="108" t="s">
        <v>1951</v>
      </c>
      <c r="V431" s="108" t="s">
        <v>1952</v>
      </c>
      <c r="W431" s="108" t="s">
        <v>1953</v>
      </c>
      <c r="X431" s="108" t="s">
        <v>1962</v>
      </c>
    </row>
    <row r="432" spans="2:27">
      <c r="B432" s="105">
        <v>82</v>
      </c>
      <c r="C432" s="105">
        <v>71</v>
      </c>
      <c r="D432" s="105">
        <v>85</v>
      </c>
      <c r="E432" s="105">
        <v>74</v>
      </c>
      <c r="F432" s="105">
        <v>71</v>
      </c>
      <c r="G432" s="105">
        <v>59</v>
      </c>
      <c r="H432" s="105">
        <v>16</v>
      </c>
      <c r="U432" s="105">
        <v>4.8</v>
      </c>
      <c r="V432" s="105">
        <v>4.8</v>
      </c>
      <c r="W432" s="105">
        <v>4.2</v>
      </c>
      <c r="X432" s="105">
        <v>16</v>
      </c>
    </row>
    <row r="433" spans="2:24">
      <c r="B433" s="105">
        <v>108</v>
      </c>
      <c r="C433" s="105">
        <v>92</v>
      </c>
      <c r="D433" s="105">
        <v>112</v>
      </c>
      <c r="E433" s="105">
        <v>98</v>
      </c>
      <c r="F433" s="105">
        <v>90</v>
      </c>
      <c r="G433" s="105">
        <v>75</v>
      </c>
      <c r="H433" s="105">
        <v>25</v>
      </c>
      <c r="U433" s="105">
        <v>3.1</v>
      </c>
      <c r="V433" s="105">
        <v>3.1</v>
      </c>
      <c r="W433" s="105">
        <v>2.7</v>
      </c>
      <c r="X433" s="105">
        <v>25</v>
      </c>
    </row>
    <row r="434" spans="2:24">
      <c r="B434" s="105">
        <v>132</v>
      </c>
      <c r="C434" s="105">
        <v>113</v>
      </c>
      <c r="D434" s="105">
        <v>138</v>
      </c>
      <c r="E434" s="105">
        <v>120</v>
      </c>
      <c r="F434" s="105">
        <v>108</v>
      </c>
      <c r="G434" s="105">
        <v>90</v>
      </c>
      <c r="H434" s="105">
        <v>35</v>
      </c>
      <c r="U434" s="105">
        <v>2.2000000000000002</v>
      </c>
      <c r="V434" s="105">
        <v>2.2000000000000002</v>
      </c>
      <c r="W434" s="105">
        <v>1.9</v>
      </c>
      <c r="X434" s="105">
        <v>35</v>
      </c>
    </row>
    <row r="435" spans="2:24">
      <c r="B435" s="105">
        <v>159</v>
      </c>
      <c r="C435" s="105">
        <v>137</v>
      </c>
      <c r="D435" s="105">
        <v>166</v>
      </c>
      <c r="E435" s="105">
        <v>145</v>
      </c>
      <c r="F435" s="105">
        <v>128</v>
      </c>
      <c r="G435" s="105">
        <v>106</v>
      </c>
      <c r="H435" s="105">
        <v>50</v>
      </c>
      <c r="U435" s="105">
        <v>1.6</v>
      </c>
      <c r="V435" s="105">
        <v>1.65</v>
      </c>
      <c r="W435" s="105">
        <v>1.4</v>
      </c>
      <c r="X435" s="105">
        <v>50</v>
      </c>
    </row>
    <row r="436" spans="2:24">
      <c r="B436" s="105">
        <v>201</v>
      </c>
      <c r="C436" s="105">
        <v>174</v>
      </c>
      <c r="D436" s="105">
        <v>211</v>
      </c>
      <c r="E436" s="105">
        <v>185</v>
      </c>
      <c r="F436" s="105">
        <v>158</v>
      </c>
      <c r="G436" s="105">
        <v>130</v>
      </c>
      <c r="H436" s="105">
        <v>70</v>
      </c>
      <c r="U436" s="105">
        <v>1.1000000000000001</v>
      </c>
      <c r="V436" s="105">
        <v>1.1000000000000001</v>
      </c>
      <c r="W436" s="105">
        <v>0.96</v>
      </c>
      <c r="X436" s="105">
        <v>70</v>
      </c>
    </row>
    <row r="437" spans="2:24">
      <c r="B437" s="105">
        <v>242</v>
      </c>
      <c r="C437" s="105">
        <v>214</v>
      </c>
      <c r="D437" s="105">
        <v>254</v>
      </c>
      <c r="E437" s="105">
        <v>224</v>
      </c>
      <c r="F437" s="105">
        <v>186</v>
      </c>
      <c r="G437" s="105">
        <v>154</v>
      </c>
      <c r="H437" s="105">
        <v>95</v>
      </c>
      <c r="U437" s="105">
        <v>0.82</v>
      </c>
      <c r="V437" s="105">
        <v>0.82</v>
      </c>
      <c r="W437" s="105">
        <v>0.71</v>
      </c>
      <c r="X437" s="105">
        <v>95</v>
      </c>
    </row>
    <row r="438" spans="2:24">
      <c r="C438" s="105">
        <v>249</v>
      </c>
      <c r="E438" s="105">
        <v>264</v>
      </c>
      <c r="G438" s="105">
        <v>174</v>
      </c>
      <c r="H438" s="105">
        <v>120</v>
      </c>
      <c r="W438" s="105">
        <v>0.56000000000000005</v>
      </c>
      <c r="X438" s="105">
        <v>120</v>
      </c>
    </row>
    <row r="439" spans="2:24">
      <c r="C439" s="105">
        <v>284</v>
      </c>
      <c r="E439" s="105">
        <v>305</v>
      </c>
      <c r="G439" s="105">
        <v>197</v>
      </c>
      <c r="H439" s="105">
        <v>150</v>
      </c>
      <c r="W439" s="105">
        <v>0.45</v>
      </c>
      <c r="X439" s="105">
        <v>150</v>
      </c>
    </row>
    <row r="440" spans="2:24">
      <c r="C440" s="105">
        <v>328</v>
      </c>
      <c r="E440" s="105">
        <v>350</v>
      </c>
      <c r="G440" s="105">
        <v>220</v>
      </c>
      <c r="H440" s="105">
        <v>185</v>
      </c>
      <c r="W440" s="105">
        <v>0.37</v>
      </c>
      <c r="X440" s="105">
        <v>185</v>
      </c>
    </row>
    <row r="441" spans="2:24">
      <c r="C441" s="105">
        <v>386</v>
      </c>
      <c r="E441" s="105">
        <v>418</v>
      </c>
      <c r="G441" s="105">
        <v>253</v>
      </c>
      <c r="H441" s="105">
        <v>240</v>
      </c>
      <c r="W441" s="105">
        <v>0.28000000000000003</v>
      </c>
      <c r="X441" s="105">
        <v>240</v>
      </c>
    </row>
    <row r="442" spans="2:24">
      <c r="C442" s="105">
        <v>441</v>
      </c>
      <c r="E442" s="105">
        <v>488</v>
      </c>
      <c r="G442" s="105">
        <v>286</v>
      </c>
      <c r="H442" s="105">
        <v>300</v>
      </c>
      <c r="W442" s="105">
        <v>0.23</v>
      </c>
      <c r="X442" s="105">
        <v>300</v>
      </c>
    </row>
  </sheetData>
  <pageMargins left="0.7" right="0.7" top="0.75" bottom="0.75" header="0.3" footer="0.3"/>
  <pageSetup paperSize="9" orientation="portrait" horizontalDpi="0" verticalDpi="0"/>
  <tableParts count="4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7B85-C148-DE4B-A69F-CF4232C53C03}">
  <sheetPr codeName="Sheet11"/>
  <dimension ref="A1:BF286"/>
  <sheetViews>
    <sheetView showGridLines="0" zoomScale="85" zoomScaleNormal="85" workbookViewId="0">
      <pane xSplit="3" ySplit="8" topLeftCell="D9" activePane="bottomRight" state="frozen"/>
      <selection activeCell="O51" sqref="O51"/>
      <selection pane="topRight" activeCell="O51" sqref="O51"/>
      <selection pane="bottomLeft" activeCell="O51" sqref="O51"/>
      <selection pane="bottomRight" activeCell="D9" sqref="D9"/>
    </sheetView>
  </sheetViews>
  <sheetFormatPr baseColWidth="10" defaultColWidth="9.1640625" defaultRowHeight="13"/>
  <cols>
    <col min="1" max="1" width="9.6640625" style="112" customWidth="1"/>
    <col min="2" max="2" width="51.33203125" style="112" customWidth="1"/>
    <col min="3" max="3" width="9.6640625" style="112" hidden="1" customWidth="1"/>
    <col min="4" max="4" width="9.83203125" style="112" customWidth="1"/>
    <col min="5" max="8" width="10.33203125" style="112" bestFit="1" customWidth="1"/>
    <col min="9" max="13" width="9.6640625" style="112" customWidth="1"/>
    <col min="14" max="14" width="10" style="112" customWidth="1"/>
    <col min="15" max="42" width="9.6640625" style="112" customWidth="1"/>
    <col min="43" max="43" width="9.6640625" style="114" customWidth="1"/>
    <col min="44" max="16384" width="9.1640625" style="112"/>
  </cols>
  <sheetData>
    <row r="1" spans="1:43" ht="12.75" customHeight="1">
      <c r="B1" s="113" t="s">
        <v>2049</v>
      </c>
    </row>
    <row r="2" spans="1:43" ht="15.75" customHeight="1">
      <c r="B2" s="115" t="s">
        <v>2050</v>
      </c>
      <c r="I2" s="116"/>
      <c r="J2" s="117"/>
      <c r="K2" s="117"/>
      <c r="L2" s="116"/>
      <c r="M2" s="116"/>
      <c r="N2" s="118">
        <f ca="1">NOW()</f>
        <v>45621.554740856482</v>
      </c>
    </row>
    <row r="3" spans="1:43" ht="16">
      <c r="B3" s="119" t="str">
        <f ca="1">MID(CELL("filename",A1),FIND("]",CELL("filename",A1))+1,255)</f>
        <v>CABLE SIZING TOOL</v>
      </c>
      <c r="I3" s="120"/>
      <c r="J3" s="121"/>
      <c r="K3" s="121"/>
      <c r="L3" s="121"/>
      <c r="M3" s="121"/>
      <c r="N3" s="121"/>
    </row>
    <row r="4" spans="1:43" ht="16">
      <c r="A4" s="122"/>
      <c r="C4" s="123"/>
      <c r="D4" s="123"/>
      <c r="E4" s="123"/>
      <c r="F4" s="123"/>
      <c r="G4" s="123"/>
      <c r="H4" s="123"/>
      <c r="I4" s="120"/>
      <c r="J4" s="120"/>
      <c r="K4" s="120"/>
      <c r="L4" s="121"/>
      <c r="M4" s="121"/>
      <c r="N4" s="121"/>
      <c r="Q4" s="123"/>
      <c r="Z4" s="124"/>
      <c r="AA4" s="125"/>
    </row>
    <row r="5" spans="1:43" ht="16">
      <c r="A5" s="124"/>
      <c r="B5" s="124"/>
      <c r="C5" s="123"/>
      <c r="D5" s="123"/>
      <c r="E5" s="123"/>
      <c r="F5" s="123"/>
      <c r="G5" s="123"/>
      <c r="H5" s="123"/>
      <c r="I5" s="120"/>
      <c r="J5" s="120"/>
      <c r="K5" s="120"/>
      <c r="L5" s="121"/>
      <c r="M5" s="121"/>
      <c r="N5" s="121"/>
      <c r="Q5" s="123"/>
      <c r="Z5" s="124"/>
      <c r="AA5" s="125"/>
    </row>
    <row r="6" spans="1:43" ht="16">
      <c r="A6" s="124"/>
      <c r="B6" s="124"/>
      <c r="C6" s="123"/>
      <c r="D6" s="120"/>
      <c r="E6" s="120"/>
      <c r="F6" s="120"/>
      <c r="G6" s="126"/>
      <c r="H6" s="126"/>
      <c r="I6" s="120"/>
      <c r="J6" s="121"/>
      <c r="K6" s="121"/>
      <c r="L6" s="123"/>
      <c r="M6" s="123"/>
      <c r="N6" s="123"/>
      <c r="O6" s="123"/>
      <c r="P6" s="124"/>
      <c r="Q6" s="124"/>
      <c r="R6" s="124"/>
      <c r="S6" s="124"/>
      <c r="T6" s="125"/>
      <c r="Y6" s="114"/>
      <c r="AQ6" s="112"/>
    </row>
    <row r="7" spans="1:43" ht="17">
      <c r="A7" s="127"/>
      <c r="B7" s="128" t="s">
        <v>12</v>
      </c>
      <c r="C7" s="129" t="s">
        <v>2051</v>
      </c>
      <c r="D7" s="130" t="s">
        <v>2052</v>
      </c>
      <c r="E7" s="130" t="s">
        <v>2053</v>
      </c>
      <c r="F7" s="130" t="s">
        <v>2054</v>
      </c>
      <c r="G7" s="130" t="s">
        <v>2055</v>
      </c>
      <c r="H7" s="130" t="s">
        <v>2056</v>
      </c>
      <c r="I7" s="130" t="s">
        <v>2057</v>
      </c>
      <c r="J7" s="130" t="s">
        <v>2058</v>
      </c>
      <c r="K7" s="130" t="s">
        <v>2059</v>
      </c>
      <c r="L7" s="130" t="s">
        <v>2060</v>
      </c>
      <c r="M7" s="131"/>
      <c r="N7" s="132" t="s">
        <v>1810</v>
      </c>
      <c r="O7" s="133" t="s">
        <v>2061</v>
      </c>
      <c r="AQ7" s="112"/>
    </row>
    <row r="8" spans="1:43" ht="68">
      <c r="A8" s="134"/>
      <c r="B8" s="135"/>
      <c r="C8" s="136"/>
      <c r="D8" s="137" t="s">
        <v>2593</v>
      </c>
      <c r="E8" s="137" t="s">
        <v>2594</v>
      </c>
      <c r="F8" s="137" t="s">
        <v>2595</v>
      </c>
      <c r="G8" s="137" t="s">
        <v>2596</v>
      </c>
      <c r="H8" s="137" t="s">
        <v>2597</v>
      </c>
      <c r="I8" s="137" t="s">
        <v>2598</v>
      </c>
      <c r="J8" s="137" t="s">
        <v>2599</v>
      </c>
      <c r="K8" s="137" t="s">
        <v>2703</v>
      </c>
      <c r="L8" s="137" t="s">
        <v>2702</v>
      </c>
      <c r="M8" s="135"/>
      <c r="N8" s="135"/>
      <c r="O8" s="138"/>
      <c r="AQ8" s="112"/>
    </row>
    <row r="9" spans="1:43" ht="16">
      <c r="A9" s="131"/>
      <c r="B9" s="148" t="s">
        <v>2062</v>
      </c>
      <c r="C9" s="149"/>
      <c r="D9" s="150">
        <f>'Customer Base'!J7/'Customer Base'!D15</f>
        <v>5</v>
      </c>
      <c r="E9" s="150">
        <f ca="1">IF(SUMPRODUCT(Items!A$6:A$120,Items!AP$6:AP$120)&gt;0,('Customer Base'!J$7/'Customer Base'!D$15),IF(SUMPRODUCT(Items!A$257:A$289,Items!AP$257:AP$289)&gt;0,('Customer Base'!J$7/'Customer Base'!D$15),""))</f>
        <v>5</v>
      </c>
      <c r="F9" s="150">
        <f ca="1">E9</f>
        <v>5</v>
      </c>
      <c r="G9" s="150">
        <f ca="1">E9</f>
        <v>5</v>
      </c>
      <c r="H9" s="150">
        <f ca="1">E9</f>
        <v>5</v>
      </c>
      <c r="I9" s="150">
        <v>162</v>
      </c>
      <c r="J9" s="150">
        <f>D9*'Customer Base'!D15</f>
        <v>5</v>
      </c>
      <c r="K9" s="150">
        <v>100</v>
      </c>
      <c r="L9" s="150">
        <v>250</v>
      </c>
      <c r="M9" s="150"/>
      <c r="N9" s="150">
        <v>180</v>
      </c>
      <c r="O9" s="131" t="str">
        <f>IF(N9&gt;0,"kW","")</f>
        <v>kW</v>
      </c>
      <c r="P9" s="124"/>
      <c r="AQ9" s="112"/>
    </row>
    <row r="10" spans="1:43" ht="16">
      <c r="A10" s="151"/>
      <c r="B10" s="151"/>
      <c r="C10" s="152"/>
      <c r="D10" s="152"/>
      <c r="E10" s="152"/>
      <c r="F10" s="152"/>
      <c r="G10" s="152"/>
      <c r="H10" s="152"/>
      <c r="I10" s="152"/>
      <c r="J10" s="152"/>
      <c r="K10" s="152"/>
      <c r="L10" s="152"/>
      <c r="M10" s="144"/>
      <c r="N10" s="152"/>
      <c r="O10" s="153"/>
      <c r="AQ10" s="112"/>
    </row>
    <row r="11" spans="1:43" ht="16">
      <c r="A11" s="151"/>
      <c r="B11" s="151" t="s">
        <v>2063</v>
      </c>
      <c r="C11" s="152"/>
      <c r="D11" s="154">
        <f>D9*100%</f>
        <v>5</v>
      </c>
      <c r="E11" s="154">
        <f ca="1">IFERROR(E9*100%,0)</f>
        <v>5</v>
      </c>
      <c r="F11" s="154">
        <f t="shared" ref="F11:H11" ca="1" si="0">IFERROR(F9*100%,0)</f>
        <v>5</v>
      </c>
      <c r="G11" s="154">
        <f t="shared" ca="1" si="0"/>
        <v>5</v>
      </c>
      <c r="H11" s="154">
        <f t="shared" ca="1" si="0"/>
        <v>5</v>
      </c>
      <c r="I11" s="154">
        <f t="shared" ref="I11:L11" si="1">I9*100%</f>
        <v>162</v>
      </c>
      <c r="J11" s="154">
        <f t="shared" si="1"/>
        <v>5</v>
      </c>
      <c r="K11" s="154">
        <f>K9*100%</f>
        <v>100</v>
      </c>
      <c r="L11" s="154">
        <f t="shared" si="1"/>
        <v>250</v>
      </c>
      <c r="M11" s="144"/>
      <c r="N11" s="155">
        <f>N9*100%</f>
        <v>180</v>
      </c>
      <c r="O11" s="143" t="str">
        <f>IF(N11&gt;0,"kW","")</f>
        <v>kW</v>
      </c>
      <c r="AQ11" s="112"/>
    </row>
    <row r="12" spans="1:43" ht="16">
      <c r="A12" s="151"/>
      <c r="B12" s="151"/>
      <c r="C12" s="152"/>
      <c r="D12" s="152"/>
      <c r="E12" s="152"/>
      <c r="F12" s="152"/>
      <c r="G12" s="152"/>
      <c r="H12" s="152"/>
      <c r="I12" s="152"/>
      <c r="J12" s="152"/>
      <c r="K12" s="152"/>
      <c r="L12" s="152"/>
      <c r="M12" s="144"/>
      <c r="N12" s="152"/>
      <c r="O12" s="153"/>
      <c r="AQ12" s="112"/>
    </row>
    <row r="13" spans="1:43" ht="16">
      <c r="A13" s="151"/>
      <c r="B13" s="151" t="s">
        <v>2064</v>
      </c>
      <c r="C13" s="152"/>
      <c r="D13" s="152">
        <f>D11/0.8</f>
        <v>6.25</v>
      </c>
      <c r="E13" s="152">
        <f ca="1">E11/1</f>
        <v>5</v>
      </c>
      <c r="F13" s="152">
        <f t="shared" ref="F13:H13" ca="1" si="2">F11/1</f>
        <v>5</v>
      </c>
      <c r="G13" s="152">
        <f t="shared" ca="1" si="2"/>
        <v>5</v>
      </c>
      <c r="H13" s="152">
        <f t="shared" ca="1" si="2"/>
        <v>5</v>
      </c>
      <c r="I13" s="152">
        <f t="shared" ref="I13:L13" si="3">I11/0.8</f>
        <v>202.5</v>
      </c>
      <c r="J13" s="152">
        <f t="shared" si="3"/>
        <v>6.25</v>
      </c>
      <c r="K13" s="152">
        <f t="shared" si="3"/>
        <v>125</v>
      </c>
      <c r="L13" s="152">
        <f t="shared" si="3"/>
        <v>312.5</v>
      </c>
      <c r="M13" s="144"/>
      <c r="N13" s="146">
        <f>N11/0.8</f>
        <v>225</v>
      </c>
      <c r="O13" s="143" t="str">
        <f>IF(N13&gt;0,"kVA","")</f>
        <v>kVA</v>
      </c>
      <c r="AQ13" s="112"/>
    </row>
    <row r="14" spans="1:43" ht="16">
      <c r="A14" s="151"/>
      <c r="B14" s="151"/>
      <c r="C14" s="152"/>
      <c r="D14" s="152"/>
      <c r="E14" s="152"/>
      <c r="F14" s="152"/>
      <c r="G14" s="152"/>
      <c r="H14" s="152"/>
      <c r="I14" s="152"/>
      <c r="J14" s="152"/>
      <c r="K14" s="152"/>
      <c r="L14" s="152"/>
      <c r="M14" s="144"/>
      <c r="N14" s="152"/>
      <c r="O14" s="153"/>
      <c r="AQ14" s="112"/>
    </row>
    <row r="15" spans="1:43" ht="16">
      <c r="A15" s="151"/>
      <c r="B15" s="151" t="s">
        <v>2065</v>
      </c>
      <c r="C15" s="152"/>
      <c r="D15" s="146">
        <f>D13*0%</f>
        <v>0</v>
      </c>
      <c r="E15" s="146">
        <f ca="1">E13*0%</f>
        <v>0</v>
      </c>
      <c r="F15" s="146">
        <f t="shared" ref="F15:L15" ca="1" si="4">F13*0%</f>
        <v>0</v>
      </c>
      <c r="G15" s="146">
        <f t="shared" ca="1" si="4"/>
        <v>0</v>
      </c>
      <c r="H15" s="146">
        <f ca="1">H13*0%</f>
        <v>0</v>
      </c>
      <c r="I15" s="146">
        <f t="shared" si="4"/>
        <v>0</v>
      </c>
      <c r="J15" s="146">
        <f t="shared" si="4"/>
        <v>0</v>
      </c>
      <c r="K15" s="146">
        <f>K13*0%</f>
        <v>0</v>
      </c>
      <c r="L15" s="146">
        <f t="shared" si="4"/>
        <v>0</v>
      </c>
      <c r="M15" s="144"/>
      <c r="N15" s="146">
        <f>N13*0%</f>
        <v>0</v>
      </c>
      <c r="O15" s="143" t="str">
        <f>IF(N15&gt;0,"kVA","")</f>
        <v/>
      </c>
      <c r="AQ15" s="112"/>
    </row>
    <row r="16" spans="1:43" ht="16">
      <c r="A16" s="151"/>
      <c r="B16" s="151"/>
      <c r="C16" s="152"/>
      <c r="D16" s="152"/>
      <c r="E16" s="152"/>
      <c r="F16" s="152"/>
      <c r="G16" s="152"/>
      <c r="H16" s="152"/>
      <c r="I16" s="152"/>
      <c r="J16" s="152"/>
      <c r="K16" s="152"/>
      <c r="L16" s="152"/>
      <c r="M16" s="144"/>
      <c r="N16" s="152"/>
      <c r="O16" s="153"/>
      <c r="AQ16" s="112"/>
    </row>
    <row r="17" spans="1:43" ht="16">
      <c r="A17" s="151"/>
      <c r="B17" s="151" t="s">
        <v>2066</v>
      </c>
      <c r="C17" s="152"/>
      <c r="D17" s="146">
        <f>SUM(D13,D15)</f>
        <v>6.25</v>
      </c>
      <c r="E17" s="146">
        <f ca="1">SUM(E13,E15)</f>
        <v>5</v>
      </c>
      <c r="F17" s="146">
        <f t="shared" ref="F17:L17" ca="1" si="5">SUM(F13,F15)</f>
        <v>5</v>
      </c>
      <c r="G17" s="146">
        <f t="shared" ca="1" si="5"/>
        <v>5</v>
      </c>
      <c r="H17" s="146">
        <f ca="1">SUM(H13,H15)</f>
        <v>5</v>
      </c>
      <c r="I17" s="146">
        <f t="shared" si="5"/>
        <v>202.5</v>
      </c>
      <c r="J17" s="146">
        <f t="shared" si="5"/>
        <v>6.25</v>
      </c>
      <c r="K17" s="146">
        <f>SUM(K13,K15)</f>
        <v>125</v>
      </c>
      <c r="L17" s="146">
        <f t="shared" si="5"/>
        <v>312.5</v>
      </c>
      <c r="M17" s="144"/>
      <c r="N17" s="146">
        <f>SUM(N13,N15)</f>
        <v>225</v>
      </c>
      <c r="O17" s="143" t="str">
        <f>IF(N17&gt;0,"kVA","")</f>
        <v>kVA</v>
      </c>
      <c r="AQ17" s="112"/>
    </row>
    <row r="18" spans="1:43" ht="16">
      <c r="A18" s="151"/>
      <c r="B18" s="151"/>
      <c r="C18" s="152"/>
      <c r="D18" s="152"/>
      <c r="E18" s="152"/>
      <c r="F18" s="152"/>
      <c r="G18" s="152"/>
      <c r="H18" s="152"/>
      <c r="I18" s="152"/>
      <c r="J18" s="152"/>
      <c r="K18" s="152"/>
      <c r="L18" s="152"/>
      <c r="M18" s="144"/>
      <c r="N18" s="152"/>
      <c r="O18" s="153"/>
      <c r="AQ18" s="112"/>
    </row>
    <row r="19" spans="1:43" ht="15.75" customHeight="1">
      <c r="A19" s="391" t="s">
        <v>2067</v>
      </c>
      <c r="B19" s="127" t="s">
        <v>2068</v>
      </c>
      <c r="C19" s="129"/>
      <c r="D19" s="157">
        <v>1</v>
      </c>
      <c r="E19" s="157">
        <v>1</v>
      </c>
      <c r="F19" s="157">
        <v>1</v>
      </c>
      <c r="G19" s="157">
        <v>1</v>
      </c>
      <c r="H19" s="157">
        <v>1</v>
      </c>
      <c r="I19" s="157">
        <v>1</v>
      </c>
      <c r="J19" s="157">
        <v>1</v>
      </c>
      <c r="K19" s="157">
        <v>1</v>
      </c>
      <c r="L19" s="157">
        <v>1</v>
      </c>
      <c r="M19" s="141"/>
      <c r="N19" s="157">
        <v>1</v>
      </c>
      <c r="O19" s="128" t="str">
        <f>IF(N19&gt;0,"A","")</f>
        <v>A</v>
      </c>
      <c r="AQ19" s="112"/>
    </row>
    <row r="20" spans="1:43" ht="16">
      <c r="A20" s="392"/>
      <c r="B20" s="151" t="s">
        <v>2069</v>
      </c>
      <c r="C20" s="152"/>
      <c r="D20" s="142">
        <v>1</v>
      </c>
      <c r="E20" s="142"/>
      <c r="F20" s="142"/>
      <c r="G20" s="142"/>
      <c r="H20" s="142"/>
      <c r="I20" s="142"/>
      <c r="J20" s="142">
        <v>1</v>
      </c>
      <c r="K20" s="142">
        <v>1</v>
      </c>
      <c r="L20" s="142">
        <v>1</v>
      </c>
      <c r="M20" s="144"/>
      <c r="N20" s="142">
        <v>1</v>
      </c>
      <c r="O20" s="143" t="str">
        <f>IF(N20&gt;0,"A","")</f>
        <v>A</v>
      </c>
      <c r="AQ20" s="112"/>
    </row>
    <row r="21" spans="1:43" ht="16">
      <c r="A21" s="393"/>
      <c r="B21" s="134" t="s">
        <v>2070</v>
      </c>
      <c r="C21" s="136"/>
      <c r="D21" s="145">
        <v>1</v>
      </c>
      <c r="E21" s="145"/>
      <c r="F21" s="145"/>
      <c r="G21" s="145"/>
      <c r="H21" s="145"/>
      <c r="I21" s="145"/>
      <c r="J21" s="145">
        <v>1</v>
      </c>
      <c r="K21" s="145">
        <v>1</v>
      </c>
      <c r="L21" s="145">
        <v>1</v>
      </c>
      <c r="M21" s="160"/>
      <c r="N21" s="145">
        <v>1</v>
      </c>
      <c r="O21" s="135" t="str">
        <f>IF(N21&gt;0,"A","")</f>
        <v>A</v>
      </c>
      <c r="AQ21" s="112"/>
    </row>
    <row r="22" spans="1:43" s="124" customFormat="1" ht="16">
      <c r="A22" s="161"/>
      <c r="B22" s="151"/>
      <c r="C22" s="152"/>
      <c r="D22" s="152"/>
      <c r="E22" s="152"/>
      <c r="F22" s="152"/>
      <c r="G22" s="152"/>
      <c r="H22" s="152"/>
      <c r="I22" s="152"/>
      <c r="J22" s="152"/>
      <c r="K22" s="152"/>
      <c r="L22" s="152"/>
      <c r="M22" s="152"/>
      <c r="N22" s="152"/>
      <c r="O22" s="143"/>
    </row>
    <row r="23" spans="1:43" s="124" customFormat="1" ht="19">
      <c r="A23" s="161" t="s">
        <v>2071</v>
      </c>
      <c r="B23" s="151" t="s">
        <v>2072</v>
      </c>
      <c r="C23" s="152"/>
      <c r="D23" s="152">
        <f>IF(D55&lt;&gt;"",D$17*1000/(IF(D57=1,240,IF(D57=3,(SQRT(3)*400)))),"")</f>
        <v>26.041666666666668</v>
      </c>
      <c r="E23" s="152">
        <f ca="1">IFERROR(IF(E55&lt;&gt;"",(SUMPRODUCT(Items!A$242:A$254,Items!AP$242:AP$254)/SUM(Items!A$242:A$254))*IF(OR('Client List'!EE474&gt;0,'Client List'!AA501&gt;0),MAX('Client List'!EE474,'Client List'!IM474,IF(AND('Client List'!EE474=0,'Client List'!IM474=0),'Client List'!EC474,0)),IF(OR('Customer Base'!D7="Grid-Tied",AND('Customer Base'!D7="Hybrid",SUMPRODUCT(Items!A6:A132,Items!AP6:AP132)&gt;0)),1,Items!L1)),0),"")</f>
        <v>28.619999999999997</v>
      </c>
      <c r="F23" s="152">
        <f ca="1">E23</f>
        <v>28.619999999999997</v>
      </c>
      <c r="G23" s="152">
        <f ca="1">E23</f>
        <v>28.619999999999997</v>
      </c>
      <c r="H23" s="152">
        <f ca="1">E23</f>
        <v>28.619999999999997</v>
      </c>
      <c r="I23" s="152">
        <f>SUMPRODUCT(Items!A$6:A$132,Items!AW$6:AW$132)/'Customer Base'!D15</f>
        <v>70</v>
      </c>
      <c r="J23" s="152">
        <f t="shared" ref="J23" si="6">IF(J55&lt;&gt;"",J$17*1000/(IF(J57=1,240,IF(J57=3,(SQRT(3)*400)))),"")</f>
        <v>26.041666666666668</v>
      </c>
      <c r="K23" s="152">
        <f>SUMPRODUCT(Items!A$242:A$254,Items!AP$242:AP$254)/SUM(Items!A$242:A$254)</f>
        <v>14.309999999999999</v>
      </c>
      <c r="L23" s="152">
        <f>SUMPRODUCT(Items!A$242:A$254,Items!AP$242:AP$254)/SUM(Items!A$242:A$254)</f>
        <v>14.309999999999999</v>
      </c>
      <c r="M23" s="152" t="str">
        <f>IF(M55&lt;&gt;"",M$17*1000/(IF(M57=1,240,IF(M57=3,(SQRT(3)*415)))),"")</f>
        <v/>
      </c>
      <c r="N23" s="152">
        <f>IF(N55&lt;&gt;"",N$17*1000/(IF(N57=1,240,IF(N57=3,(SQRT(3)*415)))),"")</f>
        <v>313.02123028353208</v>
      </c>
      <c r="O23" s="143" t="str">
        <f>IF(N23&gt;0,"A","")</f>
        <v>A</v>
      </c>
    </row>
    <row r="24" spans="1:43">
      <c r="A24" s="144"/>
      <c r="B24" s="144"/>
      <c r="C24" s="144"/>
      <c r="D24" s="144"/>
      <c r="E24" s="144"/>
      <c r="F24" s="144"/>
      <c r="G24" s="144"/>
      <c r="H24" s="144"/>
      <c r="I24" s="144"/>
      <c r="J24" s="144"/>
      <c r="K24" s="144"/>
      <c r="L24" s="144"/>
      <c r="M24" s="144"/>
      <c r="N24" s="144"/>
      <c r="O24" s="153"/>
      <c r="AQ24" s="112"/>
    </row>
    <row r="25" spans="1:43" s="124" customFormat="1" ht="16">
      <c r="A25" s="161"/>
      <c r="B25" s="151" t="s">
        <v>2073</v>
      </c>
      <c r="C25" s="152"/>
      <c r="D25" s="152">
        <f>IF(ISNUMBER(SEARCH("CU",D$7)),SUM(D19:D21),MAX(D19:D21))</f>
        <v>1</v>
      </c>
      <c r="E25" s="152">
        <f t="shared" ref="E25:L25" si="7">IF(ISNUMBER(SEARCH("CU",E$7)),SUM(E19:E21),MAX(E19:E21))</f>
        <v>1</v>
      </c>
      <c r="F25" s="152">
        <f t="shared" si="7"/>
        <v>1</v>
      </c>
      <c r="G25" s="152">
        <f t="shared" si="7"/>
        <v>1</v>
      </c>
      <c r="H25" s="152">
        <f>IF(ISNUMBER(SEARCH("CU",H$7)),SUM(H19:H21),MAX(H19:H21))</f>
        <v>1</v>
      </c>
      <c r="I25" s="152">
        <f t="shared" si="7"/>
        <v>1</v>
      </c>
      <c r="J25" s="152">
        <f t="shared" si="7"/>
        <v>1</v>
      </c>
      <c r="K25" s="152">
        <f>IF(ISNUMBER(SEARCH("CU",K$7)),SUM(K19:K21),MAX(K19:K21))</f>
        <v>1</v>
      </c>
      <c r="L25" s="152">
        <f t="shared" si="7"/>
        <v>1</v>
      </c>
      <c r="M25" s="152">
        <f>IF(ISNUMBER(SEARCH("CU",M$7)),SUM(M19:M21),MAX(M19:M21))</f>
        <v>0</v>
      </c>
      <c r="N25" s="152">
        <f>IF(ISNUMBER(SEARCH("CU",N$7)),SUM(N19:N21),MAX(N19:N21))</f>
        <v>1</v>
      </c>
      <c r="O25" s="143" t="str">
        <f>IF(N25&gt;0,"A","")</f>
        <v>A</v>
      </c>
    </row>
    <row r="26" spans="1:43" s="124" customFormat="1" ht="16">
      <c r="A26" s="161"/>
      <c r="B26" s="151"/>
      <c r="C26" s="152"/>
      <c r="D26" s="152"/>
      <c r="E26" s="152"/>
      <c r="F26" s="152"/>
      <c r="G26" s="152"/>
      <c r="H26" s="152"/>
      <c r="I26" s="152"/>
      <c r="J26" s="152"/>
      <c r="K26" s="152"/>
      <c r="L26" s="152"/>
      <c r="M26" s="152"/>
      <c r="N26" s="152"/>
      <c r="O26" s="143"/>
    </row>
    <row r="27" spans="1:43" s="124" customFormat="1" ht="19">
      <c r="A27" s="161" t="s">
        <v>2074</v>
      </c>
      <c r="B27" s="151" t="s">
        <v>2075</v>
      </c>
      <c r="C27" s="152"/>
      <c r="D27" s="152">
        <f>IF(D$23&lt;&gt;0,IF(D$23*1.2&lt;3,3,IF(D$23*1.2&lt;6,6,IF(D$23*1.2&lt;10,10,IF(D$23*1.2&lt;16,16,IF(D$23*1.2&lt;20,20,IF(D$23*1.2&lt;25,25,IF(D$23*1.2&lt;32,32,IF(D$23*1.2&lt;40,40,IF(D$23*1.2&lt;50,50,IF(D$23*1.2&lt;63,63,IF(D$23*1.2&lt;80,80,IF(D$23*1.2&lt;100,100,IF(D$23*1.2&lt;125,125,IF(D$23*1.2&lt;150,150,IF(D$23*1.2&lt;200,200,IF(D$23*1.2&lt;250,250,IF(D$23*1.2&lt;320,320,IF(D$23*1.2&lt;400,400,IF(D$23*1.2&lt;500,500,IF(D$23*1.2&lt;630,630,IF(D$23*1.2&lt;800,800,IF(D$23*1.2&lt;1000,1000,IF(D$23*1.2&lt;1200,1200,IF(D$23*1.2&lt;1400,1400,IF(D$23*1.2&lt;1600,1600,""))))))))))))))))))))))))),"")</f>
        <v>32</v>
      </c>
      <c r="E27" s="152">
        <f t="shared" ref="E27:N27" ca="1" si="8">IF(E$23&lt;&gt;0,IF(E$23&lt;3,3,IF(E$23&lt;6,6,IF(E$23&lt;10,10,IF(E$23&lt;16,16,IF(E$23&lt;20,20,IF(E$23&lt;25,25,IF(E$23&lt;32,32,IF(E$23&lt;40,40,IF(E$23&lt;50,50,IF(E$23&lt;63,63,IF(E$23&lt;80,80,IF(E$23&lt;100,100,IF(E$23&lt;125,125,IF(E$23&lt;150,150,IF(E$23&lt;200,200,IF(E$23&lt;250,250,IF(E$23&lt;320,320,IF(E$23&lt;400,400,IF(E$23&lt;500,500,IF(E$23&lt;630,630,IF(E$23&lt;800,800,IF(E$23&lt;1000,1000,IF(E$23&lt;1200,1200,IF(E$23&lt;1400,1400,IF(E$23&lt;1600,1600,""))))))))))))))))))))))))),"")</f>
        <v>32</v>
      </c>
      <c r="F27" s="152">
        <f t="shared" ca="1" si="8"/>
        <v>32</v>
      </c>
      <c r="G27" s="152">
        <f t="shared" ca="1" si="8"/>
        <v>32</v>
      </c>
      <c r="H27" s="152">
        <f t="shared" ca="1" si="8"/>
        <v>32</v>
      </c>
      <c r="I27" s="152">
        <f t="shared" si="8"/>
        <v>80</v>
      </c>
      <c r="J27" s="152">
        <f>IF(J$23&lt;&gt;0,IF(J$23*1.2&lt;3,3,IF(J$23*1.2&lt;6,6,IF(J$23*1.2&lt;10,10,IF(J$23*1.2&lt;16,16,IF(J$23*1.2&lt;20,20,IF(J$23*1.2&lt;25,25,IF(J$23*1.2&lt;32,32,IF(J$23*1.2&lt;40,40,IF(J$23*1.2&lt;50,50,IF(J$23*1.2&lt;63,63,IF(J$23*1.2&lt;80,80,IF(J$23*1.2&lt;100,100,IF(J$23*1.2&lt;125,125,IF(J$23*1.2&lt;150,150,IF(J$23*1.2&lt;200,200,IF(J$23*1.2&lt;250,250,IF(J$23*1.2&lt;320,320,IF(J$23*1.2&lt;400,400,IF(J$23*1.2&lt;500,500,IF(J$23*1.2&lt;630,630,IF(J$23*1.2&lt;800,800,IF(J$23*1.2&lt;1000,1000,IF(J$23*1.2&lt;1200,1200,IF(J$23*1.2&lt;1400,1400,IF(J$23*1.2&lt;1600,1600,""))))))))))))))))))))))))),"")</f>
        <v>32</v>
      </c>
      <c r="K27" s="152">
        <f t="shared" si="8"/>
        <v>16</v>
      </c>
      <c r="L27" s="152">
        <f t="shared" si="8"/>
        <v>16</v>
      </c>
      <c r="M27" s="152" t="str">
        <f t="shared" si="8"/>
        <v/>
      </c>
      <c r="N27" s="162">
        <f t="shared" si="8"/>
        <v>320</v>
      </c>
      <c r="O27" s="143" t="str">
        <f>IF(N27&lt;&gt;"","A","")</f>
        <v>A</v>
      </c>
    </row>
    <row r="28" spans="1:43" s="124" customFormat="1" ht="16">
      <c r="A28" s="161"/>
      <c r="B28" s="151"/>
      <c r="C28" s="152"/>
      <c r="D28" s="152"/>
      <c r="E28" s="152"/>
      <c r="F28" s="152"/>
      <c r="G28" s="152"/>
      <c r="H28" s="152"/>
      <c r="I28" s="152"/>
      <c r="J28" s="152"/>
      <c r="K28" s="152"/>
      <c r="L28" s="152"/>
      <c r="M28" s="152"/>
      <c r="N28" s="152"/>
      <c r="O28" s="143"/>
    </row>
    <row r="29" spans="1:43" s="124" customFormat="1" ht="18.75" customHeight="1">
      <c r="A29" s="163" t="s">
        <v>2076</v>
      </c>
      <c r="B29" s="151" t="s">
        <v>2077</v>
      </c>
      <c r="C29" s="152"/>
      <c r="D29" s="152">
        <f>IF(D$25=0,"",D27/(PRODUCT(D61:D67)))</f>
        <v>35.555555555555557</v>
      </c>
      <c r="E29" s="152">
        <f ca="1">IFERROR(IF(E$25=0,"",E27/(PRODUCT(E61:E67))),"")</f>
        <v>32</v>
      </c>
      <c r="F29" s="152">
        <f t="shared" ref="F29:H29" ca="1" si="9">IFERROR(IF(F$25=0,"",F27/(PRODUCT(F61:F67))),"")</f>
        <v>32</v>
      </c>
      <c r="G29" s="152">
        <f t="shared" ca="1" si="9"/>
        <v>32</v>
      </c>
      <c r="H29" s="152">
        <f t="shared" ca="1" si="9"/>
        <v>32</v>
      </c>
      <c r="I29" s="152">
        <f t="shared" ref="I29:L29" si="10">IF(I$25=0,"",I27/(PRODUCT(I61:I67)))</f>
        <v>98.76543209876543</v>
      </c>
      <c r="J29" s="152">
        <f t="shared" si="10"/>
        <v>32</v>
      </c>
      <c r="K29" s="152">
        <f>IF(K$25=0,"",K27/(PRODUCT(K61:K67)))</f>
        <v>16</v>
      </c>
      <c r="L29" s="152">
        <f t="shared" si="10"/>
        <v>16</v>
      </c>
      <c r="M29" s="152" t="str">
        <f>IF(M$25=0,"",M23/(PRODUCT(M61:M67)))</f>
        <v/>
      </c>
      <c r="N29" s="152">
        <f>IF(N$25=0,"",N27/(PRODUCT(N61:N67)))</f>
        <v>355.55555555555554</v>
      </c>
      <c r="O29" s="143" t="str">
        <f>IF(N29&lt;&gt;"","A","")</f>
        <v>A</v>
      </c>
    </row>
    <row r="30" spans="1:43" s="124" customFormat="1" ht="15.75" customHeight="1">
      <c r="A30" s="163"/>
      <c r="B30" s="151"/>
      <c r="C30" s="152"/>
      <c r="D30" s="152"/>
      <c r="E30" s="152"/>
      <c r="F30" s="152"/>
      <c r="G30" s="152"/>
      <c r="H30" s="152"/>
      <c r="I30" s="152"/>
      <c r="J30" s="152"/>
      <c r="K30" s="152"/>
      <c r="L30" s="152"/>
      <c r="M30" s="152"/>
      <c r="N30" s="152"/>
      <c r="O30" s="143"/>
    </row>
    <row r="31" spans="1:43" s="124" customFormat="1" ht="19">
      <c r="A31" s="161" t="s">
        <v>2078</v>
      </c>
      <c r="B31" s="151" t="s">
        <v>2079</v>
      </c>
      <c r="C31" s="152"/>
      <c r="D31" s="152">
        <f>IF(D$25=0,"",MAX(D33:D35)*(PRODUCT(D61:D67)))</f>
        <v>32.4</v>
      </c>
      <c r="E31" s="152">
        <f t="shared" ref="E31:L31" ca="1" si="11">IF(E$25=0,"",MAX(E33:E35)*(PRODUCT(E61:E67)))</f>
        <v>37</v>
      </c>
      <c r="F31" s="152">
        <f t="shared" ca="1" si="11"/>
        <v>47</v>
      </c>
      <c r="G31" s="152">
        <f t="shared" ca="1" si="11"/>
        <v>65</v>
      </c>
      <c r="H31" s="152">
        <f ca="1">IF(H$25=0,"",MAX(H33:H35)*(PRODUCT(H61:H67)))</f>
        <v>87</v>
      </c>
      <c r="I31" s="152">
        <f t="shared" si="11"/>
        <v>105.30000000000001</v>
      </c>
      <c r="J31" s="152">
        <f t="shared" si="11"/>
        <v>36</v>
      </c>
      <c r="K31" s="152">
        <f>IF(K$25=0,"",MAX(K33:K35)*(PRODUCT(K61:K67)))</f>
        <v>37</v>
      </c>
      <c r="L31" s="152">
        <f t="shared" si="11"/>
        <v>47</v>
      </c>
      <c r="M31" s="152" t="str">
        <f>IF(M$25=0,"",MAX(M33:M35)*(PRODUCT(M61:M67)))</f>
        <v/>
      </c>
      <c r="N31" s="152">
        <f>IF(N$25=0,"",MAX(N33:N35)*(PRODUCT(N61:N67)))</f>
        <v>356.40000000000003</v>
      </c>
      <c r="O31" s="143" t="str">
        <f>IF(L31&lt;&gt;"","A","")</f>
        <v>A</v>
      </c>
    </row>
    <row r="32" spans="1:43" s="124" customFormat="1" ht="16">
      <c r="A32" s="151"/>
      <c r="B32" s="151"/>
      <c r="C32" s="152"/>
      <c r="D32" s="152"/>
      <c r="E32" s="152"/>
      <c r="F32" s="152"/>
      <c r="G32" s="152"/>
      <c r="H32" s="152"/>
      <c r="I32" s="152"/>
      <c r="J32" s="152"/>
      <c r="K32" s="152"/>
      <c r="L32" s="152"/>
      <c r="M32" s="152"/>
      <c r="N32" s="152"/>
      <c r="O32" s="143"/>
    </row>
    <row r="33" spans="1:15" s="124" customFormat="1" ht="16">
      <c r="A33" s="129"/>
      <c r="B33" s="127"/>
      <c r="C33" s="129"/>
      <c r="D33" s="129">
        <f>IF(D29="","",IF(ISNUMBER(SEARCH("4D",D51)),IF(AND(D51="4D1",D53=2),LOOKUP(D84,T!$M6:$M27,T!$B6:$B22),IF(AND(D51="4D1",D53=3),LOOKUP(D84,T!$M6:$M27,T!$C6:$C22),IF(AND(D51="4D1",D53=4),LOOKUP(D84,T!$M6:$M27,T!$D6:$D25),IF(AND(D51="4D1",D53=5),LOOKUP(D84,T!$M6:$M27,T!$E6:$E25),IF(AND(D51="4D1",D53=6),LOOKUP(D84,T!$M6:$M27,T!$F6:$F27),IF(AND(D51="4D1",D53=7),LOOKUP(D84,T!$M6:$M27,T!$G6:$G27),IF(AND(D51="4D1",D53=8),LOOKUP(D84,T!$M13:$M27,T!$H13:$H27),IF(AND(D51="4D1",D53=9),LOOKUP(D84,T!$M13:$M27,T!$I13:$I27),IF(AND(D51="4D1",D53=10),LOOKUP(D84,T!$M13:$M27,T!$J13:$J27),IF(AND(D51="4D1",D53=11),LOOKUP(D84,T!$M13:$M27,T!$K13:$K27),IF(AND(D51="4D1",D53=12),LOOKUP(D84,T!$M13:$M27,T!$L13:$L27),IF(AND(D51="4D2",D53=2),LOOKUP(D84,T!$J33:$J50,T!$B33:$B49),IF(AND(D51="4D2",D53=3),LOOKUP(D84,T!$J33:$J50,T!$C33:$C49),IF(AND(D51="4D2",D53=4),LOOKUP(D84,T!$J33:$J50,T!$D33:$D50),IF(AND(D51="4D2",D53=5),LOOKUP(D84,T!$J33:$J50,T!$E33:$E50),IF(AND(D51="4D2",D53=6),LOOKUP(D84,T!$J33:$J50,T!$F33:$F50),IF(AND(D51="4D2",D53=7),LOOKUP(D84,T!$J33:$J50,T!$G33:$G50),IF(AND(D51="4D2",D53=8),LOOKUP(D84,T!$J33:$J50,T!$H33:$H50),IF(AND(D51="4D2",D53=9),LOOKUP(D84,T!$J33:$J50,T!$I33:$I50),IF(AND(D51="4D3",D53=2),LOOKUP(D84,T!$M56:$M68,T!$B56:$B68),IF(AND(D51="4D3",D53=3),LOOKUP(D84,T!$M56:$M68,T!$C56:$C68),IF(AND(D51="4D3",D53=4),LOOKUP(D84,T!$M56:$M68,T!$D56:$D$68),IF(AND(D51="4D3",D53=5),LOOKUP(D84,T!$M56:$M68,T!$E56:$E68),IF(AND(D51="4D3",D53=6),LOOKUP(D84,T!$M56:$M68,T!$F56:$F68),IF(AND(D51="4D3",D53=7),LOOKUP(D84,T!$M56:$M68,T!$G56:$G68),IF(AND(D51="4D3",D53=8),LOOKUP(D84,T!$M56:$M68,T!$H56:$H68),IF(AND(D51="4D3",D53=9),LOOKUP(D84,T!$M56:$M68,T!$I56:$I68),IF(AND(D51="4D3",D53=10),LOOKUP(D84,T!$M56:$M68,T!$J56:$J68),IF(AND(D51="4D3",D53=11),LOOKUP(D84,T!$M56:$M68,T!$K56:$K68),IF(AND(D51="4D3",D53=12),LOOKUP(D84,T!$M56:$M68,T!$L56:$L68),IF(AND(D51="4D4",D53=2),LOOKUP(D84,T!$H74:$H90,T!$B74:$B90),IF(AND(D51="4D4",D53=3),LOOKUP(D84,T!$H74:$H90,T!$C74:$C90),IF(AND(D51="4D4",D53=4),LOOKUP(D84,T!$H74:$H90,T!$D74:$D90),IF(AND(D51="4D4",D53=5),LOOKUP(D84,T!$H74:$H90,T!$E74:$E90),IF(AND(D51="4D4",D53=6),LOOKUP(D84,T!$H74:$H90,T!$F74:$F89),IF(AND(D51="4D4",D53=7),LOOKUP(D84,T!$H74:$H90,T!$G74:$G89),IF(AND(D51="4D5",D53=2),LOOKUP(D84,T!$I96:$I102,T!$B96:$B102),IF(AND(D51="4D5",D53=3),LOOKUP(D84,T!$I96:$I102,T!$C96:$C102),IF(AND(D51="4D5",D53=4),LOOKUP(D84,T!$I96:$I102,T!$D96:$D102),IF(AND(D51="4D5",D53=5),LOOKUP(D84,T!$I96:$I102,T!$E96:$E102),IF(AND(D51="4D5",D53=6),LOOKUP(D84,T!$I96:$I102,T!$F96:$F102),IF(AND(D51="4D5",D53=7),LOOKUP(D84,T!$I96:$I102,T!$G96:$G102),"-")))))))))))))))))))))))))))))))))))))))))),IF(ISNUMBER(SEARCH("4E",D51)),IF(AND(D51="4E1",D53=2),LOOKUP(D84,T!$M108:$M129,T!$B108:$B124),IF(AND(D51="4E1",D53=3),LOOKUP(D84,T!$M108:$M129,T!$C108:$C124),IF(AND(D51="4E1",D53=4),LOOKUP(D84,T!$M108:$M129,T!$D108:$D127),IF(AND(D51="4E1",D53=5),LOOKUP(D84,T!$M108:$M129,T!$E108:$E127),IF(AND(D51="4E1",D53=6),LOOKUP(D84,T!$M108:$M129,T!$F108:$F129),IF(AND(D51="4E1",D53=7),LOOKUP(D84,T!$M108:$M129,T!$G108:$G129),IF(AND(D51="4E1",D53=8),LOOKUP(D84,T!$M115:$M129,T!$H115:$H129),IF(AND(D51="4E1",D53=9),LOOKUP(D84,T!$M115:$M129,T!$I115:$I129),IF(AND(D51="4E1",D53=10),LOOKUP(D84,T!$M115:$M129,T!$J115:$J129),IF(AND(D51="4E1",D53=11),LOOKUP(D84,T!$M115:$M129,T!$K115:$K129),IF(AND(D51="4E1",D53=12),LOOKUP(D84,T!$M115:$M129,T!$L115:$L129),IF(AND(D51="4E2",D53=2),LOOKUP(D84,T!$J135:$J152,T!$B135:$B151),IF(AND(D51="4E2",D53=3),LOOKUP(D84,T!$J135:$J152,T!$C135:$C151),IF(AND(D51="4E2",D53=4),LOOKUP(D84,T!$J135:$J152,T!$D135:$D152),IF(AND(D51="4E2",D53=5),LOOKUP(D84,T!$J135:$J152,T!$E135:$E152),IF(AND(D51="4E2",D53=6),LOOKUP(D84,T!$J135:$J152,T!$F135:$F152),IF(AND(D51="4E2",D53=7),LOOKUP(D84,T!$J135:$J152,T!$G135:$G152),IF(AND(D51="4E2",D53=8),LOOKUP(D84,T!$J135:$J152,T!$H135:$H152),IF(AND(D51="4E2",D53=9),LOOKUP(D84,T!$J135:$J152,T!$I135:$I152),IF(AND(D51="4E3",D53=2),LOOKUP(D84,T!$M158:$M170,T!$B158:$B170),IF(AND(D51="4E3",D53=3),LOOKUP(D84,T!$M158:$M170,T!$C158:$C170),IF(AND(D51="4E3",D53=4),LOOKUP(D84,T!$M158:$M170,T!$D158:$D170),IF(AND(D51="4E3",D53=5),LOOKUP(D84,T!$M158:$M170,T!$E158:$E170),IF(AND(D51="4E3",D53=6),LOOKUP(D84,T!$M158:$M170,T!$F158:$F170),IF(AND(D51="4E3",D53=7),LOOKUP(D84,T!$M158:$M170,T!$G158:$G170),IF(AND(D51="4E3",D53=8),LOOKUP(D84,T!$M158:$M170,T!$H158:$H170),IF(AND(D51="4E3",D53=9),LOOKUP(D84,T!$M158:$M170,T!$I158:$I170),IF(AND(D51="4E3",D53=10),LOOKUP(D84,T!$M158:$M170,T!$J158:$J170),IF(AND(D51="4E3",D53=11),LOOKUP(D84,T!$M158:$M170,T!$K158:$K170),IF(AND(D51="4E3",D53=12),LOOKUP(D84,T!$M158:$M170,T!$L158:$L170),IF(AND(D51="4E4",D53=2),LOOKUP(D84,T!$H176:$H192,T!$B176:$B192),IF(AND(D51="4E4",D53=3),LOOKUP(D84,T!$H176:$H192,T!$C176:$C192),IF(AND(D51="4E4",D53=4),LOOKUP(D84,T!$H176:$H192,T!$D176:$D192),IF(AND(D51="4E4",D53=5),LOOKUP(D84,T!$H176:$H192,T!$E176:$E192),IF(AND(D51="4E4",D53=6),LOOKUP(D84,T!$H176:$H192,T!$F176:$F191),IF(AND(D51="4E4",D53=7),LOOKUP(D84,T!$H176:$H192,T!$G176:$G191),"-")))))))))))))))))))))))))))))))))))),IF(ISNUMBER(SEARCH("4F",D51)),IF(AND(D51="4F1",D53=2),LOOKUP(D84,T!$E198:$E214,T!$B198:$B202),IF(AND(D51="4F1",D53=3),LOOKUP(D84,T!$E198:$E214,T!$C198:$C211),IF(AND(D51="4F1",D53=4),LOOKUP(D84,T!$E203:$E214,T!$D203:$D214),IF(AND(D51="4F2",D53=2),LOOKUP(D84,T!$E220:$E236,T!$B220:$B224),IF(AND(D51="4F2",D53=3),LOOKUP(D84,T!$E220:$E236,T!$C220:$C233),IF(AND(D51="4F2",D53=4),LOOKUP(D84,T!$E225:$E236,T!$D225:$D236),IF(AND(D51="4F3",D53=2),LOOKUP(D84,T!$E242:$E248,T!$B242:$B248),IF(AND(D51="4F3",D53=3),LOOKUP(D84,T!$E242:$E248,T!$C242:$C248),"-")))))))),""))))</f>
        <v>36</v>
      </c>
      <c r="E33" s="129">
        <f ca="1">IF(E29="","",IF(ISNUMBER(SEARCH("4D",E51)),IF(AND(E51="4D1",E53=2),LOOKUP(E84,T!$M6:$M27,T!$B6:$B22),IF(AND(E51="4D1",E53=3),LOOKUP(E84,T!$M6:$M27,T!$C6:$C22),IF(AND(E51="4D1",E53=4),LOOKUP(E84,T!$M6:$M27,T!$D6:$D25),IF(AND(E51="4D1",E53=5),LOOKUP(E84,T!$M6:$M27,T!$E6:$E25),IF(AND(E51="4D1",E53=6),LOOKUP(E84,T!$M6:$M27,T!$F6:$F27),IF(AND(E51="4D1",E53=7),LOOKUP(E84,T!$M6:$M27,T!$G6:$G27),IF(AND(E51="4D1",E53=8),LOOKUP(E84,T!$M13:$M27,T!$H13:$H27),IF(AND(E51="4D1",E53=9),LOOKUP(E84,T!$M13:$M27,T!$I13:$I27),IF(AND(E51="4D1",E53=10),LOOKUP(E84,T!$M13:$M27,T!$J13:$J27),IF(AND(E51="4D1",E53=11),LOOKUP(E84,T!$M13:$M27,T!$K13:$K27),IF(AND(E51="4D1",E53=12),LOOKUP(E84,T!$M13:$M27,T!$L13:$L27),IF(AND(E51="4D2",E53=2),LOOKUP(E84,T!$J33:$J50,T!$B33:$B49),IF(AND(E51="4D2",E53=3),LOOKUP(E84,T!$J33:$J50,T!$C33:$C49),IF(AND(E51="4D2",E53=4),LOOKUP(E84,T!$J33:$J50,T!$D33:$D50),IF(AND(E51="4D2",E53=5),LOOKUP(E84,T!$J33:$J50,T!$E33:$E50),IF(AND(E51="4D2",E53=6),LOOKUP(E84,T!$J33:$J50,T!$F33:$F50),IF(AND(E51="4D2",E53=7),LOOKUP(E84,T!$J33:$J50,T!$G33:$G50),IF(AND(E51="4D2",E53=8),LOOKUP(E84,T!$J33:$J50,T!$H33:$H50),IF(AND(E51="4D2",E53=9),LOOKUP(E84,T!$J33:$J50,T!$I33:$I50),IF(AND(E51="4D3",E53=2),LOOKUP(E84,T!$M56:$M68,T!$B56:$B68),IF(AND(E51="4D3",E53=3),LOOKUP(E84,T!$M56:$M68,T!$C56:$C68),IF(AND(E51="4D3",E53=4),LOOKUP(E84,T!$M56:$M68,T!$D56:$D$68),IF(AND(E51="4D3",E53=5),LOOKUP(E84,T!$M56:$M68,T!$E56:$E68),IF(AND(E51="4D3",E53=6),LOOKUP(E84,T!$M56:$M68,T!$F56:$F68),IF(AND(E51="4D3",E53=7),LOOKUP(E84,T!$M56:$M68,T!$G56:$G68),IF(AND(E51="4D3",E53=8),LOOKUP(E84,T!$M56:$M68,T!$H56:$H68),IF(AND(E51="4D3",E53=9),LOOKUP(E84,T!$M56:$M68,T!$I56:$I68),IF(AND(E51="4D3",E53=10),LOOKUP(E84,T!$M56:$M68,T!$J56:$J68),IF(AND(E51="4D3",E53=11),LOOKUP(E84,T!$M56:$M68,T!$K56:$K68),IF(AND(E51="4D3",E53=12),LOOKUP(E84,T!$M56:$M68,T!$L56:$L68),IF(AND(E51="4D4",E53=2),LOOKUP(E84,T!$H74:$H90,T!$B74:$B90),IF(AND(E51="4D4",E53=3),LOOKUP(E84,T!$H74:$H90,T!$C74:$C90),IF(AND(E51="4D4",E53=4),LOOKUP(E84,T!$H74:$H90,T!$D74:$D90),IF(AND(E51="4D4",E53=5),LOOKUP(E84,T!$H74:$H90,T!$E74:$E90),IF(AND(E51="4D4",E53=6),LOOKUP(E84,T!$H74:$H90,T!$F74:$F89),IF(AND(E51="4D4",E53=7),LOOKUP(E84,T!$H74:$H90,T!$G74:$G89),IF(AND(E51="4D5",E53=2),LOOKUP(E84,T!$I96:$I102,T!$B96:$B102),IF(AND(E51="4D5",E53=3),LOOKUP(E84,T!$I96:$I102,T!$C96:$C102),IF(AND(E51="4D5",E53=4),LOOKUP(E84,T!$I96:$I102,T!$D96:$D102),IF(AND(E51="4D5",E53=5),LOOKUP(E84,T!$I96:$I102,T!$E96:$E102),IF(AND(E51="4D5",E53=6),LOOKUP(E84,T!$I96:$I102,T!$F96:$F102),IF(AND(E51="4D5",E53=7),LOOKUP(E84,T!$I96:$I102,T!$G96:$G102),"-")))))))))))))))))))))))))))))))))))))))))),IF(ISNUMBER(SEARCH("4E",E51)),IF(AND(E51="4E1",E53=2),LOOKUP(E84,T!$M108:$M129,T!$B108:$B124),IF(AND(E51="4E1",E53=3),LOOKUP(E84,T!$M108:$M129,T!$C108:$C124),IF(AND(E51="4E1",E53=4),LOOKUP(E84,T!$M108:$M129,T!$D108:$D127),IF(AND(E51="4E1",E53=5),LOOKUP(E84,T!$M108:$M129,T!$E108:$E127),IF(AND(E51="4E1",E53=6),LOOKUP(E84,T!$M108:$M129,T!$F108:$F129),IF(AND(E51="4E1",E53=7),LOOKUP(E84,T!$M108:$M129,T!$G108:$G129),IF(AND(E51="4E1",E53=8),LOOKUP(E84,T!$M115:$M129,T!$H115:$H129),IF(AND(E51="4E1",E53=9),LOOKUP(E84,T!$M115:$M129,T!$I115:$I129),IF(AND(E51="4E1",E53=10),LOOKUP(E84,T!$M115:$M129,T!$J115:$J129),IF(AND(E51="4E1",E53=11),LOOKUP(E84,T!$M115:$M129,T!$K115:$K129),IF(AND(E51="4E1",E53=12),LOOKUP(E84,T!$M115:$M129,T!$L115:$L129),IF(AND(E51="4E2",E53=2),LOOKUP(E84,T!$J135:$J152,T!$B135:$B151),IF(AND(E51="4E2",E53=3),LOOKUP(E84,T!$J135:$J152,T!$C135:$C151),IF(AND(E51="4E2",E53=4),LOOKUP(E84,T!$J135:$J152,T!$D135:$D152),IF(AND(E51="4E2",E53=5),LOOKUP(E84,T!$J135:$J152,T!$E135:$E152),IF(AND(E51="4E2",E53=6),LOOKUP(E84,T!$J135:$J152,T!$F135:$F152),IF(AND(E51="4E2",E53=7),LOOKUP(E84,T!$J135:$J152,T!$G135:$G152),IF(AND(E51="4E2",E53=8),LOOKUP(E84,T!$J135:$J152,T!$H135:$H152),IF(AND(E51="4E2",E53=9),LOOKUP(E84,T!$J135:$J152,T!$I135:$I152),IF(AND(E51="4E3",E53=2),LOOKUP(E84,T!$M158:$M170,T!$B158:$B170),IF(AND(E51="4E3",E53=3),LOOKUP(E84,T!$M158:$M170,T!$C158:$C170),IF(AND(E51="4E3",E53=4),LOOKUP(E84,T!$M158:$M170,T!$D158:$D170),IF(AND(E51="4E3",E53=5),LOOKUP(E84,T!$M158:$M170,T!$E158:$E170),IF(AND(E51="4E3",E53=6),LOOKUP(E84,T!$M158:$M170,T!$F158:$F170),IF(AND(E51="4E3",E53=7),LOOKUP(E84,T!$M158:$M170,T!$G158:$G170),IF(AND(E51="4E3",E53=8),LOOKUP(E84,T!$M158:$M170,T!$H158:$H170),IF(AND(E51="4E3",E53=9),LOOKUP(E84,T!$M158:$M170,T!$I158:$I170),IF(AND(E51="4E3",E53=10),LOOKUP(E84,T!$M158:$M170,T!$J158:$J170),IF(AND(E51="4E3",E53=11),LOOKUP(E84,T!$M158:$M170,T!$K158:$K170),IF(AND(E51="4E3",E53=12),LOOKUP(E84,T!$M158:$M170,T!$L158:$L170),IF(AND(E51="4E4",E53=2),LOOKUP(E84,T!$H176:$H192,T!$B176:$B192),IF(AND(E51="4E4",E53=3),LOOKUP(E84,T!$H176:$H192,T!$C176:$C192),IF(AND(E51="4E4",E53=4),LOOKUP(E84,T!$H176:$H192,T!$D176:$D192),IF(AND(E51="4E4",E53=5),LOOKUP(E84,T!$H176:$H192,T!$E176:$E192),IF(AND(E51="4E4",E53=6),LOOKUP(E84,T!$H176:$H192,T!$F176:$F191),IF(AND(E51="4E4",E53=7),LOOKUP(E84,T!$H176:$H192,T!$G176:$G191),"-")))))))))))))))))))))))))))))))))))),IF(ISNUMBER(SEARCH("4F",E51)),IF(AND(E51="4F1",E53=2),LOOKUP(E84,T!$E198:$E214,T!$B198:$B202),IF(AND(E51="4F1",E53=3),LOOKUP(E84,T!$E198:$E214,T!$C198:$C211),IF(AND(E51="4F1",E53=4),LOOKUP(E84,T!$E203:$E214,T!$D203:$D214),IF(AND(E51="4F2",E53=2),LOOKUP(E84,T!$E220:$E236,T!$B220:$B224),IF(AND(E51="4F2",E53=3),LOOKUP(E84,T!$E220:$E236,T!$C220:$C233),IF(AND(E51="4F2",E53=4),LOOKUP(E84,T!$E225:$E236,T!$D225:$D236),IF(AND(E51="4F3",E53=2),LOOKUP(E84,T!$E242:$E248,T!$B242:$B248),IF(AND(E51="4F3",E53=3),LOOKUP(E84,T!$E242:$E248,T!$C242:$C248),"-")))))))),""))))</f>
        <v>37</v>
      </c>
      <c r="F33" s="129">
        <f ca="1">IF(F29="","",IF(ISNUMBER(SEARCH("4D",F51)),IF(AND(F51="4D1",F53=2),LOOKUP(F84,T!$M6:$M27,T!$B6:$B22),IF(AND(F51="4D1",F53=3),LOOKUP(F84,T!$M6:$M27,T!$C6:$C22),IF(AND(F51="4D1",F53=4),LOOKUP(F84,T!$M6:$M27,T!$D6:$D25),IF(AND(F51="4D1",F53=5),LOOKUP(F84,T!$M6:$M27,T!$E6:$E25),IF(AND(F51="4D1",F53=6),LOOKUP(F84,T!$M6:$M27,T!$F6:$F27),IF(AND(F51="4D1",F53=7),LOOKUP(F84,T!$M6:$M27,T!$G6:$G27),IF(AND(F51="4D1",F53=8),LOOKUP(F84,T!$M13:$M27,T!$H13:$H27),IF(AND(F51="4D1",F53=9),LOOKUP(F84,T!$M13:$M27,T!$I13:$I27),IF(AND(F51="4D1",F53=10),LOOKUP(F84,T!$M13:$M27,T!$J13:$J27),IF(AND(F51="4D1",F53=11),LOOKUP(F84,T!$M13:$M27,T!$K13:$K27),IF(AND(F51="4D1",F53=12),LOOKUP(F84,T!$M13:$M27,T!$L13:$L27),IF(AND(F51="4D2",F53=2),LOOKUP(F84,T!$J33:$J50,T!$B33:$B49),IF(AND(F51="4D2",F53=3),LOOKUP(F84,T!$J33:$J50,T!$C33:$C49),IF(AND(F51="4D2",F53=4),LOOKUP(F84,T!$J33:$J50,T!$D33:$D50),IF(AND(F51="4D2",F53=5),LOOKUP(F84,T!$J33:$J50,T!$E33:$E50),IF(AND(F51="4D2",F53=6),LOOKUP(F84,T!$J33:$J50,T!$F33:$F50),IF(AND(F51="4D2",F53=7),LOOKUP(F84,T!$J33:$J50,T!$G33:$G50),IF(AND(F51="4D2",F53=8),LOOKUP(F84,T!$J33:$J50,T!$H33:$H50),IF(AND(F51="4D2",F53=9),LOOKUP(F84,T!$J33:$J50,T!$I33:$I50),IF(AND(F51="4D3",F53=2),LOOKUP(F84,T!$M56:$M68,T!$B56:$B68),IF(AND(F51="4D3",F53=3),LOOKUP(F84,T!$M56:$M68,T!$C56:$C68),IF(AND(F51="4D3",F53=4),LOOKUP(F84,T!$M56:$M68,T!$D56:$D$68),IF(AND(F51="4D3",F53=5),LOOKUP(F84,T!$M56:$M68,T!$E56:$E68),IF(AND(F51="4D3",F53=6),LOOKUP(F84,T!$M56:$M68,T!$F56:$F68),IF(AND(F51="4D3",F53=7),LOOKUP(F84,T!$M56:$M68,T!$G56:$G68),IF(AND(F51="4D3",F53=8),LOOKUP(F84,T!$M56:$M68,T!$H56:$H68),IF(AND(F51="4D3",F53=9),LOOKUP(F84,T!$M56:$M68,T!$I56:$I68),IF(AND(F51="4D3",F53=10),LOOKUP(F84,T!$M56:$M68,T!$J56:$J68),IF(AND(F51="4D3",F53=11),LOOKUP(F84,T!$M56:$M68,T!$K56:$K68),IF(AND(F51="4D3",F53=12),LOOKUP(F84,T!$M56:$M68,T!$L56:$L68),IF(AND(F51="4D4",F53=2),LOOKUP(F84,T!$H74:$H90,T!$B74:$B90),IF(AND(F51="4D4",F53=3),LOOKUP(F84,T!$H74:$H90,T!$C74:$C90),IF(AND(F51="4D4",F53=4),LOOKUP(F84,T!$H74:$H90,T!$D74:$D90),IF(AND(F51="4D4",F53=5),LOOKUP(F84,T!$H74:$H90,T!$E74:$E90),IF(AND(F51="4D4",F53=6),LOOKUP(F84,T!$H74:$H90,T!$F74:$F89),IF(AND(F51="4D4",F53=7),LOOKUP(F84,T!$H74:$H90,T!$G74:$G89),IF(AND(F51="4D5",F53=2),LOOKUP(F84,T!$I96:$I102,T!$B96:$B102),IF(AND(F51="4D5",F53=3),LOOKUP(F84,T!$I96:$I102,T!$C96:$C102),IF(AND(F51="4D5",F53=4),LOOKUP(F84,T!$I96:$I102,T!$D96:$D102),IF(AND(F51="4D5",F53=5),LOOKUP(F84,T!$I96:$I102,T!$E96:$E102),IF(AND(F51="4D5",F53=6),LOOKUP(F84,T!$I96:$I102,T!$F96:$F102),IF(AND(F51="4D5",F53=7),LOOKUP(F84,T!$I96:$I102,T!$G96:$G102),"-")))))))))))))))))))))))))))))))))))))))))),IF(ISNUMBER(SEARCH("4E",F51)),IF(AND(F51="4E1",F53=2),LOOKUP(F84,T!$M108:$M129,T!$B108:$B124),IF(AND(F51="4E1",F53=3),LOOKUP(F84,T!$M108:$M129,T!$C108:$C124),IF(AND(F51="4E1",F53=4),LOOKUP(F84,T!$M108:$M129,T!$D108:$D127),IF(AND(F51="4E1",F53=5),LOOKUP(F84,T!$M108:$M129,T!$E108:$E127),IF(AND(F51="4E1",F53=6),LOOKUP(F84,T!$M108:$M129,T!$F108:$F129),IF(AND(F51="4E1",F53=7),LOOKUP(F84,T!$M108:$M129,T!$G108:$G129),IF(AND(F51="4E1",F53=8),LOOKUP(F84,T!$M115:$M129,T!$H115:$H129),IF(AND(F51="4E1",F53=9),LOOKUP(F84,T!$M115:$M129,T!$I115:$I129),IF(AND(F51="4E1",F53=10),LOOKUP(F84,T!$M115:$M129,T!$J115:$J129),IF(AND(F51="4E1",F53=11),LOOKUP(F84,T!$M115:$M129,T!$K115:$K129),IF(AND(F51="4E1",F53=12),LOOKUP(F84,T!$M115:$M129,T!$L115:$L129),IF(AND(F51="4E2",F53=2),LOOKUP(F84,T!$J135:$J152,T!$B135:$B151),IF(AND(F51="4E2",F53=3),LOOKUP(F84,T!$J135:$J152,T!$C135:$C151),IF(AND(F51="4E2",F53=4),LOOKUP(F84,T!$J135:$J152,T!$D135:$D152),IF(AND(F51="4E2",F53=5),LOOKUP(F84,T!$J135:$J152,T!$E135:$E152),IF(AND(F51="4E2",F53=6),LOOKUP(F84,T!$J135:$J152,T!$F135:$F152),IF(AND(F51="4E2",F53=7),LOOKUP(F84,T!$J135:$J152,T!$G135:$G152),IF(AND(F51="4E2",F53=8),LOOKUP(F84,T!$J135:$J152,T!$H135:$H152),IF(AND(F51="4E2",F53=9),LOOKUP(F84,T!$J135:$J152,T!$I135:$I152),IF(AND(F51="4E3",F53=2),LOOKUP(F84,T!$M158:$M170,T!$B158:$B170),IF(AND(F51="4E3",F53=3),LOOKUP(F84,T!$M158:$M170,T!$C158:$C170),IF(AND(F51="4E3",F53=4),LOOKUP(F84,T!$M158:$M170,T!$D158:$D170),IF(AND(F51="4E3",F53=5),LOOKUP(F84,T!$M158:$M170,T!$E158:$E170),IF(AND(F51="4E3",F53=6),LOOKUP(F84,T!$M158:$M170,T!$F158:$F170),IF(AND(F51="4E3",F53=7),LOOKUP(F84,T!$M158:$M170,T!$G158:$G170),IF(AND(F51="4E3",F53=8),LOOKUP(F84,T!$M158:$M170,T!$H158:$H170),IF(AND(F51="4E3",F53=9),LOOKUP(F84,T!$M158:$M170,T!$I158:$I170),IF(AND(F51="4E3",F53=10),LOOKUP(F84,T!$M158:$M170,T!$J158:$J170),IF(AND(F51="4E3",F53=11),LOOKUP(F84,T!$M158:$M170,T!$K158:$K170),IF(AND(F51="4E3",F53=12),LOOKUP(F84,T!$M158:$M170,T!$L158:$L170),IF(AND(F51="4E4",F53=2),LOOKUP(F84,T!$H176:$H192,T!$B176:$B192),IF(AND(F51="4E4",F53=3),LOOKUP(F84,T!$H176:$H192,T!$C176:$C192),IF(AND(F51="4E4",F53=4),LOOKUP(F84,T!$H176:$H192,T!$D176:$D192),IF(AND(F51="4E4",F53=5),LOOKUP(F84,T!$H176:$H192,T!$E176:$E192),IF(AND(F51="4E4",F53=6),LOOKUP(F84,T!$H176:$H192,T!$F176:$F191),IF(AND(F51="4E4",F53=7),LOOKUP(F84,T!$H176:$H192,T!$G176:$G191),"-")))))))))))))))))))))))))))))))))))),IF(ISNUMBER(SEARCH("4F",F51)),IF(AND(F51="4F1",F53=2),LOOKUP(F84,T!$E198:$E214,T!$B198:$B202),IF(AND(F51="4F1",F53=3),LOOKUP(F84,T!$E198:$E214,T!$C198:$C211),IF(AND(F51="4F1",F53=4),LOOKUP(F84,T!$E203:$E214,T!$D203:$D214),IF(AND(F51="4F2",F53=2),LOOKUP(F84,T!$E220:$E236,T!$B220:$B224),IF(AND(F51="4F2",F53=3),LOOKUP(F84,T!$E220:$E236,T!$C220:$C233),IF(AND(F51="4F2",F53=4),LOOKUP(F84,T!$E225:$E236,T!$D225:$D236),IF(AND(F51="4F3",F53=2),LOOKUP(F84,T!$E242:$E248,T!$B242:$B248),IF(AND(F51="4F3",F53=3),LOOKUP(F84,T!$E242:$E248,T!$C242:$C248),"-")))))))),""))))</f>
        <v>47</v>
      </c>
      <c r="G33" s="129">
        <f ca="1">IF(G29="","",IF(ISNUMBER(SEARCH("4D",G51)),IF(AND(G51="4D1",G53=2),LOOKUP(G84,T!$M6:$M27,T!$B6:$B22),IF(AND(G51="4D1",G53=3),LOOKUP(G84,T!$M6:$M27,T!$C6:$C22),IF(AND(G51="4D1",G53=4),LOOKUP(G84,T!$M6:$M27,T!$D6:$D25),IF(AND(G51="4D1",G53=5),LOOKUP(G84,T!$M6:$M27,T!$E6:$E25),IF(AND(G51="4D1",G53=6),LOOKUP(G84,T!$M6:$M27,T!$F6:$F27),IF(AND(G51="4D1",G53=7),LOOKUP(G84,T!$M6:$M27,T!$G6:$G27),IF(AND(G51="4D1",G53=8),LOOKUP(G84,T!$M13:$M27,T!$H13:$H27),IF(AND(G51="4D1",G53=9),LOOKUP(G84,T!$M13:$M27,T!$I13:$I27),IF(AND(G51="4D1",G53=10),LOOKUP(G84,T!$M13:$M27,T!$J13:$J27),IF(AND(G51="4D1",G53=11),LOOKUP(G84,T!$M13:$M27,T!$K13:$K27),IF(AND(G51="4D1",G53=12),LOOKUP(G84,T!$M13:$M27,T!$L13:$L27),IF(AND(G51="4D2",G53=2),LOOKUP(G84,T!$J33:$J50,T!$B33:$B49),IF(AND(G51="4D2",G53=3),LOOKUP(G84,T!$J33:$J50,T!$C33:$C49),IF(AND(G51="4D2",G53=4),LOOKUP(G84,T!$J33:$J50,T!$D33:$D50),IF(AND(G51="4D2",G53=5),LOOKUP(G84,T!$J33:$J50,T!$E33:$E50),IF(AND(G51="4D2",G53=6),LOOKUP(G84,T!$J33:$J50,T!$F33:$F50),IF(AND(G51="4D2",G53=7),LOOKUP(G84,T!$J33:$J50,T!$G33:$G50),IF(AND(G51="4D2",G53=8),LOOKUP(G84,T!$J33:$J50,T!$H33:$H50),IF(AND(G51="4D2",G53=9),LOOKUP(G84,T!$J33:$J50,T!$I33:$I50),IF(AND(G51="4D3",G53=2),LOOKUP(G84,T!$M56:$M68,T!$B56:$B68),IF(AND(G51="4D3",G53=3),LOOKUP(G84,T!$M56:$M68,T!$C56:$C68),IF(AND(G51="4D3",G53=4),LOOKUP(G84,T!$M56:$M68,T!$D56:$D$68),IF(AND(G51="4D3",G53=5),LOOKUP(G84,T!$M56:$M68,T!$E56:$E68),IF(AND(G51="4D3",G53=6),LOOKUP(G84,T!$M56:$M68,T!$F56:$F68),IF(AND(G51="4D3",G53=7),LOOKUP(G84,T!$M56:$M68,T!$G56:$G68),IF(AND(G51="4D3",G53=8),LOOKUP(G84,T!$M56:$M68,T!$H56:$H68),IF(AND(G51="4D3",G53=9),LOOKUP(G84,T!$M56:$M68,T!$I56:$I68),IF(AND(G51="4D3",G53=10),LOOKUP(G84,T!$M56:$M68,T!$J56:$J68),IF(AND(G51="4D3",G53=11),LOOKUP(G84,T!$M56:$M68,T!$K56:$K68),IF(AND(G51="4D3",G53=12),LOOKUP(G84,T!$M56:$M68,T!$L56:$L68),IF(AND(G51="4D4",G53=2),LOOKUP(G84,T!$H74:$H90,T!$B74:$B90),IF(AND(G51="4D4",G53=3),LOOKUP(G84,T!$H74:$H90,T!$C74:$C90),IF(AND(G51="4D4",G53=4),LOOKUP(G84,T!$H74:$H90,T!$D74:$D90),IF(AND(G51="4D4",G53=5),LOOKUP(G84,T!$H74:$H90,T!$E74:$E90),IF(AND(G51="4D4",G53=6),LOOKUP(G84,T!$H74:$H90,T!$F74:$F89),IF(AND(G51="4D4",G53=7),LOOKUP(G84,T!$H74:$H90,T!$G74:$G89),IF(AND(G51="4D5",G53=2),LOOKUP(G84,T!$I96:$I102,T!$B96:$B102),IF(AND(G51="4D5",G53=3),LOOKUP(G84,T!$I96:$I102,T!$C96:$C102),IF(AND(G51="4D5",G53=4),LOOKUP(G84,T!$I96:$I102,T!$D96:$D102),IF(AND(G51="4D5",G53=5),LOOKUP(G84,T!$I96:$I102,T!$E96:$E102),IF(AND(G51="4D5",G53=6),LOOKUP(G84,T!$I96:$I102,T!$F96:$F102),IF(AND(G51="4D5",G53=7),LOOKUP(G84,T!$I96:$I102,T!$G96:$G102),"-")))))))))))))))))))))))))))))))))))))))))),IF(ISNUMBER(SEARCH("4E",G51)),IF(AND(G51="4E1",G53=2),LOOKUP(G84,T!$M108:$M129,T!$B108:$B124),IF(AND(G51="4E1",G53=3),LOOKUP(G84,T!$M108:$M129,T!$C108:$C124),IF(AND(G51="4E1",G53=4),LOOKUP(G84,T!$M108:$M129,T!$D108:$D127),IF(AND(G51="4E1",G53=5),LOOKUP(G84,T!$M108:$M129,T!$E108:$E127),IF(AND(G51="4E1",G53=6),LOOKUP(G84,T!$M108:$M129,T!$F108:$F129),IF(AND(G51="4E1",G53=7),LOOKUP(G84,T!$M108:$M129,T!$G108:$G129),IF(AND(G51="4E1",G53=8),LOOKUP(G84,T!$M115:$M129,T!$H115:$H129),IF(AND(G51="4E1",G53=9),LOOKUP(G84,T!$M115:$M129,T!$I115:$I129),IF(AND(G51="4E1",G53=10),LOOKUP(G84,T!$M115:$M129,T!$J115:$J129),IF(AND(G51="4E1",G53=11),LOOKUP(G84,T!$M115:$M129,T!$K115:$K129),IF(AND(G51="4E1",G53=12),LOOKUP(G84,T!$M115:$M129,T!$L115:$L129),IF(AND(G51="4E2",G53=2),LOOKUP(G84,T!$J135:$J152,T!$B135:$B151),IF(AND(G51="4E2",G53=3),LOOKUP(G84,T!$J135:$J152,T!$C135:$C151),IF(AND(G51="4E2",G53=4),LOOKUP(G84,T!$J135:$J152,T!$D135:$D152),IF(AND(G51="4E2",G53=5),LOOKUP(G84,T!$J135:$J152,T!$E135:$E152),IF(AND(G51="4E2",G53=6),LOOKUP(G84,T!$J135:$J152,T!$F135:$F152),IF(AND(G51="4E2",G53=7),LOOKUP(G84,T!$J135:$J152,T!$G135:$G152),IF(AND(G51="4E2",G53=8),LOOKUP(G84,T!$J135:$J152,T!$H135:$H152),IF(AND(G51="4E2",G53=9),LOOKUP(G84,T!$J135:$J152,T!$I135:$I152),IF(AND(G51="4E3",G53=2),LOOKUP(G84,T!$M158:$M170,T!$B158:$B170),IF(AND(G51="4E3",G53=3),LOOKUP(G84,T!$M158:$M170,T!$C158:$C170),IF(AND(G51="4E3",G53=4),LOOKUP(G84,T!$M158:$M170,T!$D158:$D170),IF(AND(G51="4E3",G53=5),LOOKUP(G84,T!$M158:$M170,T!$E158:$E170),IF(AND(G51="4E3",G53=6),LOOKUP(G84,T!$M158:$M170,T!$F158:$F170),IF(AND(G51="4E3",G53=7),LOOKUP(G84,T!$M158:$M170,T!$G158:$G170),IF(AND(G51="4E3",G53=8),LOOKUP(G84,T!$M158:$M170,T!$H158:$H170),IF(AND(G51="4E3",G53=9),LOOKUP(G84,T!$M158:$M170,T!$I158:$I170),IF(AND(G51="4E3",G53=10),LOOKUP(G84,T!$M158:$M170,T!$J158:$J170),IF(AND(G51="4E3",G53=11),LOOKUP(G84,T!$M158:$M170,T!$K158:$K170),IF(AND(G51="4E3",G53=12),LOOKUP(G84,T!$M158:$M170,T!$L158:$L170),IF(AND(G51="4E4",G53=2),LOOKUP(G84,T!$H176:$H192,T!$B176:$B192),IF(AND(G51="4E4",G53=3),LOOKUP(G84,T!$H176:$H192,T!$C176:$C192),IF(AND(G51="4E4",G53=4),LOOKUP(G84,T!$H176:$H192,T!$D176:$D192),IF(AND(G51="4E4",G53=5),LOOKUP(G84,T!$H176:$H192,T!$E176:$E192),IF(AND(G51="4E4",G53=6),LOOKUP(G84,T!$H176:$H192,T!$F176:$F191),IF(AND(G51="4E4",G53=7),LOOKUP(G84,T!$H176:$H192,T!$G176:$G191),"-")))))))))))))))))))))))))))))))))))),IF(ISNUMBER(SEARCH("4F",G51)),IF(AND(G51="4F1",G53=2),LOOKUP(G84,T!$E198:$E214,T!$B198:$B202),IF(AND(G51="4F1",G53=3),LOOKUP(G84,T!$E198:$E214,T!$C198:$C211),IF(AND(G51="4F1",G53=4),LOOKUP(G84,T!$E203:$E214,T!$D203:$D214),IF(AND(G51="4F2",G53=2),LOOKUP(G84,T!$E220:$E236,T!$B220:$B224),IF(AND(G51="4F2",G53=3),LOOKUP(G84,T!$E220:$E236,T!$C220:$C233),IF(AND(G51="4F2",G53=4),LOOKUP(G84,T!$E225:$E236,T!$D225:$D236),IF(AND(G51="4F3",G53=2),LOOKUP(G84,T!$E242:$E248,T!$B242:$B248),IF(AND(G51="4F3",G53=3),LOOKUP(G84,T!$E242:$E248,T!$C242:$C248),"-")))))))),""))))</f>
        <v>65</v>
      </c>
      <c r="H33" s="129">
        <f ca="1">IF(H29="","",IF(ISNUMBER(SEARCH("4D",H51)),IF(AND(H51="4D1",H53=2),LOOKUP(H84,T!$M6:$M27,T!$B6:$B22),IF(AND(H51="4D1",H53=3),LOOKUP(H84,T!$M6:$M27,T!$C6:$C22),IF(AND(H51="4D1",H53=4),LOOKUP(H84,T!$M6:$M27,T!$D6:$D25),IF(AND(H51="4D1",H53=5),LOOKUP(H84,T!$M6:$M27,T!$E6:$E25),IF(AND(H51="4D1",H53=6),LOOKUP(H84,T!$M6:$M27,T!$F6:$F27),IF(AND(H51="4D1",H53=7),LOOKUP(H84,T!$M6:$M27,T!$G6:$G27),IF(AND(H51="4D1",H53=8),LOOKUP(H84,T!$M13:$M27,T!$H13:$H27),IF(AND(H51="4D1",H53=9),LOOKUP(H84,T!$M13:$M27,T!$I13:$I27),IF(AND(H51="4D1",H53=10),LOOKUP(H84,T!$M13:$M27,T!$J13:$J27),IF(AND(H51="4D1",H53=11),LOOKUP(H84,T!$M13:$M27,T!$K13:$K27),IF(AND(H51="4D1",H53=12),LOOKUP(H84,T!$M13:$M27,T!$L13:$L27),IF(AND(H51="4D2",H53=2),LOOKUP(H84,T!$J33:$J50,T!$B33:$B49),IF(AND(H51="4D2",H53=3),LOOKUP(H84,T!$J33:$J50,T!$C33:$C49),IF(AND(H51="4D2",H53=4),LOOKUP(H84,T!$J33:$J50,T!$D33:$D50),IF(AND(H51="4D2",H53=5),LOOKUP(H84,T!$J33:$J50,T!$E33:$E50),IF(AND(H51="4D2",H53=6),LOOKUP(H84,T!$J33:$J50,T!$F33:$F50),IF(AND(H51="4D2",H53=7),LOOKUP(H84,T!$J33:$J50,T!$G33:$G50),IF(AND(H51="4D2",H53=8),LOOKUP(H84,T!$J33:$J50,T!$H33:$H50),IF(AND(H51="4D2",H53=9),LOOKUP(H84,T!$J33:$J50,T!$I33:$I50),IF(AND(H51="4D3",H53=2),LOOKUP(H84,T!$M56:$M68,T!$B56:$B68),IF(AND(H51="4D3",H53=3),LOOKUP(H84,T!$M56:$M68,T!$C56:$C68),IF(AND(H51="4D3",H53=4),LOOKUP(H84,T!$M56:$M68,T!$D56:$D$68),IF(AND(H51="4D3",H53=5),LOOKUP(H84,T!$M56:$M68,T!$E56:$E68),IF(AND(H51="4D3",H53=6),LOOKUP(H84,T!$M56:$M68,T!$F56:$F68),IF(AND(H51="4D3",H53=7),LOOKUP(H84,T!$M56:$M68,T!$G56:$G68),IF(AND(H51="4D3",H53=8),LOOKUP(H84,T!$M56:$M68,T!$H56:$H68),IF(AND(H51="4D3",H53=9),LOOKUP(H84,T!$M56:$M68,T!$I56:$I68),IF(AND(H51="4D3",H53=10),LOOKUP(H84,T!$M56:$M68,T!$J56:$J68),IF(AND(H51="4D3",H53=11),LOOKUP(H84,T!$M56:$M68,T!$K56:$K68),IF(AND(H51="4D3",H53=12),LOOKUP(H84,T!$M56:$M68,T!$L56:$L68),IF(AND(H51="4D4",H53=2),LOOKUP(H84,T!$H74:$H90,T!$B74:$B90),IF(AND(H51="4D4",H53=3),LOOKUP(H84,T!$H74:$H90,T!$C74:$C90),IF(AND(H51="4D4",H53=4),LOOKUP(H84,T!$H74:$H90,T!$D74:$D90),IF(AND(H51="4D4",H53=5),LOOKUP(H84,T!$H74:$H90,T!$E74:$E90),IF(AND(H51="4D4",H53=6),LOOKUP(H84,T!$H74:$H90,T!$F74:$F89),IF(AND(H51="4D4",H53=7),LOOKUP(H84,T!$H74:$H90,T!$G74:$G89),IF(AND(H51="4D5",H53=2),LOOKUP(H84,T!$I96:$I102,T!$B96:$B102),IF(AND(H51="4D5",H53=3),LOOKUP(H84,T!$I96:$I102,T!$C96:$C102),IF(AND(H51="4D5",H53=4),LOOKUP(H84,T!$I96:$I102,T!$D96:$D102),IF(AND(H51="4D5",H53=5),LOOKUP(H84,T!$I96:$I102,T!$E96:$E102),IF(AND(H51="4D5",H53=6),LOOKUP(H84,T!$I96:$I102,T!$F96:$F102),IF(AND(H51="4D5",H53=7),LOOKUP(H84,T!$I96:$I102,T!$G96:$G102),"-")))))))))))))))))))))))))))))))))))))))))),IF(ISNUMBER(SEARCH("4E",H51)),IF(AND(H51="4E1",H53=2),LOOKUP(H84,T!$M108:$M129,T!$B108:$B124),IF(AND(H51="4E1",H53=3),LOOKUP(H84,T!$M108:$M129,T!$C108:$C124),IF(AND(H51="4E1",H53=4),LOOKUP(H84,T!$M108:$M129,T!$D108:$D127),IF(AND(H51="4E1",H53=5),LOOKUP(H84,T!$M108:$M129,T!$E108:$E127),IF(AND(H51="4E1",H53=6),LOOKUP(H84,T!$M108:$M129,T!$F108:$F129),IF(AND(H51="4E1",H53=7),LOOKUP(H84,T!$M108:$M129,T!$G108:$G129),IF(AND(H51="4E1",H53=8),LOOKUP(H84,T!$M115:$M129,T!$H115:$H129),IF(AND(H51="4E1",H53=9),LOOKUP(H84,T!$M115:$M129,T!$I115:$I129),IF(AND(H51="4E1",H53=10),LOOKUP(H84,T!$M115:$M129,T!$J115:$J129),IF(AND(H51="4E1",H53=11),LOOKUP(H84,T!$M115:$M129,T!$K115:$K129),IF(AND(H51="4E1",H53=12),LOOKUP(H84,T!$M115:$M129,T!$L115:$L129),IF(AND(H51="4E2",H53=2),LOOKUP(H84,T!$J135:$J152,T!$B135:$B151),IF(AND(H51="4E2",H53=3),LOOKUP(H84,T!$J135:$J152,T!$C135:$C151),IF(AND(H51="4E2",H53=4),LOOKUP(H84,T!$J135:$J152,T!$D135:$D152),IF(AND(H51="4E2",H53=5),LOOKUP(H84,T!$J135:$J152,T!$E135:$E152),IF(AND(H51="4E2",H53=6),LOOKUP(H84,T!$J135:$J152,T!$F135:$F152),IF(AND(H51="4E2",H53=7),LOOKUP(H84,T!$J135:$J152,T!$G135:$G152),IF(AND(H51="4E2",H53=8),LOOKUP(H84,T!$J135:$J152,T!$H135:$H152),IF(AND(H51="4E2",H53=9),LOOKUP(H84,T!$J135:$J152,T!$I135:$I152),IF(AND(H51="4E3",H53=2),LOOKUP(H84,T!$M158:$M170,T!$B158:$B170),IF(AND(H51="4E3",H53=3),LOOKUP(H84,T!$M158:$M170,T!$C158:$C170),IF(AND(H51="4E3",H53=4),LOOKUP(H84,T!$M158:$M170,T!$D158:$D170),IF(AND(H51="4E3",H53=5),LOOKUP(H84,T!$M158:$M170,T!$E158:$E170),IF(AND(H51="4E3",H53=6),LOOKUP(H84,T!$M158:$M170,T!$F158:$F170),IF(AND(H51="4E3",H53=7),LOOKUP(H84,T!$M158:$M170,T!$G158:$G170),IF(AND(H51="4E3",H53=8),LOOKUP(H84,T!$M158:$M170,T!$H158:$H170),IF(AND(H51="4E3",H53=9),LOOKUP(H84,T!$M158:$M170,T!$I158:$I170),IF(AND(H51="4E3",H53=10),LOOKUP(H84,T!$M158:$M170,T!$J158:$J170),IF(AND(H51="4E3",H53=11),LOOKUP(H84,T!$M158:$M170,T!$K158:$K170),IF(AND(H51="4E3",H53=12),LOOKUP(H84,T!$M158:$M170,T!$L158:$L170),IF(AND(H51="4E4",H53=2),LOOKUP(H84,T!$H176:$H192,T!$B176:$B192),IF(AND(H51="4E4",H53=3),LOOKUP(H84,T!$H176:$H192,T!$C176:$C192),IF(AND(H51="4E4",H53=4),LOOKUP(H84,T!$H176:$H192,T!$D176:$D192),IF(AND(H51="4E4",H53=5),LOOKUP(H84,T!$H176:$H192,T!$E176:$E192),IF(AND(H51="4E4",H53=6),LOOKUP(H84,T!$H176:$H192,T!$F176:$F191),IF(AND(H51="4E4",H53=7),LOOKUP(H84,T!$H176:$H192,T!$G176:$G191),"-")))))))))))))))))))))))))))))))))))),IF(ISNUMBER(SEARCH("4F",H51)),IF(AND(H51="4F1",H53=2),LOOKUP(H84,T!$E198:$E214,T!$B198:$B202),IF(AND(H51="4F1",H53=3),LOOKUP(H84,T!$E198:$E214,T!$C198:$C211),IF(AND(H51="4F1",H53=4),LOOKUP(H84,T!$E203:$E214,T!$D203:$D214),IF(AND(H51="4F2",H53=2),LOOKUP(H84,T!$E220:$E236,T!$B220:$B224),IF(AND(H51="4F2",H53=3),LOOKUP(H84,T!$E220:$E236,T!$C220:$C233),IF(AND(H51="4F2",H53=4),LOOKUP(H84,T!$E225:$E236,T!$D225:$D236),IF(AND(H51="4F3",H53=2),LOOKUP(H84,T!$E242:$E248,T!$B242:$B248),IF(AND(H51="4F3",H53=3),LOOKUP(H84,T!$E242:$E248,T!$C242:$C248),"-")))))))),""))))</f>
        <v>87</v>
      </c>
      <c r="I33" s="129">
        <f>IF(I29="","",IF(ISNUMBER(SEARCH("4D",I51)),IF(AND(I51="4D1",I53=2),LOOKUP(I84,T!$M6:$M27,T!$B6:$B22),IF(AND(I51="4D1",I53=3),LOOKUP(I84,T!$M6:$M27,T!$C6:$C22),IF(AND(I51="4D1",I53=4),LOOKUP(I84,T!$M6:$M27,T!$D6:$D25),IF(AND(I51="4D1",I53=5),LOOKUP(I84,T!$M6:$M27,T!$E6:$E25),IF(AND(I51="4D1",I53=6),LOOKUP(I84,T!$M6:$M27,T!$F6:$F27),IF(AND(I51="4D1",I53=7),LOOKUP(I84,T!$M6:$M27,T!$G6:$G27),IF(AND(I51="4D1",I53=8),LOOKUP(I84,T!$M13:$M27,T!$H13:$H27),IF(AND(I51="4D1",I53=9),LOOKUP(I84,T!$M13:$M27,T!$I13:$I27),IF(AND(I51="4D1",I53=10),LOOKUP(I84,T!$M13:$M27,T!$J13:$J27),IF(AND(I51="4D1",I53=11),LOOKUP(I84,T!$M13:$M27,T!$K13:$K27),IF(AND(I51="4D1",I53=12),LOOKUP(I84,T!$M13:$M27,T!$L13:$L27),IF(AND(I51="4D2",I53=2),LOOKUP(I84,T!$J33:$J50,T!$B33:$B49),IF(AND(I51="4D2",I53=3),LOOKUP(I84,T!$J33:$J50,T!$C33:$C49),IF(AND(I51="4D2",I53=4),LOOKUP(I84,T!$J33:$J50,T!$D33:$D50),IF(AND(I51="4D2",I53=5),LOOKUP(I84,T!$J33:$J50,T!$E33:$E50),IF(AND(I51="4D2",I53=6),LOOKUP(I84,T!$J33:$J50,T!$F33:$F50),IF(AND(I51="4D2",I53=7),LOOKUP(I84,T!$J33:$J50,T!$G33:$G50),IF(AND(I51="4D2",I53=8),LOOKUP(I84,T!$J33:$J50,T!$H33:$H50),IF(AND(I51="4D2",I53=9),LOOKUP(I84,T!$J33:$J50,T!$I33:$I50),IF(AND(I51="4D3",I53=2),LOOKUP(I84,T!$M56:$M68,T!$B56:$B68),IF(AND(I51="4D3",I53=3),LOOKUP(I84,T!$M56:$M68,T!$C56:$C68),IF(AND(I51="4D3",I53=4),LOOKUP(I84,T!$M56:$M68,T!$D56:$D$68),IF(AND(I51="4D3",I53=5),LOOKUP(I84,T!$M56:$M68,T!$E56:$E68),IF(AND(I51="4D3",I53=6),LOOKUP(I84,T!$M56:$M68,T!$F56:$F68),IF(AND(I51="4D3",I53=7),LOOKUP(I84,T!$M56:$M68,T!$G56:$G68),IF(AND(I51="4D3",I53=8),LOOKUP(I84,T!$M56:$M68,T!$H56:$H68),IF(AND(I51="4D3",I53=9),LOOKUP(I84,T!$M56:$M68,T!$I56:$I68),IF(AND(I51="4D3",I53=10),LOOKUP(I84,T!$M56:$M68,T!$J56:$J68),IF(AND(I51="4D3",I53=11),LOOKUP(I84,T!$M56:$M68,T!$K56:$K68),IF(AND(I51="4D3",I53=12),LOOKUP(I84,T!$M56:$M68,T!$L56:$L68),IF(AND(I51="4D4",I53=2),LOOKUP(I84,T!$H74:$H90,T!$B74:$B90),IF(AND(I51="4D4",I53=3),LOOKUP(I84,T!$H74:$H90,T!$C74:$C90),IF(AND(I51="4D4",I53=4),LOOKUP(I84,T!$H74:$H90,T!$D74:$D90),IF(AND(I51="4D4",I53=5),LOOKUP(I84,T!$H74:$H90,T!$E74:$E90),IF(AND(I51="4D4",I53=6),LOOKUP(I84,T!$H74:$H90,T!$F74:$F89),IF(AND(I51="4D4",I53=7),LOOKUP(I84,T!$H74:$H90,T!$G74:$G89),IF(AND(I51="4D5",I53=2),LOOKUP(I84,T!$I96:$I102,T!$B96:$B102),IF(AND(I51="4D5",I53=3),LOOKUP(I84,T!$I96:$I102,T!$C96:$C102),IF(AND(I51="4D5",I53=4),LOOKUP(I84,T!$I96:$I102,T!$D96:$D102),IF(AND(I51="4D5",I53=5),LOOKUP(I84,T!$I96:$I102,T!$E96:$E102),IF(AND(I51="4D5",I53=6),LOOKUP(I84,T!$I96:$I102,T!$F96:$F102),IF(AND(I51="4D5",I53=7),LOOKUP(I84,T!$I96:$I102,T!$G96:$G102),"-")))))))))))))))))))))))))))))))))))))))))),IF(ISNUMBER(SEARCH("4E",I51)),IF(AND(I51="4E1",I53=2),LOOKUP(I84,T!$M108:$M129,T!$B108:$B124),IF(AND(I51="4E1",I53=3),LOOKUP(I84,T!$M108:$M129,T!$C108:$C124),IF(AND(I51="4E1",I53=4),LOOKUP(I84,T!$M108:$M129,T!$D108:$D127),IF(AND(I51="4E1",I53=5),LOOKUP(I84,T!$M108:$M129,T!$E108:$E127),IF(AND(I51="4E1",I53=6),LOOKUP(I84,T!$M108:$M129,T!$F108:$F129),IF(AND(I51="4E1",I53=7),LOOKUP(I84,T!$M108:$M129,T!$G108:$G129),IF(AND(I51="4E1",I53=8),LOOKUP(I84,T!$M115:$M129,T!$H115:$H129),IF(AND(I51="4E1",I53=9),LOOKUP(I84,T!$M115:$M129,T!$I115:$I129),IF(AND(I51="4E1",I53=10),LOOKUP(I84,T!$M115:$M129,T!$J115:$J129),IF(AND(I51="4E1",I53=11),LOOKUP(I84,T!$M115:$M129,T!$K115:$K129),IF(AND(I51="4E1",I53=12),LOOKUP(I84,T!$M115:$M129,T!$L115:$L129),IF(AND(I51="4E2",I53=2),LOOKUP(I84,T!$J135:$J152,T!$B135:$B151),IF(AND(I51="4E2",I53=3),LOOKUP(I84,T!$J135:$J152,T!$C135:$C151),IF(AND(I51="4E2",I53=4),LOOKUP(I84,T!$J135:$J152,T!$D135:$D152),IF(AND(I51="4E2",I53=5),LOOKUP(I84,T!$J135:$J152,T!$E135:$E152),IF(AND(I51="4E2",I53=6),LOOKUP(I84,T!$J135:$J152,T!$F135:$F152),IF(AND(I51="4E2",I53=7),LOOKUP(I84,T!$J135:$J152,T!$G135:$G152),IF(AND(I51="4E2",I53=8),LOOKUP(I84,T!$J135:$J152,T!$H135:$H152),IF(AND(I51="4E2",I53=9),LOOKUP(I84,T!$J135:$J152,T!$I135:$I152),IF(AND(I51="4E3",I53=2),LOOKUP(I84,T!$M158:$M170,T!$B158:$B170),IF(AND(I51="4E3",I53=3),LOOKUP(I84,T!$M158:$M170,T!$C158:$C170),IF(AND(I51="4E3",I53=4),LOOKUP(I84,T!$M158:$M170,T!$D158:$D170),IF(AND(I51="4E3",I53=5),LOOKUP(I84,T!$M158:$M170,T!$E158:$E170),IF(AND(I51="4E3",I53=6),LOOKUP(I84,T!$M158:$M170,T!$F158:$F170),IF(AND(I51="4E3",I53=7),LOOKUP(I84,T!$M158:$M170,T!$G158:$G170),IF(AND(I51="4E3",I53=8),LOOKUP(I84,T!$M158:$M170,T!$H158:$H170),IF(AND(I51="4E3",I53=9),LOOKUP(I84,T!$M158:$M170,T!$I158:$I170),IF(AND(I51="4E3",I53=10),LOOKUP(I84,T!$M158:$M170,T!$J158:$J170),IF(AND(I51="4E3",I53=11),LOOKUP(I84,T!$M158:$M170,T!$K158:$K170),IF(AND(I51="4E3",I53=12),LOOKUP(I84,T!$M158:$M170,T!$L158:$L170),IF(AND(I51="4E4",I53=2),LOOKUP(I84,T!$H176:$H192,T!$B176:$B192),IF(AND(I51="4E4",I53=3),LOOKUP(I84,T!$H176:$H192,T!$C176:$C192),IF(AND(I51="4E4",I53=4),LOOKUP(I84,T!$H176:$H192,T!$D176:$D192),IF(AND(I51="4E4",I53=5),LOOKUP(I84,T!$H176:$H192,T!$E176:$E192),IF(AND(I51="4E4",I53=6),LOOKUP(I84,T!$H176:$H192,T!$F176:$F191),IF(AND(I51="4E4",I53=7),LOOKUP(I84,T!$H176:$H192,T!$G176:$G191),"-")))))))))))))))))))))))))))))))))))),IF(ISNUMBER(SEARCH("4F",I51)),IF(AND(I51="4F1",I53=2),LOOKUP(I84,T!$E198:$E214,T!$B198:$B202),IF(AND(I51="4F1",I53=3),LOOKUP(I84,T!$E198:$E214,T!$C198:$C211),IF(AND(I51="4F1",I53=4),LOOKUP(I84,T!$E203:$E214,T!$D203:$D214),IF(AND(I51="4F2",I53=2),LOOKUP(I84,T!$E220:$E236,T!$B220:$B224),IF(AND(I51="4F2",I53=3),LOOKUP(I84,T!$E220:$E236,T!$C220:$C233),IF(AND(I51="4F2",I53=4),LOOKUP(I84,T!$E225:$E236,T!$D225:$D236),IF(AND(I51="4F3",I53=2),LOOKUP(I84,T!$E242:$E248,T!$B242:$B248),IF(AND(I51="4F3",I53=3),LOOKUP(I84,T!$E242:$E248,T!$C242:$C248),"-")))))))),""))))</f>
        <v>130</v>
      </c>
      <c r="J33" s="129">
        <f>IF(J29="","",IF(ISNUMBER(SEARCH("4D",J51)),IF(AND(J51="4D1",J53=2),LOOKUP(J84,T!$M6:$M27,T!$B6:$B22),IF(AND(J51="4D1",J53=3),LOOKUP(J84,T!$M6:$M27,T!$C6:$C22),IF(AND(J51="4D1",J53=4),LOOKUP(J84,T!$M6:$M27,T!$D6:$D25),IF(AND(J51="4D1",J53=5),LOOKUP(J84,T!$M6:$M27,T!$E6:$E25),IF(AND(J51="4D1",J53=6),LOOKUP(J84,T!$M6:$M27,T!$F6:$F27),IF(AND(J51="4D1",J53=7),LOOKUP(J84,T!$M6:$M27,T!$G6:$G27),IF(AND(J51="4D1",J53=8),LOOKUP(J84,T!$M13:$M27,T!$H13:$H27),IF(AND(J51="4D1",J53=9),LOOKUP(J84,T!$M13:$M27,T!$I13:$I27),IF(AND(J51="4D1",J53=10),LOOKUP(J84,T!$M13:$M27,T!$J13:$J27),IF(AND(J51="4D1",J53=11),LOOKUP(J84,T!$M13:$M27,T!$K13:$K27),IF(AND(J51="4D1",J53=12),LOOKUP(J84,T!$M13:$M27,T!$L13:$L27),IF(AND(J51="4D2",J53=2),LOOKUP(J84,T!$J33:$J50,T!$B33:$B49),IF(AND(J51="4D2",J53=3),LOOKUP(J84,T!$J33:$J50,T!$C33:$C49),IF(AND(J51="4D2",J53=4),LOOKUP(J84,T!$J33:$J50,T!$D33:$D50),IF(AND(J51="4D2",J53=5),LOOKUP(J84,T!$J33:$J50,T!$E33:$E50),IF(AND(J51="4D2",J53=6),LOOKUP(J84,T!$J33:$J50,T!$F33:$F50),IF(AND(J51="4D2",J53=7),LOOKUP(J84,T!$J33:$J50,T!$G33:$G50),IF(AND(J51="4D2",J53=8),LOOKUP(J84,T!$J33:$J50,T!$H33:$H50),IF(AND(J51="4D2",J53=9),LOOKUP(J84,T!$J33:$J50,T!$I33:$I50),IF(AND(J51="4D3",J53=2),LOOKUP(J84,T!$M56:$M68,T!$B56:$B68),IF(AND(J51="4D3",J53=3),LOOKUP(J84,T!$M56:$M68,T!$C56:$C68),IF(AND(J51="4D3",J53=4),LOOKUP(J84,T!$M56:$M68,T!$D56:$D$68),IF(AND(J51="4D3",J53=5),LOOKUP(J84,T!$M56:$M68,T!$E56:$E68),IF(AND(J51="4D3",J53=6),LOOKUP(J84,T!$M56:$M68,T!$F56:$F68),IF(AND(J51="4D3",J53=7),LOOKUP(J84,T!$M56:$M68,T!$G56:$G68),IF(AND(J51="4D3",J53=8),LOOKUP(J84,T!$M56:$M68,T!$H56:$H68),IF(AND(J51="4D3",J53=9),LOOKUP(J84,T!$M56:$M68,T!$I56:$I68),IF(AND(J51="4D3",J53=10),LOOKUP(J84,T!$M56:$M68,T!$J56:$J68),IF(AND(J51="4D3",J53=11),LOOKUP(J84,T!$M56:$M68,T!$K56:$K68),IF(AND(J51="4D3",J53=12),LOOKUP(J84,T!$M56:$M68,T!$L56:$L68),IF(AND(J51="4D4",J53=2),LOOKUP(J84,T!$H74:$H90,T!$B74:$B90),IF(AND(J51="4D4",J53=3),LOOKUP(J84,T!$H74:$H90,T!$C74:$C90),IF(AND(J51="4D4",J53=4),LOOKUP(J84,T!$H74:$H90,T!$D74:$D90),IF(AND(J51="4D4",J53=5),LOOKUP(J84,T!$H74:$H90,T!$E74:$E90),IF(AND(J51="4D4",J53=6),LOOKUP(J84,T!$H74:$H90,T!$F74:$F89),IF(AND(J51="4D4",J53=7),LOOKUP(J84,T!$H74:$H90,T!$G74:$G89),IF(AND(J51="4D5",J53=2),LOOKUP(J84,T!$I96:$I102,T!$B96:$B102),IF(AND(J51="4D5",J53=3),LOOKUP(J84,T!$I96:$I102,T!$C96:$C102),IF(AND(J51="4D5",J53=4),LOOKUP(J84,T!$I96:$I102,T!$D96:$D102),IF(AND(J51="4D5",J53=5),LOOKUP(J84,T!$I96:$I102,T!$E96:$E102),IF(AND(J51="4D5",J53=6),LOOKUP(J84,T!$I96:$I102,T!$F96:$F102),IF(AND(J51="4D5",J53=7),LOOKUP(J84,T!$I96:$I102,T!$G96:$G102),"-")))))))))))))))))))))))))))))))))))))))))),IF(ISNUMBER(SEARCH("4E",J51)),IF(AND(J51="4E1",J53=2),LOOKUP(J84,T!$M108:$M129,T!$B108:$B124),IF(AND(J51="4E1",J53=3),LOOKUP(J84,T!$M108:$M129,T!$C108:$C124),IF(AND(J51="4E1",J53=4),LOOKUP(J84,T!$M108:$M129,T!$D108:$D127),IF(AND(J51="4E1",J53=5),LOOKUP(J84,T!$M108:$M129,T!$E108:$E127),IF(AND(J51="4E1",J53=6),LOOKUP(J84,T!$M108:$M129,T!$F108:$F129),IF(AND(J51="4E1",J53=7),LOOKUP(J84,T!$M108:$M129,T!$G108:$G129),IF(AND(J51="4E1",J53=8),LOOKUP(J84,T!$M115:$M129,T!$H115:$H129),IF(AND(J51="4E1",J53=9),LOOKUP(J84,T!$M115:$M129,T!$I115:$I129),IF(AND(J51="4E1",J53=10),LOOKUP(J84,T!$M115:$M129,T!$J115:$J129),IF(AND(J51="4E1",J53=11),LOOKUP(J84,T!$M115:$M129,T!$K115:$K129),IF(AND(J51="4E1",J53=12),LOOKUP(J84,T!$M115:$M129,T!$L115:$L129),IF(AND(J51="4E2",J53=2),LOOKUP(J84,T!$J135:$J152,T!$B135:$B151),IF(AND(J51="4E2",J53=3),LOOKUP(J84,T!$J135:$J152,T!$C135:$C151),IF(AND(J51="4E2",J53=4),LOOKUP(J84,T!$J135:$J152,T!$D135:$D152),IF(AND(J51="4E2",J53=5),LOOKUP(J84,T!$J135:$J152,T!$E135:$E152),IF(AND(J51="4E2",J53=6),LOOKUP(J84,T!$J135:$J152,T!$F135:$F152),IF(AND(J51="4E2",J53=7),LOOKUP(J84,T!$J135:$J152,T!$G135:$G152),IF(AND(J51="4E2",J53=8),LOOKUP(J84,T!$J135:$J152,T!$H135:$H152),IF(AND(J51="4E2",J53=9),LOOKUP(J84,T!$J135:$J152,T!$I135:$I152),IF(AND(J51="4E3",J53=2),LOOKUP(J84,T!$M158:$M170,T!$B158:$B170),IF(AND(J51="4E3",J53=3),LOOKUP(J84,T!$M158:$M170,T!$C158:$C170),IF(AND(J51="4E3",J53=4),LOOKUP(J84,T!$M158:$M170,T!$D158:$D170),IF(AND(J51="4E3",J53=5),LOOKUP(J84,T!$M158:$M170,T!$E158:$E170),IF(AND(J51="4E3",J53=6),LOOKUP(J84,T!$M158:$M170,T!$F158:$F170),IF(AND(J51="4E3",J53=7),LOOKUP(J84,T!$M158:$M170,T!$G158:$G170),IF(AND(J51="4E3",J53=8),LOOKUP(J84,T!$M158:$M170,T!$H158:$H170),IF(AND(J51="4E3",J53=9),LOOKUP(J84,T!$M158:$M170,T!$I158:$I170),IF(AND(J51="4E3",J53=10),LOOKUP(J84,T!$M158:$M170,T!$J158:$J170),IF(AND(J51="4E3",J53=11),LOOKUP(J84,T!$M158:$M170,T!$K158:$K170),IF(AND(J51="4E3",J53=12),LOOKUP(J84,T!$M158:$M170,T!$L158:$L170),IF(AND(J51="4E4",J53=2),LOOKUP(J84,T!$H176:$H192,T!$B176:$B192),IF(AND(J51="4E4",J53=3),LOOKUP(J84,T!$H176:$H192,T!$C176:$C192),IF(AND(J51="4E4",J53=4),LOOKUP(J84,T!$H176:$H192,T!$D176:$D192),IF(AND(J51="4E4",J53=5),LOOKUP(J84,T!$H176:$H192,T!$E176:$E192),IF(AND(J51="4E4",J53=6),LOOKUP(J84,T!$H176:$H192,T!$F176:$F191),IF(AND(J51="4E4",J53=7),LOOKUP(J84,T!$H176:$H192,T!$G176:$G191),"-")))))))))))))))))))))))))))))))))))),IF(ISNUMBER(SEARCH("4F",J51)),IF(AND(J51="4F1",J53=2),LOOKUP(J84,T!$E198:$E214,T!$B198:$B202),IF(AND(J51="4F1",J53=3),LOOKUP(J84,T!$E198:$E214,T!$C198:$C211),IF(AND(J51="4F1",J53=4),LOOKUP(J84,T!$E203:$E214,T!$D203:$D214),IF(AND(J51="4F2",J53=2),LOOKUP(J84,T!$E220:$E236,T!$B220:$B224),IF(AND(J51="4F2",J53=3),LOOKUP(J84,T!$E220:$E236,T!$C220:$C233),IF(AND(J51="4F2",J53=4),LOOKUP(J84,T!$E225:$E236,T!$D225:$D236),IF(AND(J51="4F3",J53=2),LOOKUP(J84,T!$E242:$E248,T!$B242:$B248),IF(AND(J51="4F3",J53=3),LOOKUP(J84,T!$E242:$E248,T!$C242:$C248),"-")))))))),""))))</f>
        <v>36</v>
      </c>
      <c r="K33" s="129">
        <f>IF(K29="","",IF(ISNUMBER(SEARCH("4D",K51)),IF(AND(K51="4D1",K53=2),LOOKUP(K84,T!$M6:$M27,T!$B6:$B22),IF(AND(K51="4D1",K53=3),LOOKUP(K84,T!$M6:$M27,T!$C6:$C22),IF(AND(K51="4D1",K53=4),LOOKUP(K84,T!$M6:$M27,T!$D6:$D25),IF(AND(K51="4D1",K53=5),LOOKUP(K84,T!$M6:$M27,T!$E6:$E25),IF(AND(K51="4D1",K53=6),LOOKUP(K84,T!$M6:$M27,T!$F6:$F27),IF(AND(K51="4D1",K53=7),LOOKUP(K84,T!$M6:$M27,T!$G6:$G27),IF(AND(K51="4D1",K53=8),LOOKUP(K84,T!$M13:$M27,T!$H13:$H27),IF(AND(K51="4D1",K53=9),LOOKUP(K84,T!$M13:$M27,T!$I13:$I27),IF(AND(K51="4D1",K53=10),LOOKUP(K84,T!$M13:$M27,T!$J13:$J27),IF(AND(K51="4D1",K53=11),LOOKUP(K84,T!$M13:$M27,T!$K13:$K27),IF(AND(K51="4D1",K53=12),LOOKUP(K84,T!$M13:$M27,T!$L13:$L27),IF(AND(K51="4D2",K53=2),LOOKUP(K84,T!$J33:$J50,T!$B33:$B49),IF(AND(K51="4D2",K53=3),LOOKUP(K84,T!$J33:$J50,T!$C33:$C49),IF(AND(K51="4D2",K53=4),LOOKUP(K84,T!$J33:$J50,T!$D33:$D50),IF(AND(K51="4D2",K53=5),LOOKUP(K84,T!$J33:$J50,T!$E33:$E50),IF(AND(K51="4D2",K53=6),LOOKUP(K84,T!$J33:$J50,T!$F33:$F50),IF(AND(K51="4D2",K53=7),LOOKUP(K84,T!$J33:$J50,T!$G33:$G50),IF(AND(K51="4D2",K53=8),LOOKUP(K84,T!$J33:$J50,T!$H33:$H50),IF(AND(K51="4D2",K53=9),LOOKUP(K84,T!$J33:$J50,T!$I33:$I50),IF(AND(K51="4D3",K53=2),LOOKUP(K84,T!$M56:$M68,T!$B56:$B68),IF(AND(K51="4D3",K53=3),LOOKUP(K84,T!$M56:$M68,T!$C56:$C68),IF(AND(K51="4D3",K53=4),LOOKUP(K84,T!$M56:$M68,T!$D56:$D$68),IF(AND(K51="4D3",K53=5),LOOKUP(K84,T!$M56:$M68,T!$E56:$E68),IF(AND(K51="4D3",K53=6),LOOKUP(K84,T!$M56:$M68,T!$F56:$F68),IF(AND(K51="4D3",K53=7),LOOKUP(K84,T!$M56:$M68,T!$G56:$G68),IF(AND(K51="4D3",K53=8),LOOKUP(K84,T!$M56:$M68,T!$H56:$H68),IF(AND(K51="4D3",K53=9),LOOKUP(K84,T!$M56:$M68,T!$I56:$I68),IF(AND(K51="4D3",K53=10),LOOKUP(K84,T!$M56:$M68,T!$J56:$J68),IF(AND(K51="4D3",K53=11),LOOKUP(K84,T!$M56:$M68,T!$K56:$K68),IF(AND(K51="4D3",K53=12),LOOKUP(K84,T!$M56:$M68,T!$L56:$L68),IF(AND(K51="4D4",K53=2),LOOKUP(K84,T!$H74:$H90,T!$B74:$B90),IF(AND(K51="4D4",K53=3),LOOKUP(K84,T!$H74:$H90,T!$C74:$C90),IF(AND(K51="4D4",K53=4),LOOKUP(K84,T!$H74:$H90,T!$D74:$D90),IF(AND(K51="4D4",K53=5),LOOKUP(K84,T!$H74:$H90,T!$E74:$E90),IF(AND(K51="4D4",K53=6),LOOKUP(K84,T!$H74:$H90,T!$F74:$F89),IF(AND(K51="4D4",K53=7),LOOKUP(K84,T!$H74:$H90,T!$G74:$G89),IF(AND(K51="4D5",K53=2),LOOKUP(K84,T!$I96:$I102,T!$B96:$B102),IF(AND(K51="4D5",K53=3),LOOKUP(K84,T!$I96:$I102,T!$C96:$C102),IF(AND(K51="4D5",K53=4),LOOKUP(K84,T!$I96:$I102,T!$D96:$D102),IF(AND(K51="4D5",K53=5),LOOKUP(K84,T!$I96:$I102,T!$E96:$E102),IF(AND(K51="4D5",K53=6),LOOKUP(K84,T!$I96:$I102,T!$F96:$F102),IF(AND(K51="4D5",K53=7),LOOKUP(K84,T!$I96:$I102,T!$G96:$G102),"-")))))))))))))))))))))))))))))))))))))))))),IF(ISNUMBER(SEARCH("4E",K51)),IF(AND(K51="4E1",K53=2),LOOKUP(K84,T!$M108:$M129,T!$B108:$B124),IF(AND(K51="4E1",K53=3),LOOKUP(K84,T!$M108:$M129,T!$C108:$C124),IF(AND(K51="4E1",K53=4),LOOKUP(K84,T!$M108:$M129,T!$D108:$D127),IF(AND(K51="4E1",K53=5),LOOKUP(K84,T!$M108:$M129,T!$E108:$E127),IF(AND(K51="4E1",K53=6),LOOKUP(K84,T!$M108:$M129,T!$F108:$F129),IF(AND(K51="4E1",K53=7),LOOKUP(K84,T!$M108:$M129,T!$G108:$G129),IF(AND(K51="4E1",K53=8),LOOKUP(K84,T!$M115:$M129,T!$H115:$H129),IF(AND(K51="4E1",K53=9),LOOKUP(K84,T!$M115:$M129,T!$I115:$I129),IF(AND(K51="4E1",K53=10),LOOKUP(K84,T!$M115:$M129,T!$J115:$J129),IF(AND(K51="4E1",K53=11),LOOKUP(K84,T!$M115:$M129,T!$K115:$K129),IF(AND(K51="4E1",K53=12),LOOKUP(K84,T!$M115:$M129,T!$L115:$L129),IF(AND(K51="4E2",K53=2),LOOKUP(K84,T!$J135:$J152,T!$B135:$B151),IF(AND(K51="4E2",K53=3),LOOKUP(K84,T!$J135:$J152,T!$C135:$C151),IF(AND(K51="4E2",K53=4),LOOKUP(K84,T!$J135:$J152,T!$D135:$D152),IF(AND(K51="4E2",K53=5),LOOKUP(K84,T!$J135:$J152,T!$E135:$E152),IF(AND(K51="4E2",K53=6),LOOKUP(K84,T!$J135:$J152,T!$F135:$F152),IF(AND(K51="4E2",K53=7),LOOKUP(K84,T!$J135:$J152,T!$G135:$G152),IF(AND(K51="4E2",K53=8),LOOKUP(K84,T!$J135:$J152,T!$H135:$H152),IF(AND(K51="4E2",K53=9),LOOKUP(K84,T!$J135:$J152,T!$I135:$I152),IF(AND(K51="4E3",K53=2),LOOKUP(K84,T!$M158:$M170,T!$B158:$B170),IF(AND(K51="4E3",K53=3),LOOKUP(K84,T!$M158:$M170,T!$C158:$C170),IF(AND(K51="4E3",K53=4),LOOKUP(K84,T!$M158:$M170,T!$D158:$D170),IF(AND(K51="4E3",K53=5),LOOKUP(K84,T!$M158:$M170,T!$E158:$E170),IF(AND(K51="4E3",K53=6),LOOKUP(K84,T!$M158:$M170,T!$F158:$F170),IF(AND(K51="4E3",K53=7),LOOKUP(K84,T!$M158:$M170,T!$G158:$G170),IF(AND(K51="4E3",K53=8),LOOKUP(K84,T!$M158:$M170,T!$H158:$H170),IF(AND(K51="4E3",K53=9),LOOKUP(K84,T!$M158:$M170,T!$I158:$I170),IF(AND(K51="4E3",K53=10),LOOKUP(K84,T!$M158:$M170,T!$J158:$J170),IF(AND(K51="4E3",K53=11),LOOKUP(K84,T!$M158:$M170,T!$K158:$K170),IF(AND(K51="4E3",K53=12),LOOKUP(K84,T!$M158:$M170,T!$L158:$L170),IF(AND(K51="4E4",K53=2),LOOKUP(K84,T!$H176:$H192,T!$B176:$B192),IF(AND(K51="4E4",K53=3),LOOKUP(K84,T!$H176:$H192,T!$C176:$C192),IF(AND(K51="4E4",K53=4),LOOKUP(K84,T!$H176:$H192,T!$D176:$D192),IF(AND(K51="4E4",K53=5),LOOKUP(K84,T!$H176:$H192,T!$E176:$E192),IF(AND(K51="4E4",K53=6),LOOKUP(K84,T!$H176:$H192,T!$F176:$F191),IF(AND(K51="4E4",K53=7),LOOKUP(K84,T!$H176:$H192,T!$G176:$G191),"-")))))))))))))))))))))))))))))))))))),IF(ISNUMBER(SEARCH("4F",K51)),IF(AND(K51="4F1",K53=2),LOOKUP(K84,T!$E198:$E214,T!$B198:$B202),IF(AND(K51="4F1",K53=3),LOOKUP(K84,T!$E198:$E214,T!$C198:$C211),IF(AND(K51="4F1",K53=4),LOOKUP(K84,T!$E203:$E214,T!$D203:$D214),IF(AND(K51="4F2",K53=2),LOOKUP(K84,T!$E220:$E236,T!$B220:$B224),IF(AND(K51="4F2",K53=3),LOOKUP(K84,T!$E220:$E236,T!$C220:$C233),IF(AND(K51="4F2",K53=4),LOOKUP(K84,T!$E225:$E236,T!$D225:$D236),IF(AND(K51="4F3",K53=2),LOOKUP(K84,T!$E242:$E248,T!$B242:$B248),IF(AND(K51="4F3",K53=3),LOOKUP(K84,T!$E242:$E248,T!$C242:$C248),"-")))))))),""))))</f>
        <v>37</v>
      </c>
      <c r="L33" s="129">
        <f>IF(L29="","",IF(ISNUMBER(SEARCH("4D",L51)),IF(AND(L51="4D1",L53=2),LOOKUP(L84,T!$M6:$M27,T!$B6:$B22),IF(AND(L51="4D1",L53=3),LOOKUP(L84,T!$M6:$M27,T!$C6:$C22),IF(AND(L51="4D1",L53=4),LOOKUP(L84,T!$M6:$M27,T!$D6:$D25),IF(AND(L51="4D1",L53=5),LOOKUP(L84,T!$M6:$M27,T!$E6:$E25),IF(AND(L51="4D1",L53=6),LOOKUP(L84,T!$M6:$M27,T!$F6:$F27),IF(AND(L51="4D1",L53=7),LOOKUP(L84,T!$M6:$M27,T!$G6:$G27),IF(AND(L51="4D1",L53=8),LOOKUP(L84,T!$M13:$M27,T!$H13:$H27),IF(AND(L51="4D1",L53=9),LOOKUP(L84,T!$M13:$M27,T!$I13:$I27),IF(AND(L51="4D1",L53=10),LOOKUP(L84,T!$M13:$M27,T!$J13:$J27),IF(AND(L51="4D1",L53=11),LOOKUP(L84,T!$M13:$M27,T!$K13:$K27),IF(AND(L51="4D1",L53=12),LOOKUP(L84,T!$M13:$M27,T!$L13:$L27),IF(AND(L51="4D2",L53=2),LOOKUP(L84,T!$J33:$J50,T!$B33:$B49),IF(AND(L51="4D2",L53=3),LOOKUP(L84,T!$J33:$J50,T!$C33:$C49),IF(AND(L51="4D2",L53=4),LOOKUP(L84,T!$J33:$J50,T!$D33:$D50),IF(AND(L51="4D2",L53=5),LOOKUP(L84,T!$J33:$J50,T!$E33:$E50),IF(AND(L51="4D2",L53=6),LOOKUP(L84,T!$J33:$J50,T!$F33:$F50),IF(AND(L51="4D2",L53=7),LOOKUP(L84,T!$J33:$J50,T!$G33:$G50),IF(AND(L51="4D2",L53=8),LOOKUP(L84,T!$J33:$J50,T!$H33:$H50),IF(AND(L51="4D2",L53=9),LOOKUP(L84,T!$J33:$J50,T!$I33:$I50),IF(AND(L51="4D3",L53=2),LOOKUP(L84,T!$M56:$M68,T!$B56:$B68),IF(AND(L51="4D3",L53=3),LOOKUP(L84,T!$M56:$M68,T!$C56:$C68),IF(AND(L51="4D3",L53=4),LOOKUP(L84,T!$M56:$M68,T!$D56:$D$68),IF(AND(L51="4D3",L53=5),LOOKUP(L84,T!$M56:$M68,T!$E56:$E68),IF(AND(L51="4D3",L53=6),LOOKUP(L84,T!$M56:$M68,T!$F56:$F68),IF(AND(L51="4D3",L53=7),LOOKUP(L84,T!$M56:$M68,T!$G56:$G68),IF(AND(L51="4D3",L53=8),LOOKUP(L84,T!$M56:$M68,T!$H56:$H68),IF(AND(L51="4D3",L53=9),LOOKUP(L84,T!$M56:$M68,T!$I56:$I68),IF(AND(L51="4D3",L53=10),LOOKUP(L84,T!$M56:$M68,T!$J56:$J68),IF(AND(L51="4D3",L53=11),LOOKUP(L84,T!$M56:$M68,T!$K56:$K68),IF(AND(L51="4D3",L53=12),LOOKUP(L84,T!$M56:$M68,T!$L56:$L68),IF(AND(L51="4D4",L53=2),LOOKUP(L84,T!$H74:$H90,T!$B74:$B90),IF(AND(L51="4D4",L53=3),LOOKUP(L84,T!$H74:$H90,T!$C74:$C90),IF(AND(L51="4D4",L53=4),LOOKUP(L84,T!$H74:$H90,T!$D74:$D90),IF(AND(L51="4D4",L53=5),LOOKUP(L84,T!$H74:$H90,T!$E74:$E90),IF(AND(L51="4D4",L53=6),LOOKUP(L84,T!$H74:$H90,T!$F74:$F89),IF(AND(L51="4D4",L53=7),LOOKUP(L84,T!$H74:$H90,T!$G74:$G89),IF(AND(L51="4D5",L53=2),LOOKUP(L84,T!$I96:$I102,T!$B96:$B102),IF(AND(L51="4D5",L53=3),LOOKUP(L84,T!$I96:$I102,T!$C96:$C102),IF(AND(L51="4D5",L53=4),LOOKUP(L84,T!$I96:$I102,T!$D96:$D102),IF(AND(L51="4D5",L53=5),LOOKUP(L84,T!$I96:$I102,T!$E96:$E102),IF(AND(L51="4D5",L53=6),LOOKUP(L84,T!$I96:$I102,T!$F96:$F102),IF(AND(L51="4D5",L53=7),LOOKUP(L84,T!$I96:$I102,T!$G96:$G102),"-")))))))))))))))))))))))))))))))))))))))))),IF(ISNUMBER(SEARCH("4E",L51)),IF(AND(L51="4E1",L53=2),LOOKUP(L84,T!$M108:$M129,T!$B108:$B124),IF(AND(L51="4E1",L53=3),LOOKUP(L84,T!$M108:$M129,T!$C108:$C124),IF(AND(L51="4E1",L53=4),LOOKUP(L84,T!$M108:$M129,T!$D108:$D127),IF(AND(L51="4E1",L53=5),LOOKUP(L84,T!$M108:$M129,T!$E108:$E127),IF(AND(L51="4E1",L53=6),LOOKUP(L84,T!$M108:$M129,T!$F108:$F129),IF(AND(L51="4E1",L53=7),LOOKUP(L84,T!$M108:$M129,T!$G108:$G129),IF(AND(L51="4E1",L53=8),LOOKUP(L84,T!$M115:$M129,T!$H115:$H129),IF(AND(L51="4E1",L53=9),LOOKUP(L84,T!$M115:$M129,T!$I115:$I129),IF(AND(L51="4E1",L53=10),LOOKUP(L84,T!$M115:$M129,T!$J115:$J129),IF(AND(L51="4E1",L53=11),LOOKUP(L84,T!$M115:$M129,T!$K115:$K129),IF(AND(L51="4E1",L53=12),LOOKUP(L84,T!$M115:$M129,T!$L115:$L129),IF(AND(L51="4E2",L53=2),LOOKUP(L84,T!$J135:$J152,T!$B135:$B151),IF(AND(L51="4E2",L53=3),LOOKUP(L84,T!$J135:$J152,T!$C135:$C151),IF(AND(L51="4E2",L53=4),LOOKUP(L84,T!$J135:$J152,T!$D135:$D152),IF(AND(L51="4E2",L53=5),LOOKUP(L84,T!$J135:$J152,T!$E135:$E152),IF(AND(L51="4E2",L53=6),LOOKUP(L84,T!$J135:$J152,T!$F135:$F152),IF(AND(L51="4E2",L53=7),LOOKUP(L84,T!$J135:$J152,T!$G135:$G152),IF(AND(L51="4E2",L53=8),LOOKUP(L84,T!$J135:$J152,T!$H135:$H152),IF(AND(L51="4E2",L53=9),LOOKUP(L84,T!$J135:$J152,T!$I135:$I152),IF(AND(L51="4E3",L53=2),LOOKUP(L84,T!$M158:$M170,T!$B158:$B170),IF(AND(L51="4E3",L53=3),LOOKUP(L84,T!$M158:$M170,T!$C158:$C170),IF(AND(L51="4E3",L53=4),LOOKUP(L84,T!$M158:$M170,T!$D158:$D170),IF(AND(L51="4E3",L53=5),LOOKUP(L84,T!$M158:$M170,T!$E158:$E170),IF(AND(L51="4E3",L53=6),LOOKUP(L84,T!$M158:$M170,T!$F158:$F170),IF(AND(L51="4E3",L53=7),LOOKUP(L84,T!$M158:$M170,T!$G158:$G170),IF(AND(L51="4E3",L53=8),LOOKUP(L84,T!$M158:$M170,T!$H158:$H170),IF(AND(L51="4E3",L53=9),LOOKUP(L84,T!$M158:$M170,T!$I158:$I170),IF(AND(L51="4E3",L53=10),LOOKUP(L84,T!$M158:$M170,T!$J158:$J170),IF(AND(L51="4E3",L53=11),LOOKUP(L84,T!$M158:$M170,T!$K158:$K170),IF(AND(L51="4E3",L53=12),LOOKUP(L84,T!$M158:$M170,T!$L158:$L170),IF(AND(L51="4E4",L53=2),LOOKUP(L84,T!$H176:$H192,T!$B176:$B192),IF(AND(L51="4E4",L53=3),LOOKUP(L84,T!$H176:$H192,T!$C176:$C192),IF(AND(L51="4E4",L53=4),LOOKUP(L84,T!$H176:$H192,T!$D176:$D192),IF(AND(L51="4E4",L53=5),LOOKUP(L84,T!$H176:$H192,T!$E176:$E192),IF(AND(L51="4E4",L53=6),LOOKUP(L84,T!$H176:$H192,T!$F176:$F191),IF(AND(L51="4E4",L53=7),LOOKUP(L84,T!$H176:$H192,T!$G176:$G191),"-")))))))))))))))))))))))))))))))))))),IF(ISNUMBER(SEARCH("4F",L51)),IF(AND(L51="4F1",L53=2),LOOKUP(L84,T!$E198:$E214,T!$B198:$B202),IF(AND(L51="4F1",L53=3),LOOKUP(L84,T!$E198:$E214,T!$C198:$C211),IF(AND(L51="4F1",L53=4),LOOKUP(L84,T!$E203:$E214,T!$D203:$D214),IF(AND(L51="4F2",L53=2),LOOKUP(L84,T!$E220:$E236,T!$B220:$B224),IF(AND(L51="4F2",L53=3),LOOKUP(L84,T!$E220:$E236,T!$C220:$C233),IF(AND(L51="4F2",L53=4),LOOKUP(L84,T!$E225:$E236,T!$D225:$D236),IF(AND(L51="4F3",L53=2),LOOKUP(L84,T!$E242:$E248,T!$B242:$B248),IF(AND(L51="4F3",L53=3),LOOKUP(L84,T!$E242:$E248,T!$C242:$C248),"-")))))))),""))))</f>
        <v>47</v>
      </c>
      <c r="M33" s="129" t="str">
        <f>IF(M29="","",IF(ISNUMBER(SEARCH("4D",M51)),IF(AND(M51="4D1",M53=2),LOOKUP(M84,T!$M6:$M27,T!$B6:$B22),IF(AND(M51="4D1",M53=3),LOOKUP(M84,T!$M6:$M27,T!$C6:$C22),IF(AND(M51="4D1",M53=4),LOOKUP(M84,T!$M6:$M27,T!$D6:$D25),IF(AND(M51="4D1",M53=5),LOOKUP(M84,T!$M6:$M27,T!$E6:$E25),IF(AND(M51="4D1",M53=6),LOOKUP(M84,T!$M6:$M27,T!$F6:$F27),IF(AND(M51="4D1",M53=7),LOOKUP(M84,T!$M6:$M27,T!$G6:$G27),IF(AND(M51="4D1",M53=8),LOOKUP(M84,T!$M13:$M27,T!$H13:$H27),IF(AND(M51="4D1",M53=9),LOOKUP(M84,T!$M13:$M27,T!$I13:$I27),IF(AND(M51="4D1",M53=10),LOOKUP(M84,T!$M13:$M27,T!$J13:$J27),IF(AND(M51="4D1",M53=11),LOOKUP(M84,T!$M13:$M27,T!$K13:$K27),IF(AND(M51="4D1",M53=12),LOOKUP(M84,T!$M13:$M27,T!$L13:$L27),IF(AND(M51="4D2",M53=2),LOOKUP(M84,T!$J33:$J50,T!$B33:$B49),IF(AND(M51="4D2",M53=3),LOOKUP(M84,T!$J33:$J50,T!$C33:$C49),IF(AND(M51="4D2",M53=4),LOOKUP(M84,T!$J33:$J50,T!$D33:$D50),IF(AND(M51="4D2",M53=5),LOOKUP(M84,T!$J33:$J50,T!$E33:$E50),IF(AND(M51="4D2",M53=6),LOOKUP(M84,T!$J33:$J50,T!$F33:$F50),IF(AND(M51="4D2",M53=7),LOOKUP(M84,T!$J33:$J50,T!$G33:$G50),IF(AND(M51="4D2",M53=8),LOOKUP(M84,T!$J33:$J50,T!$H33:$H50),IF(AND(M51="4D2",M53=9),LOOKUP(M84,T!$J33:$J50,T!$I33:$I50),IF(AND(M51="4D3",M53=2),LOOKUP(M84,T!$M56:$M68,T!$B56:$B68),IF(AND(M51="4D3",M53=3),LOOKUP(M84,T!$M56:$M68,T!$C56:$C68),IF(AND(M51="4D3",M53=4),LOOKUP(M84,T!$M56:$M68,T!$D56:$D$68),IF(AND(M51="4D3",M53=5),LOOKUP(M84,T!$M56:$M68,T!$E56:$E68),IF(AND(M51="4D3",M53=6),LOOKUP(M84,T!$M56:$M68,T!$F56:$F68),IF(AND(M51="4D3",M53=7),LOOKUP(M84,T!$M56:$M68,T!$G56:$G68),IF(AND(M51="4D3",M53=8),LOOKUP(M84,T!$M56:$M68,T!$H56:$H68),IF(AND(M51="4D3",M53=9),LOOKUP(M84,T!$M56:$M68,T!$I56:$I68),IF(AND(M51="4D3",M53=10),LOOKUP(M84,T!$M56:$M68,T!$J56:$J68),IF(AND(M51="4D3",M53=11),LOOKUP(M84,T!$M56:$M68,T!$K56:$K68),IF(AND(M51="4D3",M53=12),LOOKUP(M84,T!$M56:$M68,T!$L56:$L68),IF(AND(M51="4D4",M53=2),LOOKUP(M84,T!$H74:$H90,T!$B74:$B90),IF(AND(M51="4D4",M53=3),LOOKUP(M84,T!$H74:$H90,T!$C74:$C90),IF(AND(M51="4D4",M53=4),LOOKUP(M84,T!$H74:$H90,T!$D74:$D90),IF(AND(M51="4D4",M53=5),LOOKUP(M84,T!$H74:$H90,T!$E74:$E90),IF(AND(M51="4D4",M53=6),LOOKUP(M84,T!$H74:$H90,T!$F74:$F89),IF(AND(M51="4D4",M53=7),LOOKUP(M84,T!$H74:$H90,T!$G74:$G89),IF(AND(M51="4D5",M53=2),LOOKUP(M84,T!$I96:$I102,T!$B96:$B102),IF(AND(M51="4D5",M53=3),LOOKUP(M84,T!$I96:$I102,T!$C96:$C102),IF(AND(M51="4D5",M53=4),LOOKUP(M84,T!$I96:$I102,T!$D96:$D102),IF(AND(M51="4D5",M53=5),LOOKUP(M84,T!$I96:$I102,T!$E96:$E102),IF(AND(M51="4D5",M53=6),LOOKUP(M84,T!$I96:$I102,T!$F96:$F102),IF(AND(M51="4D5",M53=7),LOOKUP(M84,T!$I96:$I102,T!$G96:$G102),"-")))))))))))))))))))))))))))))))))))))))))),IF(ISNUMBER(SEARCH("4E",M51)),IF(AND(M51="4E1",M53=2),LOOKUP(M84,T!$M108:$M129,T!$B108:$B124),IF(AND(M51="4E1",M53=3),LOOKUP(M84,T!$M108:$M129,T!$C108:$C124),IF(AND(M51="4E1",M53=4),LOOKUP(M84,T!$M108:$M129,T!$D108:$D127),IF(AND(M51="4E1",M53=5),LOOKUP(M84,T!$M108:$M129,T!$E108:$E127),IF(AND(M51="4E1",M53=6),LOOKUP(M84,T!$M108:$M129,T!$F108:$F129),IF(AND(M51="4E1",M53=7),LOOKUP(M84,T!$M108:$M129,T!$G108:$G129),IF(AND(M51="4E1",M53=8),LOOKUP(M84,T!$M115:$M129,T!$H115:$H129),IF(AND(M51="4E1",M53=9),LOOKUP(M84,T!$M115:$M129,T!$I115:$I129),IF(AND(M51="4E1",M53=10),LOOKUP(M84,T!$M115:$M129,T!$J115:$J129),IF(AND(M51="4E1",M53=11),LOOKUP(M84,T!$M115:$M129,T!$K115:$K129),IF(AND(M51="4E1",M53=12),LOOKUP(M84,T!$M115:$M129,T!$L115:$L129),IF(AND(M51="4E2",M53=2),LOOKUP(M84,T!$J135:$J152,T!$B135:$B151),IF(AND(M51="4E2",M53=3),LOOKUP(M84,T!$J135:$J152,T!$C135:$C151),IF(AND(M51="4E2",M53=4),LOOKUP(M84,T!$J135:$J152,T!$D135:$D152),IF(AND(M51="4E2",M53=5),LOOKUP(M84,T!$J135:$J152,T!$E135:$E152),IF(AND(M51="4E2",M53=6),LOOKUP(M84,T!$J135:$J152,T!$F135:$F152),IF(AND(M51="4E2",M53=7),LOOKUP(M84,T!$J135:$J152,T!$G135:$G152),IF(AND(M51="4E2",M53=8),LOOKUP(M84,T!$J135:$J152,T!$H135:$H152),IF(AND(M51="4E2",M53=9),LOOKUP(M84,T!$J135:$J152,T!$I135:$I152),IF(AND(M51="4E3",M53=2),LOOKUP(M84,T!$M158:$M170,T!$B158:$B170),IF(AND(M51="4E3",M53=3),LOOKUP(M84,T!$M158:$M170,T!$C158:$C170),IF(AND(M51="4E3",M53=4),LOOKUP(M84,T!$M158:$M170,T!$D158:$D170),IF(AND(M51="4E3",M53=5),LOOKUP(M84,T!$M158:$M170,T!$E158:$E170),IF(AND(M51="4E3",M53=6),LOOKUP(M84,T!$M158:$M170,T!$F158:$F170),IF(AND(M51="4E3",M53=7),LOOKUP(M84,T!$M158:$M170,T!$G158:$G170),IF(AND(M51="4E3",M53=8),LOOKUP(M84,T!$M158:$M170,T!$H158:$H170),IF(AND(M51="4E3",M53=9),LOOKUP(M84,T!$M158:$M170,T!$I158:$I170),IF(AND(M51="4E3",M53=10),LOOKUP(M84,T!$M158:$M170,T!$J158:$J170),IF(AND(M51="4E3",M53=11),LOOKUP(M84,T!$M158:$M170,T!$K158:$K170),IF(AND(M51="4E3",M53=12),LOOKUP(M84,T!$M158:$M170,T!$L158:$L170),IF(AND(M51="4E4",M53=2),LOOKUP(M84,T!$H176:$H192,T!$B176:$B192),IF(AND(M51="4E4",M53=3),LOOKUP(M84,T!$H176:$H192,T!$C176:$C192),IF(AND(M51="4E4",M53=4),LOOKUP(M84,T!$H176:$H192,T!$D176:$D192),IF(AND(M51="4E4",M53=5),LOOKUP(M84,T!$H176:$H192,T!$E176:$E192),IF(AND(M51="4E4",M53=6),LOOKUP(M84,T!$H176:$H192,T!$F176:$F191),IF(AND(M51="4E4",M53=7),LOOKUP(M84,T!$H176:$H192,T!$G176:$G191),"-")))))))))))))))))))))))))))))))))))),IF(ISNUMBER(SEARCH("4F",M51)),IF(AND(M51="4F1",M53=2),LOOKUP(M84,T!$E198:$E214,T!$B198:$B202),IF(AND(M51="4F1",M53=3),LOOKUP(M84,T!$E198:$E214,T!$C198:$C211),IF(AND(M51="4F1",M53=4),LOOKUP(M84,T!$E203:$E214,T!$D203:$D214),IF(AND(M51="4F2",M53=2),LOOKUP(M84,T!$E220:$E236,T!$B220:$B224),IF(AND(M51="4F2",M53=3),LOOKUP(M84,T!$E220:$E236,T!$C220:$C233),IF(AND(M51="4F2",M53=4),LOOKUP(M84,T!$E225:$E236,T!$D225:$D236),IF(AND(M51="4F3",M53=2),LOOKUP(M84,T!$E242:$E248,T!$B242:$B248),IF(AND(M51="4F3",M53=3),LOOKUP(M84,T!$E242:$E248,T!$C242:$C248),"-")))))))),""))))</f>
        <v/>
      </c>
      <c r="N33" s="129">
        <f>IF(N29="","",IF(ISNUMBER(SEARCH("4D",N51)),IF(AND(N51="4D1",N53=2),LOOKUP(N84,T!$M6:$M27,T!$B6:$B22),IF(AND(N51="4D1",N53=3),LOOKUP(N84,T!$M6:$M27,T!$C6:$C22),IF(AND(N51="4D1",N53=4),LOOKUP(N84,T!$M6:$M27,T!$D6:$D25),IF(AND(N51="4D1",N53=5),LOOKUP(N84,T!$M6:$M27,T!$E6:$E25),IF(AND(N51="4D1",N53=6),LOOKUP(N84,T!$M6:$M27,T!$F6:$F27),IF(AND(N51="4D1",N53=7),LOOKUP(N84,T!$M6:$M27,T!$G6:$G27),IF(AND(N51="4D1",N53=8),LOOKUP(N84,T!$M13:$M27,T!$H13:$H27),IF(AND(N51="4D1",N53=9),LOOKUP(N84,T!$M13:$M27,T!$I13:$I27),IF(AND(N51="4D1",N53=10),LOOKUP(N84,T!$M13:$M27,T!$J13:$J27),IF(AND(N51="4D1",N53=11),LOOKUP(N84,T!$M13:$M27,T!$K13:$K27),IF(AND(N51="4D1",N53=12),LOOKUP(N84,T!$M13:$M27,T!$L13:$L27),IF(AND(N51="4D2",N53=2),LOOKUP(N84,T!$J33:$J50,T!$B33:$B49),IF(AND(N51="4D2",N53=3),LOOKUP(N84,T!$J33:$J50,T!$C33:$C49),IF(AND(N51="4D2",N53=4),LOOKUP(N84,T!$J33:$J50,T!$D33:$D50),IF(AND(N51="4D2",N53=5),LOOKUP(N84,T!$J33:$J50,T!$E33:$E50),IF(AND(N51="4D2",N53=6),LOOKUP(N84,T!$J33:$J50,T!$F33:$F50),IF(AND(N51="4D2",N53=7),LOOKUP(N84,T!$J33:$J50,T!$G33:$G50),IF(AND(N51="4D2",N53=8),LOOKUP(N84,T!$J33:$J50,T!$H33:$H50),IF(AND(N51="4D2",N53=9),LOOKUP(N84,T!$J33:$J50,T!$I33:$I50),IF(AND(N51="4D3",N53=2),LOOKUP(N84,T!$M56:$M68,T!$B56:$B68),IF(AND(N51="4D3",N53=3),LOOKUP(N84,T!$M56:$M68,T!$C56:$C68),IF(AND(N51="4D3",N53=4),LOOKUP(N84,T!$M56:$M68,T!$D56:$D$68),IF(AND(N51="4D3",N53=5),LOOKUP(N84,T!$M56:$M68,T!$E56:$E68),IF(AND(N51="4D3",N53=6),LOOKUP(N84,T!$M56:$M68,T!$F56:$F68),IF(AND(N51="4D3",N53=7),LOOKUP(N84,T!$M56:$M68,T!$G56:$G68),IF(AND(N51="4D3",N53=8),LOOKUP(N84,T!$M56:$M68,T!$H56:$H68),IF(AND(N51="4D3",N53=9),LOOKUP(N84,T!$M56:$M68,T!$I56:$I68),IF(AND(N51="4D3",N53=10),LOOKUP(N84,T!$M56:$M68,T!$J56:$J68),IF(AND(N51="4D3",N53=11),LOOKUP(N84,T!$M56:$M68,T!$K56:$K68),IF(AND(N51="4D3",N53=12),LOOKUP(N84,T!$M56:$M68,T!$L56:$L68),IF(AND(N51="4D4",N53=2),LOOKUP(N84,T!$H74:$H90,T!$B74:$B90),IF(AND(N51="4D4",N53=3),LOOKUP(N84,T!$H74:$H90,T!$C74:$C90),IF(AND(N51="4D4",N53=4),LOOKUP(N84,T!$H74:$H90,T!$D74:$D90),IF(AND(N51="4D4",N53=5),LOOKUP(N84,T!$H74:$H90,T!$E74:$E90),IF(AND(N51="4D4",N53=6),LOOKUP(N84,T!$H74:$H90,T!$F74:$F89),IF(AND(N51="4D4",N53=7),LOOKUP(N84,T!$H74:$H90,T!$G74:$G89),IF(AND(N51="4D5",N53=2),LOOKUP(N84,T!$I96:$I102,T!$B96:$B102),IF(AND(N51="4D5",N53=3),LOOKUP(N84,T!$I96:$I102,T!$C96:$C102),IF(AND(N51="4D5",N53=4),LOOKUP(N84,T!$I96:$I102,T!$D96:$D102),IF(AND(N51="4D5",N53=5),LOOKUP(N84,T!$I96:$I102,T!$E96:$E102),IF(AND(N51="4D5",N53=6),LOOKUP(N84,T!$I96:$I102,T!$F96:$F102),IF(AND(N51="4D5",N53=7),LOOKUP(N84,T!$I96:$I102,T!$G96:$G102),"-")))))))))))))))))))))))))))))))))))))))))),IF(ISNUMBER(SEARCH("4E",N51)),IF(AND(N51="4E1",N53=2),LOOKUP(N84,T!$M108:$M129,T!$B108:$B124),IF(AND(N51="4E1",N53=3),LOOKUP(N84,T!$M108:$M129,T!$C108:$C124),IF(AND(N51="4E1",N53=4),LOOKUP(N84,T!$M108:$M129,T!$D108:$D127),IF(AND(N51="4E1",N53=5),LOOKUP(N84,T!$M108:$M129,T!$E108:$E127),IF(AND(N51="4E1",N53=6),LOOKUP(N84,T!$M108:$M129,T!$F108:$F129),IF(AND(N51="4E1",N53=7),LOOKUP(N84,T!$M108:$M129,T!$G108:$G129),IF(AND(N51="4E1",N53=8),LOOKUP(N84,T!$M115:$M129,T!$H115:$H129),IF(AND(N51="4E1",N53=9),LOOKUP(N84,T!$M115:$M129,T!$I115:$I129),IF(AND(N51="4E1",N53=10),LOOKUP(N84,T!$M115:$M129,T!$J115:$J129),IF(AND(N51="4E1",N53=11),LOOKUP(N84,T!$M115:$M129,T!$K115:$K129),IF(AND(N51="4E1",N53=12),LOOKUP(N84,T!$M115:$M129,T!$L115:$L129),IF(AND(N51="4E2",N53=2),LOOKUP(N84,T!$J135:$J152,T!$B135:$B151),IF(AND(N51="4E2",N53=3),LOOKUP(N84,T!$J135:$J152,T!$C135:$C151),IF(AND(N51="4E2",N53=4),LOOKUP(N84,T!$J135:$J152,T!$D135:$D152),IF(AND(N51="4E2",N53=5),LOOKUP(N84,T!$J135:$J152,T!$E135:$E152),IF(AND(N51="4E2",N53=6),LOOKUP(N84,T!$J135:$J152,T!$F135:$F152),IF(AND(N51="4E2",N53=7),LOOKUP(N84,T!$J135:$J152,T!$G135:$G152),IF(AND(N51="4E2",N53=8),LOOKUP(N84,T!$J135:$J152,T!$H135:$H152),IF(AND(N51="4E2",N53=9),LOOKUP(N84,T!$J135:$J152,T!$I135:$I152),IF(AND(N51="4E3",N53=2),LOOKUP(N84,T!$M158:$M170,T!$B158:$B170),IF(AND(N51="4E3",N53=3),LOOKUP(N84,T!$M158:$M170,T!$C158:$C170),IF(AND(N51="4E3",N53=4),LOOKUP(N84,T!$M158:$M170,T!$D158:$D170),IF(AND(N51="4E3",N53=5),LOOKUP(N84,T!$M158:$M170,T!$E158:$E170),IF(AND(N51="4E3",N53=6),LOOKUP(N84,T!$M158:$M170,T!$F158:$F170),IF(AND(N51="4E3",N53=7),LOOKUP(N84,T!$M158:$M170,T!$G158:$G170),IF(AND(N51="4E3",N53=8),LOOKUP(N84,T!$M158:$M170,T!$H158:$H170),IF(AND(N51="4E3",N53=9),LOOKUP(N84,T!$M158:$M170,T!$I158:$I170),IF(AND(N51="4E3",N53=10),LOOKUP(N84,T!$M158:$M170,T!$J158:$J170),IF(AND(N51="4E3",N53=11),LOOKUP(N84,T!$M158:$M170,T!$K158:$K170),IF(AND(N51="4E3",N53=12),LOOKUP(N84,T!$M158:$M170,T!$L158:$L170),IF(AND(N51="4E4",N53=2),LOOKUP(N84,T!$H176:$H192,T!$B176:$B192),IF(AND(N51="4E4",N53=3),LOOKUP(N84,T!$H176:$H192,T!$C176:$C192),IF(AND(N51="4E4",N53=4),LOOKUP(N84,T!$H176:$H192,T!$D176:$D192),IF(AND(N51="4E4",N53=5),LOOKUP(N84,T!$H176:$H192,T!$E176:$E192),IF(AND(N51="4E4",N53=6),LOOKUP(N84,T!$H176:$H192,T!$F176:$F191),IF(AND(N51="4E4",N53=7),LOOKUP(N84,T!$H176:$H192,T!$G176:$G191),"-")))))))))))))))))))))))))))))))))))),IF(ISNUMBER(SEARCH("4F",N51)),IF(AND(N51="4F1",N53=2),LOOKUP(N84,T!$E198:$E214,T!$B198:$B202),IF(AND(N51="4F1",N53=3),LOOKUP(N84,T!$E198:$E214,T!$C198:$C211),IF(AND(N51="4F1",N53=4),LOOKUP(N84,T!$E203:$E214,T!$D203:$D214),IF(AND(N51="4F2",N53=2),LOOKUP(N84,T!$E220:$E236,T!$B220:$B224),IF(AND(N51="4F2",N53=3),LOOKUP(N84,T!$E220:$E236,T!$C220:$C233),IF(AND(N51="4F2",N53=4),LOOKUP(N84,T!$E225:$E236,T!$D225:$D236),IF(AND(N51="4F3",N53=2),LOOKUP(N84,T!$E242:$E248,T!$B242:$B248),IF(AND(N51="4F3",N53=3),LOOKUP(N84,T!$E242:$E248,T!$C242:$C248),"-")))))))),""))))</f>
        <v>396</v>
      </c>
      <c r="O33" s="128" t="str">
        <f>IF(L33&lt;&gt;"","A","")</f>
        <v>A</v>
      </c>
    </row>
    <row r="34" spans="1:15" s="124" customFormat="1" ht="18">
      <c r="A34" s="152" t="s">
        <v>2080</v>
      </c>
      <c r="B34" s="151" t="s">
        <v>2081</v>
      </c>
      <c r="C34" s="152"/>
      <c r="D34" s="152" t="str">
        <f>IF(D29="","",IF(ISNUMBER(SEARCH("4G",D51)),IF(AND(D51="4G1",D53=2,D59="500V"),LOOKUP(D84,T!$J255:$J258,T!$B255:$B258),IF(AND(D51="4G1",D53=3,D59="500V"),LOOKUP(D84,T!$J255:$J258,T!$C255:$C258),IF(AND(D51="4G1",D53=4,D59="500V"),LOOKUP(D84,T!$J255:$J258,T!$D255:$D258),IF(AND(D51="4G1",D53=5,D59="500V"),LOOKUP(D84,T!$J255:$J258,T!$E255:$E258),IF(AND(D51="4G1",D53=6,D59="500V"),LOOKUP(D84,T!$J255:$J258,T!$F255:$F258),IF(AND(D51="4G1",D53=7,D59="500V"),LOOKUP(D84,T!$J255:$J258,T!$G255:$G258),IF(AND(D51="4G1",D53=8,D59="500V"),LOOKUP(D84,T!$J255:$J258,T!$H255:$H258),IF(AND(D51="4G1",D53=9,D59="500V"),LOOKUP(D84,T!$J255:$J258,T!$I255:$I258),IF(AND(D51="4G1",D53=2,D59="750V"),LOOKUP(D84,T!$J260:$J275,T!$B260:$B275),IF(AND(D51="4G1",D53=3,D59="750V"),LOOKUP(D84,T!$J260:$J275,T!$C260:$C275),IF(AND(D51="4G1",D53=4,D59="750V"),LOOKUP(D84,T!$J260:$J275,T!$D260:$D275),IF(AND(D51="4G1",D53=5,D59="750V"),LOOKUP(D84,T!$J260:$J275,T!$E260:$E275),IF(AND(D51="4G1",D53=6,D59="750V"),LOOKUP(D84,T!$J260:$J275,T!$F260:$F275),IF(AND(D51="4G1",D53=7,D59="750V"),LOOKUP(D84,T!$J260:$J275,T!$G260:$G275),IF(AND(D51="4G1",D53=8,D59="750V"),LOOKUP(D84,T!$J260:$J275,T!$H260:$H275),IF(AND(D51="4G1",D53=9,D59="750V"),LOOKUP(D84,T!$J260:$J275,T!$I260:$I275),IF(AND(D51="4G2",D53=2,D59="500V"),LOOKUP(D84,T!$J282:$J285,T!$B282:$B285),IF(AND(D51="4G2",D53=3,D59="500V"),LOOKUP(D84,T!$J282:$J285,T!$C282:$C285),IF(AND(D51="4G2",D53=4,D59="500V"),LOOKUP(D84,T!$J282:$J285,T!$D282:$D285),IF(AND(D51="4G2",D53=5,D59="500V"),LOOKUP(D84,T!$J282:$J285,T!$E282:$E285),IF(AND(D51="4G2",D53=6,D59="500V"),LOOKUP(D84,T!$J282:$J285,T!$F282:$F285),IF(AND(D51="4G2",D53=7,D59="500V"),LOOKUP(D84,T!$J282:$J285,T!$G282:$G285),IF(AND(D51="4G2",D53=8,D59="500V"),LOOKUP(D84,T!$J282:$J285,T!$H282:$H285),IF(AND(D51="4G2",D53=9,D59="500V"),LOOKUP(D84,T!$J282:$J285,T!$I282:$I285),IF(AND(D51="4G2",D53=2,D59="750V"),LOOKUP(D84,T!$J287:$J302,T!$B287:$B302),IF(AND(D51="4G2",D53=3,D59="750V"),LOOKUP(D84,T!$J287:$J302,T!$C287:$C302),IF(AND(D51="4G2",D53=4,D59="750V"),LOOKUP(D84,T!$J287:$J302,T!$D287:$D302),IF(AND(D51="4G2",D53=5,D59="750V"),LOOKUP(D84,T!$J287:$J302,T!$E287:$E302),IF(AND(D51="4G2",D53=6,D59="750V"),LOOKUP(D84,T!$J287:$J302,T!$F287:$F302),IF(AND(D51="4G2",D53=7,D59="750V"),LOOKUP(D84,T!$J287:$J302,T!$G287:$G302),IF(AND(D51="4G2",D53=8,D59="750V"),LOOKUP(D84,T!$J287:$J302,T!$H287:$H302),IF(AND(D51="4G2",D53=9,D59="750V"),LOOKUP(D84,T!$J287:$J302,T!$I287:$I302),"-")))))))))))))))))))))))))))))))),""))</f>
        <v/>
      </c>
      <c r="E34" s="152" t="str">
        <f ca="1">IF(E29="","",IF(ISNUMBER(SEARCH("4G",E51)),IF(AND(E51="4G1",E53=2,E59="500V"),LOOKUP(E84,T!$J255:$J258,T!$B255:$B258),IF(AND(E51="4G1",E53=3,E59="500V"),LOOKUP(E84,T!$J255:$J258,T!$C255:$C258),IF(AND(E51="4G1",E53=4,E59="500V"),LOOKUP(E84,T!$J255:$J258,T!$D255:$D258),IF(AND(E51="4G1",E53=5,E59="500V"),LOOKUP(E84,T!$J255:$J258,T!$E255:$E258),IF(AND(E51="4G1",E53=6,E59="500V"),LOOKUP(E84,T!$J255:$J258,T!$F255:$F258),IF(AND(E51="4G1",E53=7,E59="500V"),LOOKUP(E84,T!$J255:$J258,T!$G255:$G258),IF(AND(E51="4G1",E53=8,E59="500V"),LOOKUP(E84,T!$J255:$J258,T!$H255:$H258),IF(AND(E51="4G1",E53=9,E59="500V"),LOOKUP(E84,T!$J255:$J258,T!$I255:$I258),IF(AND(E51="4G1",E53=2,E59="750V"),LOOKUP(E84,T!$J260:$J275,T!$B260:$B275),IF(AND(E51="4G1",E53=3,E59="750V"),LOOKUP(E84,T!$J260:$J275,T!$C260:$C275),IF(AND(E51="4G1",E53=4,E59="750V"),LOOKUP(E84,T!$J260:$J275,T!$D260:$D275),IF(AND(E51="4G1",E53=5,E59="750V"),LOOKUP(E84,T!$J260:$J275,T!$E260:$E275),IF(AND(E51="4G1",E53=6,E59="750V"),LOOKUP(E84,T!$J260:$J275,T!$F260:$F275),IF(AND(E51="4G1",E53=7,E59="750V"),LOOKUP(E84,T!$J260:$J275,T!$G260:$G275),IF(AND(E51="4G1",E53=8,E59="750V"),LOOKUP(E84,T!$J260:$J275,T!$H260:$H275),IF(AND(E51="4G1",E53=9,E59="750V"),LOOKUP(E84,T!$J260:$J275,T!$I260:$I275),IF(AND(E51="4G2",E53=2,E59="500V"),LOOKUP(E84,T!$J282:$J285,T!$B282:$B285),IF(AND(E51="4G2",E53=3,E59="500V"),LOOKUP(E84,T!$J282:$J285,T!$C282:$C285),IF(AND(E51="4G2",E53=4,E59="500V"),LOOKUP(E84,T!$J282:$J285,T!$D282:$D285),IF(AND(E51="4G2",E53=5,E59="500V"),LOOKUP(E84,T!$J282:$J285,T!$E282:$E285),IF(AND(E51="4G2",E53=6,E59="500V"),LOOKUP(E84,T!$J282:$J285,T!$F282:$F285),IF(AND(E51="4G2",E53=7,E59="500V"),LOOKUP(E84,T!$J282:$J285,T!$G282:$G285),IF(AND(E51="4G2",E53=8,E59="500V"),LOOKUP(E84,T!$J282:$J285,T!$H282:$H285),IF(AND(E51="4G2",E53=9,E59="500V"),LOOKUP(E84,T!$J282:$J285,T!$I282:$I285),IF(AND(E51="4G2",E53=2,E59="750V"),LOOKUP(E84,T!$J287:$J302,T!$B287:$B302),IF(AND(E51="4G2",E53=3,E59="750V"),LOOKUP(E84,T!$J287:$J302,T!$C287:$C302),IF(AND(E51="4G2",E53=4,E59="750V"),LOOKUP(E84,T!$J287:$J302,T!$D287:$D302),IF(AND(E51="4G2",E53=5,E59="750V"),LOOKUP(E84,T!$J287:$J302,T!$E287:$E302),IF(AND(E51="4G2",E53=6,E59="750V"),LOOKUP(E84,T!$J287:$J302,T!$F287:$F302),IF(AND(E51="4G2",E53=7,E59="750V"),LOOKUP(E84,T!$J287:$J302,T!$G287:$G302),IF(AND(E51="4G2",E53=8,E59="750V"),LOOKUP(E84,T!$J287:$J302,T!$H287:$H302),IF(AND(E51="4G2",E53=9,E59="750V"),LOOKUP(E84,T!$J287:$J302,T!$I287:$I302),"-")))))))))))))))))))))))))))))))),""))</f>
        <v/>
      </c>
      <c r="F34" s="152" t="str">
        <f ca="1">IF(F29="","",IF(ISNUMBER(SEARCH("4G",F51)),IF(AND(F51="4G1",F53=2,F59="500V"),LOOKUP(F84,T!$J255:$J258,T!$B255:$B258),IF(AND(F51="4G1",F53=3,F59="500V"),LOOKUP(F84,T!$J255:$J258,T!$C255:$C258),IF(AND(F51="4G1",F53=4,F59="500V"),LOOKUP(F84,T!$J255:$J258,T!$D255:$D258),IF(AND(F51="4G1",F53=5,F59="500V"),LOOKUP(F84,T!$J255:$J258,T!$E255:$E258),IF(AND(F51="4G1",F53=6,F59="500V"),LOOKUP(F84,T!$J255:$J258,T!$F255:$F258),IF(AND(F51="4G1",F53=7,F59="500V"),LOOKUP(F84,T!$J255:$J258,T!$G255:$G258),IF(AND(F51="4G1",F53=8,F59="500V"),LOOKUP(F84,T!$J255:$J258,T!$H255:$H258),IF(AND(F51="4G1",F53=9,F59="500V"),LOOKUP(F84,T!$J255:$J258,T!$I255:$I258),IF(AND(F51="4G1",F53=2,F59="750V"),LOOKUP(F84,T!$J260:$J275,T!$B260:$B275),IF(AND(F51="4G1",F53=3,F59="750V"),LOOKUP(F84,T!$J260:$J275,T!$C260:$C275),IF(AND(F51="4G1",F53=4,F59="750V"),LOOKUP(F84,T!$J260:$J275,T!$D260:$D275),IF(AND(F51="4G1",F53=5,F59="750V"),LOOKUP(F84,T!$J260:$J275,T!$E260:$E275),IF(AND(F51="4G1",F53=6,F59="750V"),LOOKUP(F84,T!$J260:$J275,T!$F260:$F275),IF(AND(F51="4G1",F53=7,F59="750V"),LOOKUP(F84,T!$J260:$J275,T!$G260:$G275),IF(AND(F51="4G1",F53=8,F59="750V"),LOOKUP(F84,T!$J260:$J275,T!$H260:$H275),IF(AND(F51="4G1",F53=9,F59="750V"),LOOKUP(F84,T!$J260:$J275,T!$I260:$I275),IF(AND(F51="4G2",F53=2,F59="500V"),LOOKUP(F84,T!$J282:$J285,T!$B282:$B285),IF(AND(F51="4G2",F53=3,F59="500V"),LOOKUP(F84,T!$J282:$J285,T!$C282:$C285),IF(AND(F51="4G2",F53=4,F59="500V"),LOOKUP(F84,T!$J282:$J285,T!$D282:$D285),IF(AND(F51="4G2",F53=5,F59="500V"),LOOKUP(F84,T!$J282:$J285,T!$E282:$E285),IF(AND(F51="4G2",F53=6,F59="500V"),LOOKUP(F84,T!$J282:$J285,T!$F282:$F285),IF(AND(F51="4G2",F53=7,F59="500V"),LOOKUP(F84,T!$J282:$J285,T!$G282:$G285),IF(AND(F51="4G2",F53=8,F59="500V"),LOOKUP(F84,T!$J282:$J285,T!$H282:$H285),IF(AND(F51="4G2",F53=9,F59="500V"),LOOKUP(F84,T!$J282:$J285,T!$I282:$I285),IF(AND(F51="4G2",F53=2,F59="750V"),LOOKUP(F84,T!$J287:$J302,T!$B287:$B302),IF(AND(F51="4G2",F53=3,F59="750V"),LOOKUP(F84,T!$J287:$J302,T!$C287:$C302),IF(AND(F51="4G2",F53=4,F59="750V"),LOOKUP(F84,T!$J287:$J302,T!$D287:$D302),IF(AND(F51="4G2",F53=5,F59="750V"),LOOKUP(F84,T!$J287:$J302,T!$E287:$E302),IF(AND(F51="4G2",F53=6,F59="750V"),LOOKUP(F84,T!$J287:$J302,T!$F287:$F302),IF(AND(F51="4G2",F53=7,F59="750V"),LOOKUP(F84,T!$J287:$J302,T!$G287:$G302),IF(AND(F51="4G2",F53=8,F59="750V"),LOOKUP(F84,T!$J287:$J302,T!$H287:$H302),IF(AND(F51="4G2",F53=9,F59="750V"),LOOKUP(F84,T!$J287:$J302,T!$I287:$I302),"-")))))))))))))))))))))))))))))))),""))</f>
        <v/>
      </c>
      <c r="G34" s="152" t="str">
        <f ca="1">IF(G29="","",IF(ISNUMBER(SEARCH("4G",G51)),IF(AND(G51="4G1",G53=2,G59="500V"),LOOKUP(G84,T!$J255:$J258,T!$B255:$B258),IF(AND(G51="4G1",G53=3,G59="500V"),LOOKUP(G84,T!$J255:$J258,T!$C255:$C258),IF(AND(G51="4G1",G53=4,G59="500V"),LOOKUP(G84,T!$J255:$J258,T!$D255:$D258),IF(AND(G51="4G1",G53=5,G59="500V"),LOOKUP(G84,T!$J255:$J258,T!$E255:$E258),IF(AND(G51="4G1",G53=6,G59="500V"),LOOKUP(G84,T!$J255:$J258,T!$F255:$F258),IF(AND(G51="4G1",G53=7,G59="500V"),LOOKUP(G84,T!$J255:$J258,T!$G255:$G258),IF(AND(G51="4G1",G53=8,G59="500V"),LOOKUP(G84,T!$J255:$J258,T!$H255:$H258),IF(AND(G51="4G1",G53=9,G59="500V"),LOOKUP(G84,T!$J255:$J258,T!$I255:$I258),IF(AND(G51="4G1",G53=2,G59="750V"),LOOKUP(G84,T!$J260:$J275,T!$B260:$B275),IF(AND(G51="4G1",G53=3,G59="750V"),LOOKUP(G84,T!$J260:$J275,T!$C260:$C275),IF(AND(G51="4G1",G53=4,G59="750V"),LOOKUP(G84,T!$J260:$J275,T!$D260:$D275),IF(AND(G51="4G1",G53=5,G59="750V"),LOOKUP(G84,T!$J260:$J275,T!$E260:$E275),IF(AND(G51="4G1",G53=6,G59="750V"),LOOKUP(G84,T!$J260:$J275,T!$F260:$F275),IF(AND(G51="4G1",G53=7,G59="750V"),LOOKUP(G84,T!$J260:$J275,T!$G260:$G275),IF(AND(G51="4G1",G53=8,G59="750V"),LOOKUP(G84,T!$J260:$J275,T!$H260:$H275),IF(AND(G51="4G1",G53=9,G59="750V"),LOOKUP(G84,T!$J260:$J275,T!$I260:$I275),IF(AND(G51="4G2",G53=2,G59="500V"),LOOKUP(G84,T!$J282:$J285,T!$B282:$B285),IF(AND(G51="4G2",G53=3,G59="500V"),LOOKUP(G84,T!$J282:$J285,T!$C282:$C285),IF(AND(G51="4G2",G53=4,G59="500V"),LOOKUP(G84,T!$J282:$J285,T!$D282:$D285),IF(AND(G51="4G2",G53=5,G59="500V"),LOOKUP(G84,T!$J282:$J285,T!$E282:$E285),IF(AND(G51="4G2",G53=6,G59="500V"),LOOKUP(G84,T!$J282:$J285,T!$F282:$F285),IF(AND(G51="4G2",G53=7,G59="500V"),LOOKUP(G84,T!$J282:$J285,T!$G282:$G285),IF(AND(G51="4G2",G53=8,G59="500V"),LOOKUP(G84,T!$J282:$J285,T!$H282:$H285),IF(AND(G51="4G2",G53=9,G59="500V"),LOOKUP(G84,T!$J282:$J285,T!$I282:$I285),IF(AND(G51="4G2",G53=2,G59="750V"),LOOKUP(G84,T!$J287:$J302,T!$B287:$B302),IF(AND(G51="4G2",G53=3,G59="750V"),LOOKUP(G84,T!$J287:$J302,T!$C287:$C302),IF(AND(G51="4G2",G53=4,G59="750V"),LOOKUP(G84,T!$J287:$J302,T!$D287:$D302),IF(AND(G51="4G2",G53=5,G59="750V"),LOOKUP(G84,T!$J287:$J302,T!$E287:$E302),IF(AND(G51="4G2",G53=6,G59="750V"),LOOKUP(G84,T!$J287:$J302,T!$F287:$F302),IF(AND(G51="4G2",G53=7,G59="750V"),LOOKUP(G84,T!$J287:$J302,T!$G287:$G302),IF(AND(G51="4G2",G53=8,G59="750V"),LOOKUP(G84,T!$J287:$J302,T!$H287:$H302),IF(AND(G51="4G2",G53=9,G59="750V"),LOOKUP(G84,T!$J287:$J302,T!$I287:$I302),"-")))))))))))))))))))))))))))))))),""))</f>
        <v/>
      </c>
      <c r="H34" s="152" t="str">
        <f ca="1">IF(H29="","",IF(ISNUMBER(SEARCH("4G",H51)),IF(AND(H51="4G1",H53=2,H59="500V"),LOOKUP(H84,T!$J255:$J258,T!$B255:$B258),IF(AND(H51="4G1",H53=3,H59="500V"),LOOKUP(H84,T!$J255:$J258,T!$C255:$C258),IF(AND(H51="4G1",H53=4,H59="500V"),LOOKUP(H84,T!$J255:$J258,T!$D255:$D258),IF(AND(H51="4G1",H53=5,H59="500V"),LOOKUP(H84,T!$J255:$J258,T!$E255:$E258),IF(AND(H51="4G1",H53=6,H59="500V"),LOOKUP(H84,T!$J255:$J258,T!$F255:$F258),IF(AND(H51="4G1",H53=7,H59="500V"),LOOKUP(H84,T!$J255:$J258,T!$G255:$G258),IF(AND(H51="4G1",H53=8,H59="500V"),LOOKUP(H84,T!$J255:$J258,T!$H255:$H258),IF(AND(H51="4G1",H53=9,H59="500V"),LOOKUP(H84,T!$J255:$J258,T!$I255:$I258),IF(AND(H51="4G1",H53=2,H59="750V"),LOOKUP(H84,T!$J260:$J275,T!$B260:$B275),IF(AND(H51="4G1",H53=3,H59="750V"),LOOKUP(H84,T!$J260:$J275,T!$C260:$C275),IF(AND(H51="4G1",H53=4,H59="750V"),LOOKUP(H84,T!$J260:$J275,T!$D260:$D275),IF(AND(H51="4G1",H53=5,H59="750V"),LOOKUP(H84,T!$J260:$J275,T!$E260:$E275),IF(AND(H51="4G1",H53=6,H59="750V"),LOOKUP(H84,T!$J260:$J275,T!$F260:$F275),IF(AND(H51="4G1",H53=7,H59="750V"),LOOKUP(H84,T!$J260:$J275,T!$G260:$G275),IF(AND(H51="4G1",H53=8,H59="750V"),LOOKUP(H84,T!$J260:$J275,T!$H260:$H275),IF(AND(H51="4G1",H53=9,H59="750V"),LOOKUP(H84,T!$J260:$J275,T!$I260:$I275),IF(AND(H51="4G2",H53=2,H59="500V"),LOOKUP(H84,T!$J282:$J285,T!$B282:$B285),IF(AND(H51="4G2",H53=3,H59="500V"),LOOKUP(H84,T!$J282:$J285,T!$C282:$C285),IF(AND(H51="4G2",H53=4,H59="500V"),LOOKUP(H84,T!$J282:$J285,T!$D282:$D285),IF(AND(H51="4G2",H53=5,H59="500V"),LOOKUP(H84,T!$J282:$J285,T!$E282:$E285),IF(AND(H51="4G2",H53=6,H59="500V"),LOOKUP(H84,T!$J282:$J285,T!$F282:$F285),IF(AND(H51="4G2",H53=7,H59="500V"),LOOKUP(H84,T!$J282:$J285,T!$G282:$G285),IF(AND(H51="4G2",H53=8,H59="500V"),LOOKUP(H84,T!$J282:$J285,T!$H282:$H285),IF(AND(H51="4G2",H53=9,H59="500V"),LOOKUP(H84,T!$J282:$J285,T!$I282:$I285),IF(AND(H51="4G2",H53=2,H59="750V"),LOOKUP(H84,T!$J287:$J302,T!$B287:$B302),IF(AND(H51="4G2",H53=3,H59="750V"),LOOKUP(H84,T!$J287:$J302,T!$C287:$C302),IF(AND(H51="4G2",H53=4,H59="750V"),LOOKUP(H84,T!$J287:$J302,T!$D287:$D302),IF(AND(H51="4G2",H53=5,H59="750V"),LOOKUP(H84,T!$J287:$J302,T!$E287:$E302),IF(AND(H51="4G2",H53=6,H59="750V"),LOOKUP(H84,T!$J287:$J302,T!$F287:$F302),IF(AND(H51="4G2",H53=7,H59="750V"),LOOKUP(H84,T!$J287:$J302,T!$G287:$G302),IF(AND(H51="4G2",H53=8,H59="750V"),LOOKUP(H84,T!$J287:$J302,T!$H287:$H302),IF(AND(H51="4G2",H53=9,H59="750V"),LOOKUP(H84,T!$J287:$J302,T!$I287:$I302),"-")))))))))))))))))))))))))))))))),""))</f>
        <v/>
      </c>
      <c r="I34" s="152" t="str">
        <f>IF(I29="","",IF(ISNUMBER(SEARCH("4G",I51)),IF(AND(I51="4G1",I53=2,I59="500V"),LOOKUP(I84,T!$J255:$J258,T!$B255:$B258),IF(AND(I51="4G1",I53=3,I59="500V"),LOOKUP(I84,T!$J255:$J258,T!$C255:$C258),IF(AND(I51="4G1",I53=4,I59="500V"),LOOKUP(I84,T!$J255:$J258,T!$D255:$D258),IF(AND(I51="4G1",I53=5,I59="500V"),LOOKUP(I84,T!$J255:$J258,T!$E255:$E258),IF(AND(I51="4G1",I53=6,I59="500V"),LOOKUP(I84,T!$J255:$J258,T!$F255:$F258),IF(AND(I51="4G1",I53=7,I59="500V"),LOOKUP(I84,T!$J255:$J258,T!$G255:$G258),IF(AND(I51="4G1",I53=8,I59="500V"),LOOKUP(I84,T!$J255:$J258,T!$H255:$H258),IF(AND(I51="4G1",I53=9,I59="500V"),LOOKUP(I84,T!$J255:$J258,T!$I255:$I258),IF(AND(I51="4G1",I53=2,I59="750V"),LOOKUP(I84,T!$J260:$J275,T!$B260:$B275),IF(AND(I51="4G1",I53=3,I59="750V"),LOOKUP(I84,T!$J260:$J275,T!$C260:$C275),IF(AND(I51="4G1",I53=4,I59="750V"),LOOKUP(I84,T!$J260:$J275,T!$D260:$D275),IF(AND(I51="4G1",I53=5,I59="750V"),LOOKUP(I84,T!$J260:$J275,T!$E260:$E275),IF(AND(I51="4G1",I53=6,I59="750V"),LOOKUP(I84,T!$J260:$J275,T!$F260:$F275),IF(AND(I51="4G1",I53=7,I59="750V"),LOOKUP(I84,T!$J260:$J275,T!$G260:$G275),IF(AND(I51="4G1",I53=8,I59="750V"),LOOKUP(I84,T!$J260:$J275,T!$H260:$H275),IF(AND(I51="4G1",I53=9,I59="750V"),LOOKUP(I84,T!$J260:$J275,T!$I260:$I275),IF(AND(I51="4G2",I53=2,I59="500V"),LOOKUP(I84,T!$J282:$J285,T!$B282:$B285),IF(AND(I51="4G2",I53=3,I59="500V"),LOOKUP(I84,T!$J282:$J285,T!$C282:$C285),IF(AND(I51="4G2",I53=4,I59="500V"),LOOKUP(I84,T!$J282:$J285,T!$D282:$D285),IF(AND(I51="4G2",I53=5,I59="500V"),LOOKUP(I84,T!$J282:$J285,T!$E282:$E285),IF(AND(I51="4G2",I53=6,I59="500V"),LOOKUP(I84,T!$J282:$J285,T!$F282:$F285),IF(AND(I51="4G2",I53=7,I59="500V"),LOOKUP(I84,T!$J282:$J285,T!$G282:$G285),IF(AND(I51="4G2",I53=8,I59="500V"),LOOKUP(I84,T!$J282:$J285,T!$H282:$H285),IF(AND(I51="4G2",I53=9,I59="500V"),LOOKUP(I84,T!$J282:$J285,T!$I282:$I285),IF(AND(I51="4G2",I53=2,I59="750V"),LOOKUP(I84,T!$J287:$J302,T!$B287:$B302),IF(AND(I51="4G2",I53=3,I59="750V"),LOOKUP(I84,T!$J287:$J302,T!$C287:$C302),IF(AND(I51="4G2",I53=4,I59="750V"),LOOKUP(I84,T!$J287:$J302,T!$D287:$D302),IF(AND(I51="4G2",I53=5,I59="750V"),LOOKUP(I84,T!$J287:$J302,T!$E287:$E302),IF(AND(I51="4G2",I53=6,I59="750V"),LOOKUP(I84,T!$J287:$J302,T!$F287:$F302),IF(AND(I51="4G2",I53=7,I59="750V"),LOOKUP(I84,T!$J287:$J302,T!$G287:$G302),IF(AND(I51="4G2",I53=8,I59="750V"),LOOKUP(I84,T!$J287:$J302,T!$H287:$H302),IF(AND(I51="4G2",I53=9,I59="750V"),LOOKUP(I84,T!$J287:$J302,T!$I287:$I302),"-")))))))))))))))))))))))))))))))),""))</f>
        <v/>
      </c>
      <c r="J34" s="152" t="str">
        <f>IF(J29="","",IF(ISNUMBER(SEARCH("4G",J51)),IF(AND(J51="4G1",J53=2,J59="500V"),LOOKUP(J84,T!$J255:$J258,T!$B255:$B258),IF(AND(J51="4G1",J53=3,J59="500V"),LOOKUP(J84,T!$J255:$J258,T!$C255:$C258),IF(AND(J51="4G1",J53=4,J59="500V"),LOOKUP(J84,T!$J255:$J258,T!$D255:$D258),IF(AND(J51="4G1",J53=5,J59="500V"),LOOKUP(J84,T!$J255:$J258,T!$E255:$E258),IF(AND(J51="4G1",J53=6,J59="500V"),LOOKUP(J84,T!$J255:$J258,T!$F255:$F258),IF(AND(J51="4G1",J53=7,J59="500V"),LOOKUP(J84,T!$J255:$J258,T!$G255:$G258),IF(AND(J51="4G1",J53=8,J59="500V"),LOOKUP(J84,T!$J255:$J258,T!$H255:$H258),IF(AND(J51="4G1",J53=9,J59="500V"),LOOKUP(J84,T!$J255:$J258,T!$I255:$I258),IF(AND(J51="4G1",J53=2,J59="750V"),LOOKUP(J84,T!$J260:$J275,T!$B260:$B275),IF(AND(J51="4G1",J53=3,J59="750V"),LOOKUP(J84,T!$J260:$J275,T!$C260:$C275),IF(AND(J51="4G1",J53=4,J59="750V"),LOOKUP(J84,T!$J260:$J275,T!$D260:$D275),IF(AND(J51="4G1",J53=5,J59="750V"),LOOKUP(J84,T!$J260:$J275,T!$E260:$E275),IF(AND(J51="4G1",J53=6,J59="750V"),LOOKUP(J84,T!$J260:$J275,T!$F260:$F275),IF(AND(J51="4G1",J53=7,J59="750V"),LOOKUP(J84,T!$J260:$J275,T!$G260:$G275),IF(AND(J51="4G1",J53=8,J59="750V"),LOOKUP(J84,T!$J260:$J275,T!$H260:$H275),IF(AND(J51="4G1",J53=9,J59="750V"),LOOKUP(J84,T!$J260:$J275,T!$I260:$I275),IF(AND(J51="4G2",J53=2,J59="500V"),LOOKUP(J84,T!$J282:$J285,T!$B282:$B285),IF(AND(J51="4G2",J53=3,J59="500V"),LOOKUP(J84,T!$J282:$J285,T!$C282:$C285),IF(AND(J51="4G2",J53=4,J59="500V"),LOOKUP(J84,T!$J282:$J285,T!$D282:$D285),IF(AND(J51="4G2",J53=5,J59="500V"),LOOKUP(J84,T!$J282:$J285,T!$E282:$E285),IF(AND(J51="4G2",J53=6,J59="500V"),LOOKUP(J84,T!$J282:$J285,T!$F282:$F285),IF(AND(J51="4G2",J53=7,J59="500V"),LOOKUP(J84,T!$J282:$J285,T!$G282:$G285),IF(AND(J51="4G2",J53=8,J59="500V"),LOOKUP(J84,T!$J282:$J285,T!$H282:$H285),IF(AND(J51="4G2",J53=9,J59="500V"),LOOKUP(J84,T!$J282:$J285,T!$I282:$I285),IF(AND(J51="4G2",J53=2,J59="750V"),LOOKUP(J84,T!$J287:$J302,T!$B287:$B302),IF(AND(J51="4G2",J53=3,J59="750V"),LOOKUP(J84,T!$J287:$J302,T!$C287:$C302),IF(AND(J51="4G2",J53=4,J59="750V"),LOOKUP(J84,T!$J287:$J302,T!$D287:$D302),IF(AND(J51="4G2",J53=5,J59="750V"),LOOKUP(J84,T!$J287:$J302,T!$E287:$E302),IF(AND(J51="4G2",J53=6,J59="750V"),LOOKUP(J84,T!$J287:$J302,T!$F287:$F302),IF(AND(J51="4G2",J53=7,J59="750V"),LOOKUP(J84,T!$J287:$J302,T!$G287:$G302),IF(AND(J51="4G2",J53=8,J59="750V"),LOOKUP(J84,T!$J287:$J302,T!$H287:$H302),IF(AND(J51="4G2",J53=9,J59="750V"),LOOKUP(J84,T!$J287:$J302,T!$I287:$I302),"-")))))))))))))))))))))))))))))))),""))</f>
        <v/>
      </c>
      <c r="K34" s="152" t="str">
        <f>IF(K29="","",IF(ISNUMBER(SEARCH("4G",K51)),IF(AND(K51="4G1",K53=2,K59="500V"),LOOKUP(K84,T!$J255:$J258,T!$B255:$B258),IF(AND(K51="4G1",K53=3,K59="500V"),LOOKUP(K84,T!$J255:$J258,T!$C255:$C258),IF(AND(K51="4G1",K53=4,K59="500V"),LOOKUP(K84,T!$J255:$J258,T!$D255:$D258),IF(AND(K51="4G1",K53=5,K59="500V"),LOOKUP(K84,T!$J255:$J258,T!$E255:$E258),IF(AND(K51="4G1",K53=6,K59="500V"),LOOKUP(K84,T!$J255:$J258,T!$F255:$F258),IF(AND(K51="4G1",K53=7,K59="500V"),LOOKUP(K84,T!$J255:$J258,T!$G255:$G258),IF(AND(K51="4G1",K53=8,K59="500V"),LOOKUP(K84,T!$J255:$J258,T!$H255:$H258),IF(AND(K51="4G1",K53=9,K59="500V"),LOOKUP(K84,T!$J255:$J258,T!$I255:$I258),IF(AND(K51="4G1",K53=2,K59="750V"),LOOKUP(K84,T!$J260:$J275,T!$B260:$B275),IF(AND(K51="4G1",K53=3,K59="750V"),LOOKUP(K84,T!$J260:$J275,T!$C260:$C275),IF(AND(K51="4G1",K53=4,K59="750V"),LOOKUP(K84,T!$J260:$J275,T!$D260:$D275),IF(AND(K51="4G1",K53=5,K59="750V"),LOOKUP(K84,T!$J260:$J275,T!$E260:$E275),IF(AND(K51="4G1",K53=6,K59="750V"),LOOKUP(K84,T!$J260:$J275,T!$F260:$F275),IF(AND(K51="4G1",K53=7,K59="750V"),LOOKUP(K84,T!$J260:$J275,T!$G260:$G275),IF(AND(K51="4G1",K53=8,K59="750V"),LOOKUP(K84,T!$J260:$J275,T!$H260:$H275),IF(AND(K51="4G1",K53=9,K59="750V"),LOOKUP(K84,T!$J260:$J275,T!$I260:$I275),IF(AND(K51="4G2",K53=2,K59="500V"),LOOKUP(K84,T!$J282:$J285,T!$B282:$B285),IF(AND(K51="4G2",K53=3,K59="500V"),LOOKUP(K84,T!$J282:$J285,T!$C282:$C285),IF(AND(K51="4G2",K53=4,K59="500V"),LOOKUP(K84,T!$J282:$J285,T!$D282:$D285),IF(AND(K51="4G2",K53=5,K59="500V"),LOOKUP(K84,T!$J282:$J285,T!$E282:$E285),IF(AND(K51="4G2",K53=6,K59="500V"),LOOKUP(K84,T!$J282:$J285,T!$F282:$F285),IF(AND(K51="4G2",K53=7,K59="500V"),LOOKUP(K84,T!$J282:$J285,T!$G282:$G285),IF(AND(K51="4G2",K53=8,K59="500V"),LOOKUP(K84,T!$J282:$J285,T!$H282:$H285),IF(AND(K51="4G2",K53=9,K59="500V"),LOOKUP(K84,T!$J282:$J285,T!$I282:$I285),IF(AND(K51="4G2",K53=2,K59="750V"),LOOKUP(K84,T!$J287:$J302,T!$B287:$B302),IF(AND(K51="4G2",K53=3,K59="750V"),LOOKUP(K84,T!$J287:$J302,T!$C287:$C302),IF(AND(K51="4G2",K53=4,K59="750V"),LOOKUP(K84,T!$J287:$J302,T!$D287:$D302),IF(AND(K51="4G2",K53=5,K59="750V"),LOOKUP(K84,T!$J287:$J302,T!$E287:$E302),IF(AND(K51="4G2",K53=6,K59="750V"),LOOKUP(K84,T!$J287:$J302,T!$F287:$F302),IF(AND(K51="4G2",K53=7,K59="750V"),LOOKUP(K84,T!$J287:$J302,T!$G287:$G302),IF(AND(K51="4G2",K53=8,K59="750V"),LOOKUP(K84,T!$J287:$J302,T!$H287:$H302),IF(AND(K51="4G2",K53=9,K59="750V"),LOOKUP(K84,T!$J287:$J302,T!$I287:$I302),"-")))))))))))))))))))))))))))))))),""))</f>
        <v/>
      </c>
      <c r="L34" s="152" t="str">
        <f>IF(L29="","",IF(ISNUMBER(SEARCH("4G",L51)),IF(AND(L51="4G1",L53=2,L59="500V"),LOOKUP(L84,T!$J255:$J258,T!$B255:$B258),IF(AND(L51="4G1",L53=3,L59="500V"),LOOKUP(L84,T!$J255:$J258,T!$C255:$C258),IF(AND(L51="4G1",L53=4,L59="500V"),LOOKUP(L84,T!$J255:$J258,T!$D255:$D258),IF(AND(L51="4G1",L53=5,L59="500V"),LOOKUP(L84,T!$J255:$J258,T!$E255:$E258),IF(AND(L51="4G1",L53=6,L59="500V"),LOOKUP(L84,T!$J255:$J258,T!$F255:$F258),IF(AND(L51="4G1",L53=7,L59="500V"),LOOKUP(L84,T!$J255:$J258,T!$G255:$G258),IF(AND(L51="4G1",L53=8,L59="500V"),LOOKUP(L84,T!$J255:$J258,T!$H255:$H258),IF(AND(L51="4G1",L53=9,L59="500V"),LOOKUP(L84,T!$J255:$J258,T!$I255:$I258),IF(AND(L51="4G1",L53=2,L59="750V"),LOOKUP(L84,T!$J260:$J275,T!$B260:$B275),IF(AND(L51="4G1",L53=3,L59="750V"),LOOKUP(L84,T!$J260:$J275,T!$C260:$C275),IF(AND(L51="4G1",L53=4,L59="750V"),LOOKUP(L84,T!$J260:$J275,T!$D260:$D275),IF(AND(L51="4G1",L53=5,L59="750V"),LOOKUP(L84,T!$J260:$J275,T!$E260:$E275),IF(AND(L51="4G1",L53=6,L59="750V"),LOOKUP(L84,T!$J260:$J275,T!$F260:$F275),IF(AND(L51="4G1",L53=7,L59="750V"),LOOKUP(L84,T!$J260:$J275,T!$G260:$G275),IF(AND(L51="4G1",L53=8,L59="750V"),LOOKUP(L84,T!$J260:$J275,T!$H260:$H275),IF(AND(L51="4G1",L53=9,L59="750V"),LOOKUP(L84,T!$J260:$J275,T!$I260:$I275),IF(AND(L51="4G2",L53=2,L59="500V"),LOOKUP(L84,T!$J282:$J285,T!$B282:$B285),IF(AND(L51="4G2",L53=3,L59="500V"),LOOKUP(L84,T!$J282:$J285,T!$C282:$C285),IF(AND(L51="4G2",L53=4,L59="500V"),LOOKUP(L84,T!$J282:$J285,T!$D282:$D285),IF(AND(L51="4G2",L53=5,L59="500V"),LOOKUP(L84,T!$J282:$J285,T!$E282:$E285),IF(AND(L51="4G2",L53=6,L59="500V"),LOOKUP(L84,T!$J282:$J285,T!$F282:$F285),IF(AND(L51="4G2",L53=7,L59="500V"),LOOKUP(L84,T!$J282:$J285,T!$G282:$G285),IF(AND(L51="4G2",L53=8,L59="500V"),LOOKUP(L84,T!$J282:$J285,T!$H282:$H285),IF(AND(L51="4G2",L53=9,L59="500V"),LOOKUP(L84,T!$J282:$J285,T!$I282:$I285),IF(AND(L51="4G2",L53=2,L59="750V"),LOOKUP(L84,T!$J287:$J302,T!$B287:$B302),IF(AND(L51="4G2",L53=3,L59="750V"),LOOKUP(L84,T!$J287:$J302,T!$C287:$C302),IF(AND(L51="4G2",L53=4,L59="750V"),LOOKUP(L84,T!$J287:$J302,T!$D287:$D302),IF(AND(L51="4G2",L53=5,L59="750V"),LOOKUP(L84,T!$J287:$J302,T!$E287:$E302),IF(AND(L51="4G2",L53=6,L59="750V"),LOOKUP(L84,T!$J287:$J302,T!$F287:$F302),IF(AND(L51="4G2",L53=7,L59="750V"),LOOKUP(L84,T!$J287:$J302,T!$G287:$G302),IF(AND(L51="4G2",L53=8,L59="750V"),LOOKUP(L84,T!$J287:$J302,T!$H287:$H302),IF(AND(L51="4G2",L53=9,L59="750V"),LOOKUP(L84,T!$J287:$J302,T!$I287:$I302),"-")))))))))))))))))))))))))))))))),""))</f>
        <v/>
      </c>
      <c r="M34" s="152" t="str">
        <f>IF(M29="","",IF(ISNUMBER(SEARCH("4G",M51)),IF(AND(M51="4G1",M53=2,M59="500V"),LOOKUP(M84,T!$J255:$J258,T!$B255:$B258),IF(AND(M51="4G1",M53=3,M59="500V"),LOOKUP(M84,T!$J255:$J258,T!$C255:$C258),IF(AND(M51="4G1",M53=4,M59="500V"),LOOKUP(M84,T!$J255:$J258,T!$D255:$D258),IF(AND(M51="4G1",M53=5,M59="500V"),LOOKUP(M84,T!$J255:$J258,T!$E255:$E258),IF(AND(M51="4G1",M53=6,M59="500V"),LOOKUP(M84,T!$J255:$J258,T!$F255:$F258),IF(AND(M51="4G1",M53=7,M59="500V"),LOOKUP(M84,T!$J255:$J258,T!$G255:$G258),IF(AND(M51="4G1",M53=8,M59="500V"),LOOKUP(M84,T!$J255:$J258,T!$H255:$H258),IF(AND(M51="4G1",M53=9,M59="500V"),LOOKUP(M84,T!$J255:$J258,T!$I255:$I258),IF(AND(M51="4G1",M53=2,M59="750V"),LOOKUP(M84,T!$J260:$J275,T!$B260:$B275),IF(AND(M51="4G1",M53=3,M59="750V"),LOOKUP(M84,T!$J260:$J275,T!$C260:$C275),IF(AND(M51="4G1",M53=4,M59="750V"),LOOKUP(M84,T!$J260:$J275,T!$D260:$D275),IF(AND(M51="4G1",M53=5,M59="750V"),LOOKUP(M84,T!$J260:$J275,T!$E260:$E275),IF(AND(M51="4G1",M53=6,M59="750V"),LOOKUP(M84,T!$J260:$J275,T!$F260:$F275),IF(AND(M51="4G1",M53=7,M59="750V"),LOOKUP(M84,T!$J260:$J275,T!$G260:$G275),IF(AND(M51="4G1",M53=8,M59="750V"),LOOKUP(M84,T!$J260:$J275,T!$H260:$H275),IF(AND(M51="4G1",M53=9,M59="750V"),LOOKUP(M84,T!$J260:$J275,T!$I260:$I275),IF(AND(M51="4G2",M53=2,M59="500V"),LOOKUP(M84,T!$J282:$J285,T!$B282:$B285),IF(AND(M51="4G2",M53=3,M59="500V"),LOOKUP(M84,T!$J282:$J285,T!$C282:$C285),IF(AND(M51="4G2",M53=4,M59="500V"),LOOKUP(M84,T!$J282:$J285,T!$D282:$D285),IF(AND(M51="4G2",M53=5,M59="500V"),LOOKUP(M84,T!$J282:$J285,T!$E282:$E285),IF(AND(M51="4G2",M53=6,M59="500V"),LOOKUP(M84,T!$J282:$J285,T!$F282:$F285),IF(AND(M51="4G2",M53=7,M59="500V"),LOOKUP(M84,T!$J282:$J285,T!$G282:$G285),IF(AND(M51="4G2",M53=8,M59="500V"),LOOKUP(M84,T!$J282:$J285,T!$H282:$H285),IF(AND(M51="4G2",M53=9,M59="500V"),LOOKUP(M84,T!$J282:$J285,T!$I282:$I285),IF(AND(M51="4G2",M53=2,M59="750V"),LOOKUP(M84,T!$J287:$J302,T!$B287:$B302),IF(AND(M51="4G2",M53=3,M59="750V"),LOOKUP(M84,T!$J287:$J302,T!$C287:$C302),IF(AND(M51="4G2",M53=4,M59="750V"),LOOKUP(M84,T!$J287:$J302,T!$D287:$D302),IF(AND(M51="4G2",M53=5,M59="750V"),LOOKUP(M84,T!$J287:$J302,T!$E287:$E302),IF(AND(M51="4G2",M53=6,M59="750V"),LOOKUP(M84,T!$J287:$J302,T!$F287:$F302),IF(AND(M51="4G2",M53=7,M59="750V"),LOOKUP(M84,T!$J287:$J302,T!$G287:$G302),IF(AND(M51="4G2",M53=8,M59="750V"),LOOKUP(M84,T!$J287:$J302,T!$H287:$H302),IF(AND(M51="4G2",M53=9,M59="750V"),LOOKUP(M84,T!$J287:$J302,T!$I287:$I302),"-")))))))))))))))))))))))))))))))),""))</f>
        <v/>
      </c>
      <c r="N34" s="152" t="str">
        <f>IF(N29="","",IF(ISNUMBER(SEARCH("4G",N51)),IF(AND(N51="4G1",N53=2,N59="500V"),LOOKUP(N84,T!$J255:$J258,T!$B255:$B258),IF(AND(N51="4G1",N53=3,N59="500V"),LOOKUP(N84,T!$J255:$J258,T!$C255:$C258),IF(AND(N51="4G1",N53=4,N59="500V"),LOOKUP(N84,T!$J255:$J258,T!$D255:$D258),IF(AND(N51="4G1",N53=5,N59="500V"),LOOKUP(N84,T!$J255:$J258,T!$E255:$E258),IF(AND(N51="4G1",N53=6,N59="500V"),LOOKUP(N84,T!$J255:$J258,T!$F255:$F258),IF(AND(N51="4G1",N53=7,N59="500V"),LOOKUP(N84,T!$J255:$J258,T!$G255:$G258),IF(AND(N51="4G1",N53=8,N59="500V"),LOOKUP(N84,T!$J255:$J258,T!$H255:$H258),IF(AND(N51="4G1",N53=9,N59="500V"),LOOKUP(N84,T!$J255:$J258,T!$I255:$I258),IF(AND(N51="4G1",N53=2,N59="750V"),LOOKUP(N84,T!$J260:$J275,T!$B260:$B275),IF(AND(N51="4G1",N53=3,N59="750V"),LOOKUP(N84,T!$J260:$J275,T!$C260:$C275),IF(AND(N51="4G1",N53=4,N59="750V"),LOOKUP(N84,T!$J260:$J275,T!$D260:$D275),IF(AND(N51="4G1",N53=5,N59="750V"),LOOKUP(N84,T!$J260:$J275,T!$E260:$E275),IF(AND(N51="4G1",N53=6,N59="750V"),LOOKUP(N84,T!$J260:$J275,T!$F260:$F275),IF(AND(N51="4G1",N53=7,N59="750V"),LOOKUP(N84,T!$J260:$J275,T!$G260:$G275),IF(AND(N51="4G1",N53=8,N59="750V"),LOOKUP(N84,T!$J260:$J275,T!$H260:$H275),IF(AND(N51="4G1",N53=9,N59="750V"),LOOKUP(N84,T!$J260:$J275,T!$I260:$I275),IF(AND(N51="4G2",N53=2,N59="500V"),LOOKUP(N84,T!$J282:$J285,T!$B282:$B285),IF(AND(N51="4G2",N53=3,N59="500V"),LOOKUP(N84,T!$J282:$J285,T!$C282:$C285),IF(AND(N51="4G2",N53=4,N59="500V"),LOOKUP(N84,T!$J282:$J285,T!$D282:$D285),IF(AND(N51="4G2",N53=5,N59="500V"),LOOKUP(N84,T!$J282:$J285,T!$E282:$E285),IF(AND(N51="4G2",N53=6,N59="500V"),LOOKUP(N84,T!$J282:$J285,T!$F282:$F285),IF(AND(N51="4G2",N53=7,N59="500V"),LOOKUP(N84,T!$J282:$J285,T!$G282:$G285),IF(AND(N51="4G2",N53=8,N59="500V"),LOOKUP(N84,T!$J282:$J285,T!$H282:$H285),IF(AND(N51="4G2",N53=9,N59="500V"),LOOKUP(N84,T!$J282:$J285,T!$I282:$I285),IF(AND(N51="4G2",N53=2,N59="750V"),LOOKUP(N84,T!$J287:$J302,T!$B287:$B302),IF(AND(N51="4G2",N53=3,N59="750V"),LOOKUP(N84,T!$J287:$J302,T!$C287:$C302),IF(AND(N51="4G2",N53=4,N59="750V"),LOOKUP(N84,T!$J287:$J302,T!$D287:$D302),IF(AND(N51="4G2",N53=5,N59="750V"),LOOKUP(N84,T!$J287:$J302,T!$E287:$E302),IF(AND(N51="4G2",N53=6,N59="750V"),LOOKUP(N84,T!$J287:$J302,T!$F287:$F302),IF(AND(N51="4G2",N53=7,N59="750V"),LOOKUP(N84,T!$J287:$J302,T!$G287:$G302),IF(AND(N51="4G2",N53=8,N59="750V"),LOOKUP(N84,T!$J287:$J302,T!$H287:$H302),IF(AND(N51="4G2",N53=9,N59="750V"),LOOKUP(N84,T!$J287:$J302,T!$I287:$I302),"-")))))))))))))))))))))))))))))))),""))</f>
        <v/>
      </c>
      <c r="O34" s="143" t="str">
        <f>IF(N34&lt;&gt;"","A","")</f>
        <v/>
      </c>
    </row>
    <row r="35" spans="1:15" s="124" customFormat="1" ht="16">
      <c r="A35" s="136"/>
      <c r="B35" s="134"/>
      <c r="C35" s="136"/>
      <c r="D35" s="136" t="str">
        <f>IF(D27="","",IF(OR(D51="4H1",D51="4H2",D51="4H3",D51="4H4"),IF(D27="","",IF(AND(D51="4H1",D53=2),LOOKUP(D84,T!$M308:$M321,T!$B308:$B315),IF(AND(D51="4H1",D53=3),LOOKUP(D84,T!$M308:$M321,T!$C308:$C315),IF(AND(D51="4H1",D53=4),LOOKUP(D84,T!$M308:$M321,T!$D308:$D318),IF(AND(D51="4H1",D53=5),LOOKUP(D84,T!$M308:$M321,T!$E308:$E318),IF(AND(D51="4H1",D53=6),LOOKUP(D84,T!$M308:$M321,T!$F308:$F321),IF(AND(D51="4H1",D53=7),LOOKUP(D84,T!$M308:$M321,T!$G308:$G321),IF(AND(D51="4H1",D53=8),LOOKUP(D84,T!$M308:$M321,T!$H308:$H321),IF(AND(D51="4H1",D53=9),LOOKUP(D84,T!$M308:$M321,T!$I305:$I321),IF(AND(D51="4H1",D53=10),LOOKUP(D84,T!$M308:$M321,T!$J308:$J321),IF(AND(D51="4H1",D53=11),LOOKUP(D84,T!$M308:$M321,T!$K308:$K321),IF(AND(D51="4H1",D53=12),LOOKUP(D84,T!$M308:$M321,T!$L308:$L321),IF(AND(D51="4H2",D53=2),LOOKUP(D84,T!$J327:$J337,T!$B327:$B332),IF(AND(D51="4H2",D53=3),LOOKUP(D84,T!$J327:$J337,T!$C327:$C337),IF(AND(D51="4H2",D53=4),LOOKUP(D84,T!$J327:$J337,T!$D327:$D332),IF(AND(D51="4H2",D53=5),LOOKUP(D84,T!$J327:$J337,T!$E327:$E337),IF(AND(D51="4H2",D53=6),LOOKUP(D84,T!$J327:$J337,T!$F327:$F332),IF(AND(D51="4H2",D53=7),LOOKUP(D84,T!$G327:$J337,T!$G327:$G337),IF(AND(D51="4H2",D53=8),LOOKUP(D84,T!$J327:$J337,T!$H327:$H332),IF(AND(D51="4H2",D53=9),LOOKUP(D84,T!$J327:$J337,T!$I327:$I337),IF(AND(D51="4H3",D53=2),LOOKUP(D84,T!$M343:$M356,T!$B343:$B356),IF(AND(D51="4H3",D53=3),LOOKUP(D84,T!$M343:$M356,T!$C343:$C356),IF(AND(D51="4H3",D53=4),LOOKUP(D84,T!$M343:$M356,T!$D343:$D356),IF(AND(D51="4H3",D53=5),LOOKUP(D84,T!$M343:$M356,T!$E343:$E356),IF(AND(D51="4H3",D53=6),LOOKUP(D84,T!$M343:$M356,T!$F343:$F356),IF(AND(D51="4H3",D53=7),LOOKUP(D84,T!$M343:$M356,T!$G343:$G356),IF(AND(D51="4H3",D53=8),LOOKUP(D84,T!$M343:$M356,T!$H343:$H356),IF(AND(D51="4H3",D53=9),LOOKUP(D84,T!$M343:$M356,T!$I343:$I356),IF(AND(D51="4H3",D53=10),LOOKUP(D84,T!$M343:$M356,T!$J343:$J356),IF(AND(D51="4H3",D53=11),LOOKUP(D84,T!$M343:$M356,T!$K343:$K356),IF(AND(D51="4H3",D53=12),LOOKUP(D84,T!$M343:$M356,T!$L343:$L356),IF(AND(D51="4H4",D53=2),LOOKUP(D84,T!$H362:$H372,T!$B362:$B367),IF(AND(D51="4H4",D53=3),LOOKUP(D84,T!$H362:$H372,T!$C362:$C372),IF(AND(D51="4H4",D53=4),LOOKUP(D84,T!$H362:$H372,T!$D362:$D367),IF(AND(D51="4H4",D53=5),LOOKUP(D84,T!$H362:$H372,T!$E362:$E372),IF(AND(D51="4H4",D53=6),LOOKUP(D84,T!$H363:$H372,T!$F363:$F367),IF(AND(D51="4H4",D53=7),LOOKUP(D84,T!$H363:$H372,T!$G363:$G372),"-"))))))))))))))))))))))))))))))))))))),IF(OR(D51="4J1",D51="4J2",D51="4J3",D51="4J4"),IF(AND(D51="4J1",D53=2),LOOKUP(D84,T!$M378:$M391,T!$B378:$B385),IF(AND(D51="4J1",D53=3),LOOKUP(D84,T!$M378:$M391,T!$C378:$C385),IF(AND(D51="4J1",D53=4),LOOKUP(D84,T!$M378:$M391,T!$D378:$D385),IF(AND(D51="4J1",D53=5),LOOKUP(D84,T!$M378:$M391,T!$E378:$E385),IF(AND(D51="4J1",D53=6),LOOKUP(D84,T!$M378:$M391,T!$F378:$F391),IF(AND(D51="4J1",D53=7),LOOKUP(D84,T!$M378:$M391,T!$G378:$G391),IF(AND(D51="4J1",D53=8),LOOKUP(D84,T!$M378:$M391,T!$H378:$H391),IF(AND(D51="4J1",D53=9),LOOKUP(D84,T!$M378:$M391,T!$I378:$I391),IF(AND(D51="4J1",D53=10),LOOKUP(D84,T!$M378:$M391,T!$J378:$J391),IF(AND(D51="4J1",D53=11),LOOKUP(D84,T!$M378:$M391,T!$K378:$K391),IF(AND(D51="4J1",D53=12),LOOKUP(D84,T!$M378:$M391,T!$L378:$L391),IF(AND(D51="4J2",D53=2),LOOKUP(D84,T!$J397:$J407,T!$B397:$B402),IF(AND(D51="4J2",D53=3),LOOKUP(D84,T!$J397:$J407,T!$C397:$C407),IF(AND(D51="4J2",D53=4),LOOKUP(D84,T!$J397:$J407,T!$D397:$D$402),IF(AND(D51="4J2",D53=5),LOOKUP(D84,T!$J397:$J407,T!$E397:$E407),IF(AND(D51="4J2",D53=6),LOOKUP(D84,T!$J397:$J407,T!$F397:$F402),IF(AND(D51="4J2",D53=7),LOOKUP(D84,T!$J397:$J407,T!$G397:$G407),IF(AND(D51="4J2",D53=8),LOOKUP(D84,T!$J397:$J407,T!$H397:$H402),IF(AND(D51="4J2",D53=9),LOOKUP(D84,T!$J397:$J407,T!$I397:$I407),IF(AND(D51="4J3",D53=2),LOOKUP(D84,T!$M413:$M426,T!$B413:$B426),IF(AND(D51="4J3",D53=3),LOOKUP(D84,T!$M413:$M426,T!$C413:$C426),IF(AND(D51="4J3",D53=4),LOOKUP(D84,T!$M413:$M426,T!$D413:$D426),IF(AND(D51="4J3",D53=5),LOOKUP(D84,T!$M413:$M426,T!$E413:$E426),IF(AND(D51="4J3",D53=6),LOOKUP(D84,T!$M413:$M426,T!$F413:$F426),IF(AND(D51="4J3",D53=7),LOOKUP(D84,T!$M413:$M426,T!$G413:$G426),IF(AND(D51="4J3",D53=8),LOOKUP(D84,T!$M413:$M426,T!$H413:$H426),IF(AND(D51="4J3",D53=9),LOOKUP(D84,T!$M413:$M426,T!$I413:$I426),IF(AND(D51="4J3",D53=10),LOOKUP(D84,T!$M413:$M426,T!$J413:$J426),IF(AND(D51="4J3",D53=11),LOOKUP(D84,T!$M413:$M426,T!$K413:$K426),IF(AND(D51="4J3",D53=12),LOOKUP(D84,T!$M413:$M426,T!$L413:$L426),IF(AND(D51="4J4",D53=2),LOOKUP(D84,T!$H432:$H442,T!$B432:$B437),IF(AND(D51="4J4",D53=3),LOOKUP(D84,T!$H432:$H442,T!$C432:$C442),IF(AND(D51="4J4",D53=4),LOOKUP(D84,T!$H432:$H442,T!$D872:$D877),IF(AND(D51="4J4",D53=5),LOOKUP(D84,T!$H432:$H442,T!$E432:$E442),IF(AND(D51="4J4",D53=6),LOOKUP(D84,T!$H432:$H442,T!$F432:$F437),IF(AND(D51="4J4",D53=7),LOOKUP(D84,T!$H432:$H442,T!$G432:$G442),"-")))))))))))))))))))))))))))))))))))),"")))</f>
        <v/>
      </c>
      <c r="E35" s="136" t="str">
        <f ca="1">IF(E27="","",IF(OR(E51="4H1",E51="4H2",E51="4H3",E51="4H4"),IF(E27="","",IF(AND(E51="4H1",E53=2),LOOKUP(E84,T!$M308:$M321,T!$B308:$B315),IF(AND(E51="4H1",E53=3),LOOKUP(E84,T!$M308:$M321,T!$C308:$C315),IF(AND(E51="4H1",E53=4),LOOKUP(E84,T!$M308:$M321,T!$D308:$D318),IF(AND(E51="4H1",E53=5),LOOKUP(E84,T!$M308:$M321,T!$E308:$E318),IF(AND(E51="4H1",E53=6),LOOKUP(E84,T!$M308:$M321,T!$F308:$F321),IF(AND(E51="4H1",E53=7),LOOKUP(E84,T!$M308:$M321,T!$G308:$G321),IF(AND(E51="4H1",E53=8),LOOKUP(E84,T!$M308:$M321,T!$H308:$H321),IF(AND(E51="4H1",E53=9),LOOKUP(E84,T!$M308:$M321,T!$I305:$I321),IF(AND(E51="4H1",E53=10),LOOKUP(E84,T!$M308:$M321,T!$J308:$J321),IF(AND(E51="4H1",E53=11),LOOKUP(E84,T!$M308:$M321,T!$K308:$K321),IF(AND(E51="4H1",E53=12),LOOKUP(E84,T!$M308:$M321,T!$L308:$L321),IF(AND(E51="4H2",E53=2),LOOKUP(E84,T!$J327:$J337,T!$B327:$B332),IF(AND(E51="4H2",E53=3),LOOKUP(E84,T!$J327:$J337,T!$C327:$C337),IF(AND(E51="4H2",E53=4),LOOKUP(E84,T!$J327:$J337,T!$D327:$D332),IF(AND(E51="4H2",E53=5),LOOKUP(E84,T!$J327:$J337,T!$E327:$E337),IF(AND(E51="4H2",E53=6),LOOKUP(E84,T!$J327:$J337,T!$F327:$F332),IF(AND(E51="4H2",E53=7),LOOKUP(E84,T!$G327:$J337,T!$G327:$G337),IF(AND(E51="4H2",E53=8),LOOKUP(E84,T!$J327:$J337,T!$H327:$H332),IF(AND(E51="4H2",E53=9),LOOKUP(E84,T!$J327:$J337,T!$I327:$I337),IF(AND(E51="4H3",E53=2),LOOKUP(E84,T!$M343:$M356,T!$B343:$B356),IF(AND(E51="4H3",E53=3),LOOKUP(E84,T!$M343:$M356,T!$C343:$C356),IF(AND(E51="4H3",E53=4),LOOKUP(E84,T!$M343:$M356,T!$D343:$D356),IF(AND(E51="4H3",E53=5),LOOKUP(E84,T!$M343:$M356,T!$E343:$E356),IF(AND(E51="4H3",E53=6),LOOKUP(E84,T!$M343:$M356,T!$F343:$F356),IF(AND(E51="4H3",E53=7),LOOKUP(E84,T!$M343:$M356,T!$G343:$G356),IF(AND(E51="4H3",E53=8),LOOKUP(E84,T!$M343:$M356,T!$H343:$H356),IF(AND(E51="4H3",E53=9),LOOKUP(E84,T!$M343:$M356,T!$I343:$I356),IF(AND(E51="4H3",E53=10),LOOKUP(E84,T!$M343:$M356,T!$J343:$J356),IF(AND(E51="4H3",E53=11),LOOKUP(E84,T!$M343:$M356,T!$K343:$K356),IF(AND(E51="4H3",E53=12),LOOKUP(E84,T!$M343:$M356,T!$L343:$L356),IF(AND(E51="4H4",E53=2),LOOKUP(E84,T!$H362:$H372,T!$B362:$B367),IF(AND(E51="4H4",E53=3),LOOKUP(E84,T!$H362:$H372,T!$C362:$C372),IF(AND(E51="4H4",E53=4),LOOKUP(E84,T!$H362:$H372,T!$D362:$D367),IF(AND(E51="4H4",E53=5),LOOKUP(E84,T!$H362:$H372,T!$E362:$E372),IF(AND(E51="4H4",E53=6),LOOKUP(E84,T!$H363:$H372,T!$F363:$F367),IF(AND(E51="4H4",E53=7),LOOKUP(E84,T!$H363:$H372,T!$G363:$G372),"-"))))))))))))))))))))))))))))))))))))),IF(OR(E51="4J1",E51="4J2",E51="4J3",E51="4J4"),IF(AND(E51="4J1",E53=2),LOOKUP(E84,T!$M378:$M391,T!$B378:$B385),IF(AND(E51="4J1",E53=3),LOOKUP(E84,T!$M378:$M391,T!$C378:$C385),IF(AND(E51="4J1",E53=4),LOOKUP(E84,T!$M378:$M391,T!$D378:$D385),IF(AND(E51="4J1",E53=5),LOOKUP(E84,T!$M378:$M391,T!$E378:$E385),IF(AND(E51="4J1",E53=6),LOOKUP(E84,T!$M378:$M391,T!$F378:$F391),IF(AND(E51="4J1",E53=7),LOOKUP(E84,T!$M378:$M391,T!$G378:$G391),IF(AND(E51="4J1",E53=8),LOOKUP(E84,T!$M378:$M391,T!$H378:$H391),IF(AND(E51="4J1",E53=9),LOOKUP(E84,T!$M378:$M391,T!$I378:$I391),IF(AND(E51="4J1",E53=10),LOOKUP(E84,T!$M378:$M391,T!$J378:$J391),IF(AND(E51="4J1",E53=11),LOOKUP(E84,T!$M378:$M391,T!$K378:$K391),IF(AND(E51="4J1",E53=12),LOOKUP(E84,T!$M378:$M391,T!$L378:$L391),IF(AND(E51="4J2",E53=2),LOOKUP(E84,T!$J397:$J407,T!$B397:$B402),IF(AND(E51="4J2",E53=3),LOOKUP(E84,T!$J397:$J407,T!$C397:$C407),IF(AND(E51="4J2",E53=4),LOOKUP(E84,T!$J397:$J407,T!$D397:$D$402),IF(AND(E51="4J2",E53=5),LOOKUP(E84,T!$J397:$J407,T!$E397:$E407),IF(AND(E51="4J2",E53=6),LOOKUP(E84,T!$J397:$J407,T!$F397:$F402),IF(AND(E51="4J2",E53=7),LOOKUP(E84,T!$J397:$J407,T!$G397:$G407),IF(AND(E51="4J2",E53=8),LOOKUP(E84,T!$J397:$J407,T!$H397:$H402),IF(AND(E51="4J2",E53=9),LOOKUP(E84,T!$J397:$J407,T!$I397:$I407),IF(AND(E51="4J3",E53=2),LOOKUP(E84,T!$M413:$M426,T!$B413:$B426),IF(AND(E51="4J3",E53=3),LOOKUP(E84,T!$M413:$M426,T!$C413:$C426),IF(AND(E51="4J3",E53=4),LOOKUP(E84,T!$M413:$M426,T!$D413:$D426),IF(AND(E51="4J3",E53=5),LOOKUP(E84,T!$M413:$M426,T!$E413:$E426),IF(AND(E51="4J3",E53=6),LOOKUP(E84,T!$M413:$M426,T!$F413:$F426),IF(AND(E51="4J3",E53=7),LOOKUP(E84,T!$M413:$M426,T!$G413:$G426),IF(AND(E51="4J3",E53=8),LOOKUP(E84,T!$M413:$M426,T!$H413:$H426),IF(AND(E51="4J3",E53=9),LOOKUP(E84,T!$M413:$M426,T!$I413:$I426),IF(AND(E51="4J3",E53=10),LOOKUP(E84,T!$M413:$M426,T!$J413:$J426),IF(AND(E51="4J3",E53=11),LOOKUP(E84,T!$M413:$M426,T!$K413:$K426),IF(AND(E51="4J3",E53=12),LOOKUP(E84,T!$M413:$M426,T!$L413:$L426),IF(AND(E51="4J4",E53=2),LOOKUP(E84,T!$H432:$H442,T!$B432:$B437),IF(AND(E51="4J4",E53=3),LOOKUP(E84,T!$H432:$H442,T!$C432:$C442),IF(AND(E51="4J4",E53=4),LOOKUP(E84,T!$H432:$H442,T!$D872:$D877),IF(AND(E51="4J4",E53=5),LOOKUP(E84,T!$H432:$H442,T!$E432:$E442),IF(AND(E51="4J4",E53=6),LOOKUP(E84,T!$H432:$H442,T!$F432:$F437),IF(AND(E51="4J4",E53=7),LOOKUP(E84,T!$H432:$H442,T!$G432:$G442),"-")))))))))))))))))))))))))))))))))))),"")))</f>
        <v/>
      </c>
      <c r="F35" s="136" t="str">
        <f ca="1">IF(F27="","",IF(OR(F51="4H1",F51="4H2",F51="4H3",F51="4H4"),IF(F27="","",IF(AND(F51="4H1",F53=2),LOOKUP(F84,T!$M308:$M321,T!$B308:$B315),IF(AND(F51="4H1",F53=3),LOOKUP(F84,T!$M308:$M321,T!$C308:$C315),IF(AND(F51="4H1",F53=4),LOOKUP(F84,T!$M308:$M321,T!$D308:$D318),IF(AND(F51="4H1",F53=5),LOOKUP(F84,T!$M308:$M321,T!$E308:$E318),IF(AND(F51="4H1",F53=6),LOOKUP(F84,T!$M308:$M321,T!$F308:$F321),IF(AND(F51="4H1",F53=7),LOOKUP(F84,T!$M308:$M321,T!$G308:$G321),IF(AND(F51="4H1",F53=8),LOOKUP(F84,T!$M308:$M321,T!$H308:$H321),IF(AND(F51="4H1",F53=9),LOOKUP(F84,T!$M308:$M321,T!$I305:$I321),IF(AND(F51="4H1",F53=10),LOOKUP(F84,T!$M308:$M321,T!$J308:$J321),IF(AND(F51="4H1",F53=11),LOOKUP(F84,T!$M308:$M321,T!$K308:$K321),IF(AND(F51="4H1",F53=12),LOOKUP(F84,T!$M308:$M321,T!$L308:$L321),IF(AND(F51="4H2",F53=2),LOOKUP(F84,T!$J327:$J337,T!$B327:$B332),IF(AND(F51="4H2",F53=3),LOOKUP(F84,T!$J327:$J337,T!$C327:$C337),IF(AND(F51="4H2",F53=4),LOOKUP(F84,T!$J327:$J337,T!$D327:$D332),IF(AND(F51="4H2",F53=5),LOOKUP(F84,T!$J327:$J337,T!$E327:$E337),IF(AND(F51="4H2",F53=6),LOOKUP(F84,T!$J327:$J337,T!$F327:$F332),IF(AND(F51="4H2",F53=7),LOOKUP(F84,T!$G327:$J337,T!$G327:$G337),IF(AND(F51="4H2",F53=8),LOOKUP(F84,T!$J327:$J337,T!$H327:$H332),IF(AND(F51="4H2",F53=9),LOOKUP(F84,T!$J327:$J337,T!$I327:$I337),IF(AND(F51="4H3",F53=2),LOOKUP(F84,T!$M343:$M356,T!$B343:$B356),IF(AND(F51="4H3",F53=3),LOOKUP(F84,T!$M343:$M356,T!$C343:$C356),IF(AND(F51="4H3",F53=4),LOOKUP(F84,T!$M343:$M356,T!$D343:$D356),IF(AND(F51="4H3",F53=5),LOOKUP(F84,T!$M343:$M356,T!$E343:$E356),IF(AND(F51="4H3",F53=6),LOOKUP(F84,T!$M343:$M356,T!$F343:$F356),IF(AND(F51="4H3",F53=7),LOOKUP(F84,T!$M343:$M356,T!$G343:$G356),IF(AND(F51="4H3",F53=8),LOOKUP(F84,T!$M343:$M356,T!$H343:$H356),IF(AND(F51="4H3",F53=9),LOOKUP(F84,T!$M343:$M356,T!$I343:$I356),IF(AND(F51="4H3",F53=10),LOOKUP(F84,T!$M343:$M356,T!$J343:$J356),IF(AND(F51="4H3",F53=11),LOOKUP(F84,T!$M343:$M356,T!$K343:$K356),IF(AND(F51="4H3",F53=12),LOOKUP(F84,T!$M343:$M356,T!$L343:$L356),IF(AND(F51="4H4",F53=2),LOOKUP(F84,T!$H362:$H372,T!$B362:$B367),IF(AND(F51="4H4",F53=3),LOOKUP(F84,T!$H362:$H372,T!$C362:$C372),IF(AND(F51="4H4",F53=4),LOOKUP(F84,T!$H362:$H372,T!$D362:$D367),IF(AND(F51="4H4",F53=5),LOOKUP(F84,T!$H362:$H372,T!$E362:$E372),IF(AND(F51="4H4",F53=6),LOOKUP(F84,T!$H363:$H372,T!$F363:$F367),IF(AND(F51="4H4",F53=7),LOOKUP(F84,T!$H363:$H372,T!$G363:$G372),"-"))))))))))))))))))))))))))))))))))))),IF(OR(F51="4J1",F51="4J2",F51="4J3",F51="4J4"),IF(AND(F51="4J1",F53=2),LOOKUP(F84,T!$M378:$M391,T!$B378:$B385),IF(AND(F51="4J1",F53=3),LOOKUP(F84,T!$M378:$M391,T!$C378:$C385),IF(AND(F51="4J1",F53=4),LOOKUP(F84,T!$M378:$M391,T!$D378:$D385),IF(AND(F51="4J1",F53=5),LOOKUP(F84,T!$M378:$M391,T!$E378:$E385),IF(AND(F51="4J1",F53=6),LOOKUP(F84,T!$M378:$M391,T!$F378:$F391),IF(AND(F51="4J1",F53=7),LOOKUP(F84,T!$M378:$M391,T!$G378:$G391),IF(AND(F51="4J1",F53=8),LOOKUP(F84,T!$M378:$M391,T!$H378:$H391),IF(AND(F51="4J1",F53=9),LOOKUP(F84,T!$M378:$M391,T!$I378:$I391),IF(AND(F51="4J1",F53=10),LOOKUP(F84,T!$M378:$M391,T!$J378:$J391),IF(AND(F51="4J1",F53=11),LOOKUP(F84,T!$M378:$M391,T!$K378:$K391),IF(AND(F51="4J1",F53=12),LOOKUP(F84,T!$M378:$M391,T!$L378:$L391),IF(AND(F51="4J2",F53=2),LOOKUP(F84,T!$J397:$J407,T!$B397:$B402),IF(AND(F51="4J2",F53=3),LOOKUP(F84,T!$J397:$J407,T!$C397:$C407),IF(AND(F51="4J2",F53=4),LOOKUP(F84,T!$J397:$J407,T!$D397:$D$402),IF(AND(F51="4J2",F53=5),LOOKUP(F84,T!$J397:$J407,T!$E397:$E407),IF(AND(F51="4J2",F53=6),LOOKUP(F84,T!$J397:$J407,T!$F397:$F402),IF(AND(F51="4J2",F53=7),LOOKUP(F84,T!$J397:$J407,T!$G397:$G407),IF(AND(F51="4J2",F53=8),LOOKUP(F84,T!$J397:$J407,T!$H397:$H402),IF(AND(F51="4J2",F53=9),LOOKUP(F84,T!$J397:$J407,T!$I397:$I407),IF(AND(F51="4J3",F53=2),LOOKUP(F84,T!$M413:$M426,T!$B413:$B426),IF(AND(F51="4J3",F53=3),LOOKUP(F84,T!$M413:$M426,T!$C413:$C426),IF(AND(F51="4J3",F53=4),LOOKUP(F84,T!$M413:$M426,T!$D413:$D426),IF(AND(F51="4J3",F53=5),LOOKUP(F84,T!$M413:$M426,T!$E413:$E426),IF(AND(F51="4J3",F53=6),LOOKUP(F84,T!$M413:$M426,T!$F413:$F426),IF(AND(F51="4J3",F53=7),LOOKUP(F84,T!$M413:$M426,T!$G413:$G426),IF(AND(F51="4J3",F53=8),LOOKUP(F84,T!$M413:$M426,T!$H413:$H426),IF(AND(F51="4J3",F53=9),LOOKUP(F84,T!$M413:$M426,T!$I413:$I426),IF(AND(F51="4J3",F53=10),LOOKUP(F84,T!$M413:$M426,T!$J413:$J426),IF(AND(F51="4J3",F53=11),LOOKUP(F84,T!$M413:$M426,T!$K413:$K426),IF(AND(F51="4J3",F53=12),LOOKUP(F84,T!$M413:$M426,T!$L413:$L426),IF(AND(F51="4J4",F53=2),LOOKUP(F84,T!$H432:$H442,T!$B432:$B437),IF(AND(F51="4J4",F53=3),LOOKUP(F84,T!$H432:$H442,T!$C432:$C442),IF(AND(F51="4J4",F53=4),LOOKUP(F84,T!$H432:$H442,T!$D872:$D877),IF(AND(F51="4J4",F53=5),LOOKUP(F84,T!$H432:$H442,T!$E432:$E442),IF(AND(F51="4J4",F53=6),LOOKUP(F84,T!$H432:$H442,T!$F432:$F437),IF(AND(F51="4J4",F53=7),LOOKUP(F84,T!$H432:$H442,T!$G432:$G442),"-")))))))))))))))))))))))))))))))))))),"")))</f>
        <v/>
      </c>
      <c r="G35" s="136" t="str">
        <f ca="1">IF(G27="","",IF(OR(G51="4H1",G51="4H2",G51="4H3",G51="4H4"),IF(G27="","",IF(AND(G51="4H1",G53=2),LOOKUP(G84,T!$M308:$M321,T!$B308:$B315),IF(AND(G51="4H1",G53=3),LOOKUP(G84,T!$M308:$M321,T!$C308:$C315),IF(AND(G51="4H1",G53=4),LOOKUP(G84,T!$M308:$M321,T!$D308:$D318),IF(AND(G51="4H1",G53=5),LOOKUP(G84,T!$M308:$M321,T!$E308:$E318),IF(AND(G51="4H1",G53=6),LOOKUP(G84,T!$M308:$M321,T!$F308:$F321),IF(AND(G51="4H1",G53=7),LOOKUP(G84,T!$M308:$M321,T!$G308:$G321),IF(AND(G51="4H1",G53=8),LOOKUP(G84,T!$M308:$M321,T!$H308:$H321),IF(AND(G51="4H1",G53=9),LOOKUP(G84,T!$M308:$M321,T!$I305:$I321),IF(AND(G51="4H1",G53=10),LOOKUP(G84,T!$M308:$M321,T!$J308:$J321),IF(AND(G51="4H1",G53=11),LOOKUP(G84,T!$M308:$M321,T!$K308:$K321),IF(AND(G51="4H1",G53=12),LOOKUP(G84,T!$M308:$M321,T!$L308:$L321),IF(AND(G51="4H2",G53=2),LOOKUP(G84,T!$J327:$J337,T!$B327:$B332),IF(AND(G51="4H2",G53=3),LOOKUP(G84,T!$J327:$J337,T!$C327:$C337),IF(AND(G51="4H2",G53=4),LOOKUP(G84,T!$J327:$J337,T!$D327:$D332),IF(AND(G51="4H2",G53=5),LOOKUP(G84,T!$J327:$J337,T!$E327:$E337),IF(AND(G51="4H2",G53=6),LOOKUP(G84,T!$J327:$J337,T!$F327:$F332),IF(AND(G51="4H2",G53=7),LOOKUP(G84,T!$G327:$J337,T!$G327:$G337),IF(AND(G51="4H2",G53=8),LOOKUP(G84,T!$J327:$J337,T!$H327:$H332),IF(AND(G51="4H2",G53=9),LOOKUP(G84,T!$J327:$J337,T!$I327:$I337),IF(AND(G51="4H3",G53=2),LOOKUP(G84,T!$M343:$M356,T!$B343:$B356),IF(AND(G51="4H3",G53=3),LOOKUP(G84,T!$M343:$M356,T!$C343:$C356),IF(AND(G51="4H3",G53=4),LOOKUP(G84,T!$M343:$M356,T!$D343:$D356),IF(AND(G51="4H3",G53=5),LOOKUP(G84,T!$M343:$M356,T!$E343:$E356),IF(AND(G51="4H3",G53=6),LOOKUP(G84,T!$M343:$M356,T!$F343:$F356),IF(AND(G51="4H3",G53=7),LOOKUP(G84,T!$M343:$M356,T!$G343:$G356),IF(AND(G51="4H3",G53=8),LOOKUP(G84,T!$M343:$M356,T!$H343:$H356),IF(AND(G51="4H3",G53=9),LOOKUP(G84,T!$M343:$M356,T!$I343:$I356),IF(AND(G51="4H3",G53=10),LOOKUP(G84,T!$M343:$M356,T!$J343:$J356),IF(AND(G51="4H3",G53=11),LOOKUP(G84,T!$M343:$M356,T!$K343:$K356),IF(AND(G51="4H3",G53=12),LOOKUP(G84,T!$M343:$M356,T!$L343:$L356),IF(AND(G51="4H4",G53=2),LOOKUP(G84,T!$H362:$H372,T!$B362:$B367),IF(AND(G51="4H4",G53=3),LOOKUP(G84,T!$H362:$H372,T!$C362:$C372),IF(AND(G51="4H4",G53=4),LOOKUP(G84,T!$H362:$H372,T!$D362:$D367),IF(AND(G51="4H4",G53=5),LOOKUP(G84,T!$H362:$H372,T!$E362:$E372),IF(AND(G51="4H4",G53=6),LOOKUP(G84,T!$H363:$H372,T!$F363:$F367),IF(AND(G51="4H4",G53=7),LOOKUP(G84,T!$H363:$H372,T!$G363:$G372),"-"))))))))))))))))))))))))))))))))))))),IF(OR(G51="4J1",G51="4J2",G51="4J3",G51="4J4"),IF(AND(G51="4J1",G53=2),LOOKUP(G84,T!$M378:$M391,T!$B378:$B385),IF(AND(G51="4J1",G53=3),LOOKUP(G84,T!$M378:$M391,T!$C378:$C385),IF(AND(G51="4J1",G53=4),LOOKUP(G84,T!$M378:$M391,T!$D378:$D385),IF(AND(G51="4J1",G53=5),LOOKUP(G84,T!$M378:$M391,T!$E378:$E385),IF(AND(G51="4J1",G53=6),LOOKUP(G84,T!$M378:$M391,T!$F378:$F391),IF(AND(G51="4J1",G53=7),LOOKUP(G84,T!$M378:$M391,T!$G378:$G391),IF(AND(G51="4J1",G53=8),LOOKUP(G84,T!$M378:$M391,T!$H378:$H391),IF(AND(G51="4J1",G53=9),LOOKUP(G84,T!$M378:$M391,T!$I378:$I391),IF(AND(G51="4J1",G53=10),LOOKUP(G84,T!$M378:$M391,T!$J378:$J391),IF(AND(G51="4J1",G53=11),LOOKUP(G84,T!$M378:$M391,T!$K378:$K391),IF(AND(G51="4J1",G53=12),LOOKUP(G84,T!$M378:$M391,T!$L378:$L391),IF(AND(G51="4J2",G53=2),LOOKUP(G84,T!$J397:$J407,T!$B397:$B402),IF(AND(G51="4J2",G53=3),LOOKUP(G84,T!$J397:$J407,T!$C397:$C407),IF(AND(G51="4J2",G53=4),LOOKUP(G84,T!$J397:$J407,T!$D397:$D$402),IF(AND(G51="4J2",G53=5),LOOKUP(G84,T!$J397:$J407,T!$E397:$E407),IF(AND(G51="4J2",G53=6),LOOKUP(G84,T!$J397:$J407,T!$F397:$F402),IF(AND(G51="4J2",G53=7),LOOKUP(G84,T!$J397:$J407,T!$G397:$G407),IF(AND(G51="4J2",G53=8),LOOKUP(G84,T!$J397:$J407,T!$H397:$H402),IF(AND(G51="4J2",G53=9),LOOKUP(G84,T!$J397:$J407,T!$I397:$I407),IF(AND(G51="4J3",G53=2),LOOKUP(G84,T!$M413:$M426,T!$B413:$B426),IF(AND(G51="4J3",G53=3),LOOKUP(G84,T!$M413:$M426,T!$C413:$C426),IF(AND(G51="4J3",G53=4),LOOKUP(G84,T!$M413:$M426,T!$D413:$D426),IF(AND(G51="4J3",G53=5),LOOKUP(G84,T!$M413:$M426,T!$E413:$E426),IF(AND(G51="4J3",G53=6),LOOKUP(G84,T!$M413:$M426,T!$F413:$F426),IF(AND(G51="4J3",G53=7),LOOKUP(G84,T!$M413:$M426,T!$G413:$G426),IF(AND(G51="4J3",G53=8),LOOKUP(G84,T!$M413:$M426,T!$H413:$H426),IF(AND(G51="4J3",G53=9),LOOKUP(G84,T!$M413:$M426,T!$I413:$I426),IF(AND(G51="4J3",G53=10),LOOKUP(G84,T!$M413:$M426,T!$J413:$J426),IF(AND(G51="4J3",G53=11),LOOKUP(G84,T!$M413:$M426,T!$K413:$K426),IF(AND(G51="4J3",G53=12),LOOKUP(G84,T!$M413:$M426,T!$L413:$L426),IF(AND(G51="4J4",G53=2),LOOKUP(G84,T!$H432:$H442,T!$B432:$B437),IF(AND(G51="4J4",G53=3),LOOKUP(G84,T!$H432:$H442,T!$C432:$C442),IF(AND(G51="4J4",G53=4),LOOKUP(G84,T!$H432:$H442,T!$D872:$D877),IF(AND(G51="4J4",G53=5),LOOKUP(G84,T!$H432:$H442,T!$E432:$E442),IF(AND(G51="4J4",G53=6),LOOKUP(G84,T!$H432:$H442,T!$F432:$F437),IF(AND(G51="4J4",G53=7),LOOKUP(G84,T!$H432:$H442,T!$G432:$G442),"-")))))))))))))))))))))))))))))))))))),"")))</f>
        <v/>
      </c>
      <c r="H35" s="136" t="str">
        <f ca="1">IF(H27="","",IF(OR(H51="4H1",H51="4H2",H51="4H3",H51="4H4"),IF(H27="","",IF(AND(H51="4H1",H53=2),LOOKUP(H84,T!$M308:$M321,T!$B308:$B315),IF(AND(H51="4H1",H53=3),LOOKUP(H84,T!$M308:$M321,T!$C308:$C315),IF(AND(H51="4H1",H53=4),LOOKUP(H84,T!$M308:$M321,T!$D308:$D318),IF(AND(H51="4H1",H53=5),LOOKUP(H84,T!$M308:$M321,T!$E308:$E318),IF(AND(H51="4H1",H53=6),LOOKUP(H84,T!$M308:$M321,T!$F308:$F321),IF(AND(H51="4H1",H53=7),LOOKUP(H84,T!$M308:$M321,T!$G308:$G321),IF(AND(H51="4H1",H53=8),LOOKUP(H84,T!$M308:$M321,T!$H308:$H321),IF(AND(H51="4H1",H53=9),LOOKUP(H84,T!$M308:$M321,T!$I305:$I321),IF(AND(H51="4H1",H53=10),LOOKUP(H84,T!$M308:$M321,T!$J308:$J321),IF(AND(H51="4H1",H53=11),LOOKUP(H84,T!$M308:$M321,T!$K308:$K321),IF(AND(H51="4H1",H53=12),LOOKUP(H84,T!$M308:$M321,T!$L308:$L321),IF(AND(H51="4H2",H53=2),LOOKUP(H84,T!$J327:$J337,T!$B327:$B332),IF(AND(H51="4H2",H53=3),LOOKUP(H84,T!$J327:$J337,T!$C327:$C337),IF(AND(H51="4H2",H53=4),LOOKUP(H84,T!$J327:$J337,T!$D327:$D332),IF(AND(H51="4H2",H53=5),LOOKUP(H84,T!$J327:$J337,T!$E327:$E337),IF(AND(H51="4H2",H53=6),LOOKUP(H84,T!$J327:$J337,T!$F327:$F332),IF(AND(H51="4H2",H53=7),LOOKUP(H84,T!$G327:$J337,T!$G327:$G337),IF(AND(H51="4H2",H53=8),LOOKUP(H84,T!$J327:$J337,T!$H327:$H332),IF(AND(H51="4H2",H53=9),LOOKUP(H84,T!$J327:$J337,T!$I327:$I337),IF(AND(H51="4H3",H53=2),LOOKUP(H84,T!$M343:$M356,T!$B343:$B356),IF(AND(H51="4H3",H53=3),LOOKUP(H84,T!$M343:$M356,T!$C343:$C356),IF(AND(H51="4H3",H53=4),LOOKUP(H84,T!$M343:$M356,T!$D343:$D356),IF(AND(H51="4H3",H53=5),LOOKUP(H84,T!$M343:$M356,T!$E343:$E356),IF(AND(H51="4H3",H53=6),LOOKUP(H84,T!$M343:$M356,T!$F343:$F356),IF(AND(H51="4H3",H53=7),LOOKUP(H84,T!$M343:$M356,T!$G343:$G356),IF(AND(H51="4H3",H53=8),LOOKUP(H84,T!$M343:$M356,T!$H343:$H356),IF(AND(H51="4H3",H53=9),LOOKUP(H84,T!$M343:$M356,T!$I343:$I356),IF(AND(H51="4H3",H53=10),LOOKUP(H84,T!$M343:$M356,T!$J343:$J356),IF(AND(H51="4H3",H53=11),LOOKUP(H84,T!$M343:$M356,T!$K343:$K356),IF(AND(H51="4H3",H53=12),LOOKUP(H84,T!$M343:$M356,T!$L343:$L356),IF(AND(H51="4H4",H53=2),LOOKUP(H84,T!$H362:$H372,T!$B362:$B367),IF(AND(H51="4H4",H53=3),LOOKUP(H84,T!$H362:$H372,T!$C362:$C372),IF(AND(H51="4H4",H53=4),LOOKUP(H84,T!$H362:$H372,T!$D362:$D367),IF(AND(H51="4H4",H53=5),LOOKUP(H84,T!$H362:$H372,T!$E362:$E372),IF(AND(H51="4H4",H53=6),LOOKUP(H84,T!$H363:$H372,T!$F363:$F367),IF(AND(H51="4H4",H53=7),LOOKUP(H84,T!$H363:$H372,T!$G363:$G372),"-"))))))))))))))))))))))))))))))))))))),IF(OR(H51="4J1",H51="4J2",H51="4J3",H51="4J4"),IF(AND(H51="4J1",H53=2),LOOKUP(H84,T!$M378:$M391,T!$B378:$B385),IF(AND(H51="4J1",H53=3),LOOKUP(H84,T!$M378:$M391,T!$C378:$C385),IF(AND(H51="4J1",H53=4),LOOKUP(H84,T!$M378:$M391,T!$D378:$D385),IF(AND(H51="4J1",H53=5),LOOKUP(H84,T!$M378:$M391,T!$E378:$E385),IF(AND(H51="4J1",H53=6),LOOKUP(H84,T!$M378:$M391,T!$F378:$F391),IF(AND(H51="4J1",H53=7),LOOKUP(H84,T!$M378:$M391,T!$G378:$G391),IF(AND(H51="4J1",H53=8),LOOKUP(H84,T!$M378:$M391,T!$H378:$H391),IF(AND(H51="4J1",H53=9),LOOKUP(H84,T!$M378:$M391,T!$I378:$I391),IF(AND(H51="4J1",H53=10),LOOKUP(H84,T!$M378:$M391,T!$J378:$J391),IF(AND(H51="4J1",H53=11),LOOKUP(H84,T!$M378:$M391,T!$K378:$K391),IF(AND(H51="4J1",H53=12),LOOKUP(H84,T!$M378:$M391,T!$L378:$L391),IF(AND(H51="4J2",H53=2),LOOKUP(H84,T!$J397:$J407,T!$B397:$B402),IF(AND(H51="4J2",H53=3),LOOKUP(H84,T!$J397:$J407,T!$C397:$C407),IF(AND(H51="4J2",H53=4),LOOKUP(H84,T!$J397:$J407,T!$D397:$D$402),IF(AND(H51="4J2",H53=5),LOOKUP(H84,T!$J397:$J407,T!$E397:$E407),IF(AND(H51="4J2",H53=6),LOOKUP(H84,T!$J397:$J407,T!$F397:$F402),IF(AND(H51="4J2",H53=7),LOOKUP(H84,T!$J397:$J407,T!$G397:$G407),IF(AND(H51="4J2",H53=8),LOOKUP(H84,T!$J397:$J407,T!$H397:$H402),IF(AND(H51="4J2",H53=9),LOOKUP(H84,T!$J397:$J407,T!$I397:$I407),IF(AND(H51="4J3",H53=2),LOOKUP(H84,T!$M413:$M426,T!$B413:$B426),IF(AND(H51="4J3",H53=3),LOOKUP(H84,T!$M413:$M426,T!$C413:$C426),IF(AND(H51="4J3",H53=4),LOOKUP(H84,T!$M413:$M426,T!$D413:$D426),IF(AND(H51="4J3",H53=5),LOOKUP(H84,T!$M413:$M426,T!$E413:$E426),IF(AND(H51="4J3",H53=6),LOOKUP(H84,T!$M413:$M426,T!$F413:$F426),IF(AND(H51="4J3",H53=7),LOOKUP(H84,T!$M413:$M426,T!$G413:$G426),IF(AND(H51="4J3",H53=8),LOOKUP(H84,T!$M413:$M426,T!$H413:$H426),IF(AND(H51="4J3",H53=9),LOOKUP(H84,T!$M413:$M426,T!$I413:$I426),IF(AND(H51="4J3",H53=10),LOOKUP(H84,T!$M413:$M426,T!$J413:$J426),IF(AND(H51="4J3",H53=11),LOOKUP(H84,T!$M413:$M426,T!$K413:$K426),IF(AND(H51="4J3",H53=12),LOOKUP(H84,T!$M413:$M426,T!$L413:$L426),IF(AND(H51="4J4",H53=2),LOOKUP(H84,T!$H432:$H442,T!$B432:$B437),IF(AND(H51="4J4",H53=3),LOOKUP(H84,T!$H432:$H442,T!$C432:$C442),IF(AND(H51="4J4",H53=4),LOOKUP(H84,T!$H432:$H442,T!$D872:$D877),IF(AND(H51="4J4",H53=5),LOOKUP(H84,T!$H432:$H442,T!$E432:$E442),IF(AND(H51="4J4",H53=6),LOOKUP(H84,T!$H432:$H442,T!$F432:$F437),IF(AND(H51="4J4",H53=7),LOOKUP(H84,T!$H432:$H442,T!$G432:$G442),"-")))))))))))))))))))))))))))))))))))),"")))</f>
        <v/>
      </c>
      <c r="I35" s="136" t="str">
        <f>IF(I27="","",IF(OR(I51="4H1",I51="4H2",I51="4H3",I51="4H4"),IF(I27="","",IF(AND(I51="4H1",I53=2),LOOKUP(I84,T!$M308:$M321,T!$B308:$B315),IF(AND(I51="4H1",I53=3),LOOKUP(I84,T!$M308:$M321,T!$C308:$C315),IF(AND(I51="4H1",I53=4),LOOKUP(I84,T!$M308:$M321,T!$D308:$D318),IF(AND(I51="4H1",I53=5),LOOKUP(I84,T!$M308:$M321,T!$E308:$E318),IF(AND(I51="4H1",I53=6),LOOKUP(I84,T!$M308:$M321,T!$F308:$F321),IF(AND(I51="4H1",I53=7),LOOKUP(I84,T!$M308:$M321,T!$G308:$G321),IF(AND(I51="4H1",I53=8),LOOKUP(I84,T!$M308:$M321,T!$H308:$H321),IF(AND(I51="4H1",I53=9),LOOKUP(I84,T!$M308:$M321,T!$I305:$I321),IF(AND(I51="4H1",I53=10),LOOKUP(I84,T!$M308:$M321,T!$J308:$J321),IF(AND(I51="4H1",I53=11),LOOKUP(I84,T!$M308:$M321,T!$K308:$K321),IF(AND(I51="4H1",I53=12),LOOKUP(I84,T!$M308:$M321,T!$L308:$L321),IF(AND(I51="4H2",I53=2),LOOKUP(I84,T!$J327:$J337,T!$B327:$B332),IF(AND(I51="4H2",I53=3),LOOKUP(I84,T!$J327:$J337,T!$C327:$C337),IF(AND(I51="4H2",I53=4),LOOKUP(I84,T!$J327:$J337,T!$D327:$D332),IF(AND(I51="4H2",I53=5),LOOKUP(I84,T!$J327:$J337,T!$E327:$E337),IF(AND(I51="4H2",I53=6),LOOKUP(I84,T!$J327:$J337,T!$F327:$F332),IF(AND(I51="4H2",I53=7),LOOKUP(I84,T!$G327:$J337,T!$G327:$G337),IF(AND(I51="4H2",I53=8),LOOKUP(I84,T!$J327:$J337,T!$H327:$H332),IF(AND(I51="4H2",I53=9),LOOKUP(I84,T!$J327:$J337,T!$I327:$I337),IF(AND(I51="4H3",I53=2),LOOKUP(I84,T!$M343:$M356,T!$B343:$B356),IF(AND(I51="4H3",I53=3),LOOKUP(I84,T!$M343:$M356,T!$C343:$C356),IF(AND(I51="4H3",I53=4),LOOKUP(I84,T!$M343:$M356,T!$D343:$D356),IF(AND(I51="4H3",I53=5),LOOKUP(I84,T!$M343:$M356,T!$E343:$E356),IF(AND(I51="4H3",I53=6),LOOKUP(I84,T!$M343:$M356,T!$F343:$F356),IF(AND(I51="4H3",I53=7),LOOKUP(I84,T!$M343:$M356,T!$G343:$G356),IF(AND(I51="4H3",I53=8),LOOKUP(I84,T!$M343:$M356,T!$H343:$H356),IF(AND(I51="4H3",I53=9),LOOKUP(I84,T!$M343:$M356,T!$I343:$I356),IF(AND(I51="4H3",I53=10),LOOKUP(I84,T!$M343:$M356,T!$J343:$J356),IF(AND(I51="4H3",I53=11),LOOKUP(I84,T!$M343:$M356,T!$K343:$K356),IF(AND(I51="4H3",I53=12),LOOKUP(I84,T!$M343:$M356,T!$L343:$L356),IF(AND(I51="4H4",I53=2),LOOKUP(I84,T!$H362:$H372,T!$B362:$B367),IF(AND(I51="4H4",I53=3),LOOKUP(I84,T!$H362:$H372,T!$C362:$C372),IF(AND(I51="4H4",I53=4),LOOKUP(I84,T!$H362:$H372,T!$D362:$D367),IF(AND(I51="4H4",I53=5),LOOKUP(I84,T!$H362:$H372,T!$E362:$E372),IF(AND(I51="4H4",I53=6),LOOKUP(I84,T!$H363:$H372,T!$F363:$F367),IF(AND(I51="4H4",I53=7),LOOKUP(I84,T!$H363:$H372,T!$G363:$G372),"-"))))))))))))))))))))))))))))))))))))),IF(OR(I51="4J1",I51="4J2",I51="4J3",I51="4J4"),IF(AND(I51="4J1",I53=2),LOOKUP(I84,T!$M378:$M391,T!$B378:$B385),IF(AND(I51="4J1",I53=3),LOOKUP(I84,T!$M378:$M391,T!$C378:$C385),IF(AND(I51="4J1",I53=4),LOOKUP(I84,T!$M378:$M391,T!$D378:$D385),IF(AND(I51="4J1",I53=5),LOOKUP(I84,T!$M378:$M391,T!$E378:$E385),IF(AND(I51="4J1",I53=6),LOOKUP(I84,T!$M378:$M391,T!$F378:$F391),IF(AND(I51="4J1",I53=7),LOOKUP(I84,T!$M378:$M391,T!$G378:$G391),IF(AND(I51="4J1",I53=8),LOOKUP(I84,T!$M378:$M391,T!$H378:$H391),IF(AND(I51="4J1",I53=9),LOOKUP(I84,T!$M378:$M391,T!$I378:$I391),IF(AND(I51="4J1",I53=10),LOOKUP(I84,T!$M378:$M391,T!$J378:$J391),IF(AND(I51="4J1",I53=11),LOOKUP(I84,T!$M378:$M391,T!$K378:$K391),IF(AND(I51="4J1",I53=12),LOOKUP(I84,T!$M378:$M391,T!$L378:$L391),IF(AND(I51="4J2",I53=2),LOOKUP(I84,T!$J397:$J407,T!$B397:$B402),IF(AND(I51="4J2",I53=3),LOOKUP(I84,T!$J397:$J407,T!$C397:$C407),IF(AND(I51="4J2",I53=4),LOOKUP(I84,T!$J397:$J407,T!$D397:$D$402),IF(AND(I51="4J2",I53=5),LOOKUP(I84,T!$J397:$J407,T!$E397:$E407),IF(AND(I51="4J2",I53=6),LOOKUP(I84,T!$J397:$J407,T!$F397:$F402),IF(AND(I51="4J2",I53=7),LOOKUP(I84,T!$J397:$J407,T!$G397:$G407),IF(AND(I51="4J2",I53=8),LOOKUP(I84,T!$J397:$J407,T!$H397:$H402),IF(AND(I51="4J2",I53=9),LOOKUP(I84,T!$J397:$J407,T!$I397:$I407),IF(AND(I51="4J3",I53=2),LOOKUP(I84,T!$M413:$M426,T!$B413:$B426),IF(AND(I51="4J3",I53=3),LOOKUP(I84,T!$M413:$M426,T!$C413:$C426),IF(AND(I51="4J3",I53=4),LOOKUP(I84,T!$M413:$M426,T!$D413:$D426),IF(AND(I51="4J3",I53=5),LOOKUP(I84,T!$M413:$M426,T!$E413:$E426),IF(AND(I51="4J3",I53=6),LOOKUP(I84,T!$M413:$M426,T!$F413:$F426),IF(AND(I51="4J3",I53=7),LOOKUP(I84,T!$M413:$M426,T!$G413:$G426),IF(AND(I51="4J3",I53=8),LOOKUP(I84,T!$M413:$M426,T!$H413:$H426),IF(AND(I51="4J3",I53=9),LOOKUP(I84,T!$M413:$M426,T!$I413:$I426),IF(AND(I51="4J3",I53=10),LOOKUP(I84,T!$M413:$M426,T!$J413:$J426),IF(AND(I51="4J3",I53=11),LOOKUP(I84,T!$M413:$M426,T!$K413:$K426),IF(AND(I51="4J3",I53=12),LOOKUP(I84,T!$M413:$M426,T!$L413:$L426),IF(AND(I51="4J4",I53=2),LOOKUP(I84,T!$H432:$H442,T!$B432:$B437),IF(AND(I51="4J4",I53=3),LOOKUP(I84,T!$H432:$H442,T!$C432:$C442),IF(AND(I51="4J4",I53=4),LOOKUP(I84,T!$H432:$H442,T!$D872:$D877),IF(AND(I51="4J4",I53=5),LOOKUP(I84,T!$H432:$H442,T!$E432:$E442),IF(AND(I51="4J4",I53=6),LOOKUP(I84,T!$H432:$H442,T!$F432:$F437),IF(AND(I51="4J4",I53=7),LOOKUP(I84,T!$H432:$H442,T!$G432:$G442),"-")))))))))))))))))))))))))))))))))))),"")))</f>
        <v/>
      </c>
      <c r="J35" s="136" t="str">
        <f>IF(J27="","",IF(OR(J51="4H1",J51="4H2",J51="4H3",J51="4H4"),IF(J27="","",IF(AND(J51="4H1",J53=2),LOOKUP(J84,T!$M308:$M321,T!$B308:$B315),IF(AND(J51="4H1",J53=3),LOOKUP(J84,T!$M308:$M321,T!$C308:$C315),IF(AND(J51="4H1",J53=4),LOOKUP(J84,T!$M308:$M321,T!$D308:$D318),IF(AND(J51="4H1",J53=5),LOOKUP(J84,T!$M308:$M321,T!$E308:$E318),IF(AND(J51="4H1",J53=6),LOOKUP(J84,T!$M308:$M321,T!$F308:$F321),IF(AND(J51="4H1",J53=7),LOOKUP(J84,T!$M308:$M321,T!$G308:$G321),IF(AND(J51="4H1",J53=8),LOOKUP(J84,T!$M308:$M321,T!$H308:$H321),IF(AND(J51="4H1",J53=9),LOOKUP(J84,T!$M308:$M321,T!$I305:$I321),IF(AND(J51="4H1",J53=10),LOOKUP(J84,T!$M308:$M321,T!$J308:$J321),IF(AND(J51="4H1",J53=11),LOOKUP(J84,T!$M308:$M321,T!$K308:$K321),IF(AND(J51="4H1",J53=12),LOOKUP(J84,T!$M308:$M321,T!$L308:$L321),IF(AND(J51="4H2",J53=2),LOOKUP(J84,T!$J327:$J337,T!$B327:$B332),IF(AND(J51="4H2",J53=3),LOOKUP(J84,T!$J327:$J337,T!$C327:$C337),IF(AND(J51="4H2",J53=4),LOOKUP(J84,T!$J327:$J337,T!$D327:$D332),IF(AND(J51="4H2",J53=5),LOOKUP(J84,T!$J327:$J337,T!$E327:$E337),IF(AND(J51="4H2",J53=6),LOOKUP(J84,T!$J327:$J337,T!$F327:$F332),IF(AND(J51="4H2",J53=7),LOOKUP(J84,T!$G327:$J337,T!$G327:$G337),IF(AND(J51="4H2",J53=8),LOOKUP(J84,T!$J327:$J337,T!$H327:$H332),IF(AND(J51="4H2",J53=9),LOOKUP(J84,T!$J327:$J337,T!$I327:$I337),IF(AND(J51="4H3",J53=2),LOOKUP(J84,T!$M343:$M356,T!$B343:$B356),IF(AND(J51="4H3",J53=3),LOOKUP(J84,T!$M343:$M356,T!$C343:$C356),IF(AND(J51="4H3",J53=4),LOOKUP(J84,T!$M343:$M356,T!$D343:$D356),IF(AND(J51="4H3",J53=5),LOOKUP(J84,T!$M343:$M356,T!$E343:$E356),IF(AND(J51="4H3",J53=6),LOOKUP(J84,T!$M343:$M356,T!$F343:$F356),IF(AND(J51="4H3",J53=7),LOOKUP(J84,T!$M343:$M356,T!$G343:$G356),IF(AND(J51="4H3",J53=8),LOOKUP(J84,T!$M343:$M356,T!$H343:$H356),IF(AND(J51="4H3",J53=9),LOOKUP(J84,T!$M343:$M356,T!$I343:$I356),IF(AND(J51="4H3",J53=10),LOOKUP(J84,T!$M343:$M356,T!$J343:$J356),IF(AND(J51="4H3",J53=11),LOOKUP(J84,T!$M343:$M356,T!$K343:$K356),IF(AND(J51="4H3",J53=12),LOOKUP(J84,T!$M343:$M356,T!$L343:$L356),IF(AND(J51="4H4",J53=2),LOOKUP(J84,T!$H362:$H372,T!$B362:$B367),IF(AND(J51="4H4",J53=3),LOOKUP(J84,T!$H362:$H372,T!$C362:$C372),IF(AND(J51="4H4",J53=4),LOOKUP(J84,T!$H362:$H372,T!$D362:$D367),IF(AND(J51="4H4",J53=5),LOOKUP(J84,T!$H362:$H372,T!$E362:$E372),IF(AND(J51="4H4",J53=6),LOOKUP(J84,T!$H363:$H372,T!$F363:$F367),IF(AND(J51="4H4",J53=7),LOOKUP(J84,T!$H363:$H372,T!$G363:$G372),"-"))))))))))))))))))))))))))))))))))))),IF(OR(J51="4J1",J51="4J2",J51="4J3",J51="4J4"),IF(AND(J51="4J1",J53=2),LOOKUP(J84,T!$M378:$M391,T!$B378:$B385),IF(AND(J51="4J1",J53=3),LOOKUP(J84,T!$M378:$M391,T!$C378:$C385),IF(AND(J51="4J1",J53=4),LOOKUP(J84,T!$M378:$M391,T!$D378:$D385),IF(AND(J51="4J1",J53=5),LOOKUP(J84,T!$M378:$M391,T!$E378:$E385),IF(AND(J51="4J1",J53=6),LOOKUP(J84,T!$M378:$M391,T!$F378:$F391),IF(AND(J51="4J1",J53=7),LOOKUP(J84,T!$M378:$M391,T!$G378:$G391),IF(AND(J51="4J1",J53=8),LOOKUP(J84,T!$M378:$M391,T!$H378:$H391),IF(AND(J51="4J1",J53=9),LOOKUP(J84,T!$M378:$M391,T!$I378:$I391),IF(AND(J51="4J1",J53=10),LOOKUP(J84,T!$M378:$M391,T!$J378:$J391),IF(AND(J51="4J1",J53=11),LOOKUP(J84,T!$M378:$M391,T!$K378:$K391),IF(AND(J51="4J1",J53=12),LOOKUP(J84,T!$M378:$M391,T!$L378:$L391),IF(AND(J51="4J2",J53=2),LOOKUP(J84,T!$J397:$J407,T!$B397:$B402),IF(AND(J51="4J2",J53=3),LOOKUP(J84,T!$J397:$J407,T!$C397:$C407),IF(AND(J51="4J2",J53=4),LOOKUP(J84,T!$J397:$J407,T!$D397:$D$402),IF(AND(J51="4J2",J53=5),LOOKUP(J84,T!$J397:$J407,T!$E397:$E407),IF(AND(J51="4J2",J53=6),LOOKUP(J84,T!$J397:$J407,T!$F397:$F402),IF(AND(J51="4J2",J53=7),LOOKUP(J84,T!$J397:$J407,T!$G397:$G407),IF(AND(J51="4J2",J53=8),LOOKUP(J84,T!$J397:$J407,T!$H397:$H402),IF(AND(J51="4J2",J53=9),LOOKUP(J84,T!$J397:$J407,T!$I397:$I407),IF(AND(J51="4J3",J53=2),LOOKUP(J84,T!$M413:$M426,T!$B413:$B426),IF(AND(J51="4J3",J53=3),LOOKUP(J84,T!$M413:$M426,T!$C413:$C426),IF(AND(J51="4J3",J53=4),LOOKUP(J84,T!$M413:$M426,T!$D413:$D426),IF(AND(J51="4J3",J53=5),LOOKUP(J84,T!$M413:$M426,T!$E413:$E426),IF(AND(J51="4J3",J53=6),LOOKUP(J84,T!$M413:$M426,T!$F413:$F426),IF(AND(J51="4J3",J53=7),LOOKUP(J84,T!$M413:$M426,T!$G413:$G426),IF(AND(J51="4J3",J53=8),LOOKUP(J84,T!$M413:$M426,T!$H413:$H426),IF(AND(J51="4J3",J53=9),LOOKUP(J84,T!$M413:$M426,T!$I413:$I426),IF(AND(J51="4J3",J53=10),LOOKUP(J84,T!$M413:$M426,T!$J413:$J426),IF(AND(J51="4J3",J53=11),LOOKUP(J84,T!$M413:$M426,T!$K413:$K426),IF(AND(J51="4J3",J53=12),LOOKUP(J84,T!$M413:$M426,T!$L413:$L426),IF(AND(J51="4J4",J53=2),LOOKUP(J84,T!$H432:$H442,T!$B432:$B437),IF(AND(J51="4J4",J53=3),LOOKUP(J84,T!$H432:$H442,T!$C432:$C442),IF(AND(J51="4J4",J53=4),LOOKUP(J84,T!$H432:$H442,T!$D872:$D877),IF(AND(J51="4J4",J53=5),LOOKUP(J84,T!$H432:$H442,T!$E432:$E442),IF(AND(J51="4J4",J53=6),LOOKUP(J84,T!$H432:$H442,T!$F432:$F437),IF(AND(J51="4J4",J53=7),LOOKUP(J84,T!$H432:$H442,T!$G432:$G442),"-")))))))))))))))))))))))))))))))))))),"")))</f>
        <v/>
      </c>
      <c r="K35" s="136" t="str">
        <f>IF(K27="","",IF(OR(K51="4H1",K51="4H2",K51="4H3",K51="4H4"),IF(K27="","",IF(AND(K51="4H1",K53=2),LOOKUP(K84,T!$M308:$M321,T!$B308:$B315),IF(AND(K51="4H1",K53=3),LOOKUP(K84,T!$M308:$M321,T!$C308:$C315),IF(AND(K51="4H1",K53=4),LOOKUP(K84,T!$M308:$M321,T!$D308:$D318),IF(AND(K51="4H1",K53=5),LOOKUP(K84,T!$M308:$M321,T!$E308:$E318),IF(AND(K51="4H1",K53=6),LOOKUP(K84,T!$M308:$M321,T!$F308:$F321),IF(AND(K51="4H1",K53=7),LOOKUP(K84,T!$M308:$M321,T!$G308:$G321),IF(AND(K51="4H1",K53=8),LOOKUP(K84,T!$M308:$M321,T!$H308:$H321),IF(AND(K51="4H1",K53=9),LOOKUP(K84,T!$M308:$M321,T!$I305:$I321),IF(AND(K51="4H1",K53=10),LOOKUP(K84,T!$M308:$M321,T!$J308:$J321),IF(AND(K51="4H1",K53=11),LOOKUP(K84,T!$M308:$M321,T!$K308:$K321),IF(AND(K51="4H1",K53=12),LOOKUP(K84,T!$M308:$M321,T!$L308:$L321),IF(AND(K51="4H2",K53=2),LOOKUP(K84,T!$J327:$J337,T!$B327:$B332),IF(AND(K51="4H2",K53=3),LOOKUP(K84,T!$J327:$J337,T!$C327:$C337),IF(AND(K51="4H2",K53=4),LOOKUP(K84,T!$J327:$J337,T!$D327:$D332),IF(AND(K51="4H2",K53=5),LOOKUP(K84,T!$J327:$J337,T!$E327:$E337),IF(AND(K51="4H2",K53=6),LOOKUP(K84,T!$J327:$J337,T!$F327:$F332),IF(AND(K51="4H2",K53=7),LOOKUP(K84,T!$G327:$J337,T!$G327:$G337),IF(AND(K51="4H2",K53=8),LOOKUP(K84,T!$J327:$J337,T!$H327:$H332),IF(AND(K51="4H2",K53=9),LOOKUP(K84,T!$J327:$J337,T!$I327:$I337),IF(AND(K51="4H3",K53=2),LOOKUP(K84,T!$M343:$M356,T!$B343:$B356),IF(AND(K51="4H3",K53=3),LOOKUP(K84,T!$M343:$M356,T!$C343:$C356),IF(AND(K51="4H3",K53=4),LOOKUP(K84,T!$M343:$M356,T!$D343:$D356),IF(AND(K51="4H3",K53=5),LOOKUP(K84,T!$M343:$M356,T!$E343:$E356),IF(AND(K51="4H3",K53=6),LOOKUP(K84,T!$M343:$M356,T!$F343:$F356),IF(AND(K51="4H3",K53=7),LOOKUP(K84,T!$M343:$M356,T!$G343:$G356),IF(AND(K51="4H3",K53=8),LOOKUP(K84,T!$M343:$M356,T!$H343:$H356),IF(AND(K51="4H3",K53=9),LOOKUP(K84,T!$M343:$M356,T!$I343:$I356),IF(AND(K51="4H3",K53=10),LOOKUP(K84,T!$M343:$M356,T!$J343:$J356),IF(AND(K51="4H3",K53=11),LOOKUP(K84,T!$M343:$M356,T!$K343:$K356),IF(AND(K51="4H3",K53=12),LOOKUP(K84,T!$M343:$M356,T!$L343:$L356),IF(AND(K51="4H4",K53=2),LOOKUP(K84,T!$H362:$H372,T!$B362:$B367),IF(AND(K51="4H4",K53=3),LOOKUP(K84,T!$H362:$H372,T!$C362:$C372),IF(AND(K51="4H4",K53=4),LOOKUP(K84,T!$H362:$H372,T!$D362:$D367),IF(AND(K51="4H4",K53=5),LOOKUP(K84,T!$H362:$H372,T!$E362:$E372),IF(AND(K51="4H4",K53=6),LOOKUP(K84,T!$H363:$H372,T!$F363:$F367),IF(AND(K51="4H4",K53=7),LOOKUP(K84,T!$H363:$H372,T!$G363:$G372),"-"))))))))))))))))))))))))))))))))))))),IF(OR(K51="4J1",K51="4J2",K51="4J3",K51="4J4"),IF(AND(K51="4J1",K53=2),LOOKUP(K84,T!$M378:$M391,T!$B378:$B385),IF(AND(K51="4J1",K53=3),LOOKUP(K84,T!$M378:$M391,T!$C378:$C385),IF(AND(K51="4J1",K53=4),LOOKUP(K84,T!$M378:$M391,T!$D378:$D385),IF(AND(K51="4J1",K53=5),LOOKUP(K84,T!$M378:$M391,T!$E378:$E385),IF(AND(K51="4J1",K53=6),LOOKUP(K84,T!$M378:$M391,T!$F378:$F391),IF(AND(K51="4J1",K53=7),LOOKUP(K84,T!$M378:$M391,T!$G378:$G391),IF(AND(K51="4J1",K53=8),LOOKUP(K84,T!$M378:$M391,T!$H378:$H391),IF(AND(K51="4J1",K53=9),LOOKUP(K84,T!$M378:$M391,T!$I378:$I391),IF(AND(K51="4J1",K53=10),LOOKUP(K84,T!$M378:$M391,T!$J378:$J391),IF(AND(K51="4J1",K53=11),LOOKUP(K84,T!$M378:$M391,T!$K378:$K391),IF(AND(K51="4J1",K53=12),LOOKUP(K84,T!$M378:$M391,T!$L378:$L391),IF(AND(K51="4J2",K53=2),LOOKUP(K84,T!$J397:$J407,T!$B397:$B402),IF(AND(K51="4J2",K53=3),LOOKUP(K84,T!$J397:$J407,T!$C397:$C407),IF(AND(K51="4J2",K53=4),LOOKUP(K84,T!$J397:$J407,T!$D397:$D$402),IF(AND(K51="4J2",K53=5),LOOKUP(K84,T!$J397:$J407,T!$E397:$E407),IF(AND(K51="4J2",K53=6),LOOKUP(K84,T!$J397:$J407,T!$F397:$F402),IF(AND(K51="4J2",K53=7),LOOKUP(K84,T!$J397:$J407,T!$G397:$G407),IF(AND(K51="4J2",K53=8),LOOKUP(K84,T!$J397:$J407,T!$H397:$H402),IF(AND(K51="4J2",K53=9),LOOKUP(K84,T!$J397:$J407,T!$I397:$I407),IF(AND(K51="4J3",K53=2),LOOKUP(K84,T!$M413:$M426,T!$B413:$B426),IF(AND(K51="4J3",K53=3),LOOKUP(K84,T!$M413:$M426,T!$C413:$C426),IF(AND(K51="4J3",K53=4),LOOKUP(K84,T!$M413:$M426,T!$D413:$D426),IF(AND(K51="4J3",K53=5),LOOKUP(K84,T!$M413:$M426,T!$E413:$E426),IF(AND(K51="4J3",K53=6),LOOKUP(K84,T!$M413:$M426,T!$F413:$F426),IF(AND(K51="4J3",K53=7),LOOKUP(K84,T!$M413:$M426,T!$G413:$G426),IF(AND(K51="4J3",K53=8),LOOKUP(K84,T!$M413:$M426,T!$H413:$H426),IF(AND(K51="4J3",K53=9),LOOKUP(K84,T!$M413:$M426,T!$I413:$I426),IF(AND(K51="4J3",K53=10),LOOKUP(K84,T!$M413:$M426,T!$J413:$J426),IF(AND(K51="4J3",K53=11),LOOKUP(K84,T!$M413:$M426,T!$K413:$K426),IF(AND(K51="4J3",K53=12),LOOKUP(K84,T!$M413:$M426,T!$L413:$L426),IF(AND(K51="4J4",K53=2),LOOKUP(K84,T!$H432:$H442,T!$B432:$B437),IF(AND(K51="4J4",K53=3),LOOKUP(K84,T!$H432:$H442,T!$C432:$C442),IF(AND(K51="4J4",K53=4),LOOKUP(K84,T!$H432:$H442,T!$D872:$D877),IF(AND(K51="4J4",K53=5),LOOKUP(K84,T!$H432:$H442,T!$E432:$E442),IF(AND(K51="4J4",K53=6),LOOKUP(K84,T!$H432:$H442,T!$F432:$F437),IF(AND(K51="4J4",K53=7),LOOKUP(K84,T!$H432:$H442,T!$G432:$G442),"-")))))))))))))))))))))))))))))))))))),"")))</f>
        <v/>
      </c>
      <c r="L35" s="136" t="str">
        <f>IF(L27="","",IF(OR(L51="4H1",L51="4H2",L51="4H3",L51="4H4"),IF(L27="","",IF(AND(L51="4H1",L53=2),LOOKUP(L84,T!$M308:$M321,T!$B308:$B315),IF(AND(L51="4H1",L53=3),LOOKUP(L84,T!$M308:$M321,T!$C308:$C315),IF(AND(L51="4H1",L53=4),LOOKUP(L84,T!$M308:$M321,T!$D308:$D318),IF(AND(L51="4H1",L53=5),LOOKUP(L84,T!$M308:$M321,T!$E308:$E318),IF(AND(L51="4H1",L53=6),LOOKUP(L84,T!$M308:$M321,T!$F308:$F321),IF(AND(L51="4H1",L53=7),LOOKUP(L84,T!$M308:$M321,T!$G308:$G321),IF(AND(L51="4H1",L53=8),LOOKUP(L84,T!$M308:$M321,T!$H308:$H321),IF(AND(L51="4H1",L53=9),LOOKUP(L84,T!$M308:$M321,T!$I305:$I321),IF(AND(L51="4H1",L53=10),LOOKUP(L84,T!$M308:$M321,T!$J308:$J321),IF(AND(L51="4H1",L53=11),LOOKUP(L84,T!$M308:$M321,T!$K308:$K321),IF(AND(L51="4H1",L53=12),LOOKUP(L84,T!$M308:$M321,T!$L308:$L321),IF(AND(L51="4H2",L53=2),LOOKUP(L84,T!$J327:$J337,T!$B327:$B332),IF(AND(L51="4H2",L53=3),LOOKUP(L84,T!$J327:$J337,T!$C327:$C337),IF(AND(L51="4H2",L53=4),LOOKUP(L84,T!$J327:$J337,T!$D327:$D332),IF(AND(L51="4H2",L53=5),LOOKUP(L84,T!$J327:$J337,T!$E327:$E337),IF(AND(L51="4H2",L53=6),LOOKUP(L84,T!$J327:$J337,T!$F327:$F332),IF(AND(L51="4H2",L53=7),LOOKUP(L84,T!$G327:$J337,T!$G327:$G337),IF(AND(L51="4H2",L53=8),LOOKUP(L84,T!$J327:$J337,T!$H327:$H332),IF(AND(L51="4H2",L53=9),LOOKUP(L84,T!$J327:$J337,T!$I327:$I337),IF(AND(L51="4H3",L53=2),LOOKUP(L84,T!$M343:$M356,T!$B343:$B356),IF(AND(L51="4H3",L53=3),LOOKUP(L84,T!$M343:$M356,T!$C343:$C356),IF(AND(L51="4H3",L53=4),LOOKUP(L84,T!$M343:$M356,T!$D343:$D356),IF(AND(L51="4H3",L53=5),LOOKUP(L84,T!$M343:$M356,T!$E343:$E356),IF(AND(L51="4H3",L53=6),LOOKUP(L84,T!$M343:$M356,T!$F343:$F356),IF(AND(L51="4H3",L53=7),LOOKUP(L84,T!$M343:$M356,T!$G343:$G356),IF(AND(L51="4H3",L53=8),LOOKUP(L84,T!$M343:$M356,T!$H343:$H356),IF(AND(L51="4H3",L53=9),LOOKUP(L84,T!$M343:$M356,T!$I343:$I356),IF(AND(L51="4H3",L53=10),LOOKUP(L84,T!$M343:$M356,T!$J343:$J356),IF(AND(L51="4H3",L53=11),LOOKUP(L84,T!$M343:$M356,T!$K343:$K356),IF(AND(L51="4H3",L53=12),LOOKUP(L84,T!$M343:$M356,T!$L343:$L356),IF(AND(L51="4H4",L53=2),LOOKUP(L84,T!$H362:$H372,T!$B362:$B367),IF(AND(L51="4H4",L53=3),LOOKUP(L84,T!$H362:$H372,T!$C362:$C372),IF(AND(L51="4H4",L53=4),LOOKUP(L84,T!$H362:$H372,T!$D362:$D367),IF(AND(L51="4H4",L53=5),LOOKUP(L84,T!$H362:$H372,T!$E362:$E372),IF(AND(L51="4H4",L53=6),LOOKUP(L84,T!$H363:$H372,T!$F363:$F367),IF(AND(L51="4H4",L53=7),LOOKUP(L84,T!$H363:$H372,T!$G363:$G372),"-"))))))))))))))))))))))))))))))))))))),IF(OR(L51="4J1",L51="4J2",L51="4J3",L51="4J4"),IF(AND(L51="4J1",L53=2),LOOKUP(L84,T!$M378:$M391,T!$B378:$B385),IF(AND(L51="4J1",L53=3),LOOKUP(L84,T!$M378:$M391,T!$C378:$C385),IF(AND(L51="4J1",L53=4),LOOKUP(L84,T!$M378:$M391,T!$D378:$D385),IF(AND(L51="4J1",L53=5),LOOKUP(L84,T!$M378:$M391,T!$E378:$E385),IF(AND(L51="4J1",L53=6),LOOKUP(L84,T!$M378:$M391,T!$F378:$F391),IF(AND(L51="4J1",L53=7),LOOKUP(L84,T!$M378:$M391,T!$G378:$G391),IF(AND(L51="4J1",L53=8),LOOKUP(L84,T!$M378:$M391,T!$H378:$H391),IF(AND(L51="4J1",L53=9),LOOKUP(L84,T!$M378:$M391,T!$I378:$I391),IF(AND(L51="4J1",L53=10),LOOKUP(L84,T!$M378:$M391,T!$J378:$J391),IF(AND(L51="4J1",L53=11),LOOKUP(L84,T!$M378:$M391,T!$K378:$K391),IF(AND(L51="4J1",L53=12),LOOKUP(L84,T!$M378:$M391,T!$L378:$L391),IF(AND(L51="4J2",L53=2),LOOKUP(L84,T!$J397:$J407,T!$B397:$B402),IF(AND(L51="4J2",L53=3),LOOKUP(L84,T!$J397:$J407,T!$C397:$C407),IF(AND(L51="4J2",L53=4),LOOKUP(L84,T!$J397:$J407,T!$D397:$D$402),IF(AND(L51="4J2",L53=5),LOOKUP(L84,T!$J397:$J407,T!$E397:$E407),IF(AND(L51="4J2",L53=6),LOOKUP(L84,T!$J397:$J407,T!$F397:$F402),IF(AND(L51="4J2",L53=7),LOOKUP(L84,T!$J397:$J407,T!$G397:$G407),IF(AND(L51="4J2",L53=8),LOOKUP(L84,T!$J397:$J407,T!$H397:$H402),IF(AND(L51="4J2",L53=9),LOOKUP(L84,T!$J397:$J407,T!$I397:$I407),IF(AND(L51="4J3",L53=2),LOOKUP(L84,T!$M413:$M426,T!$B413:$B426),IF(AND(L51="4J3",L53=3),LOOKUP(L84,T!$M413:$M426,T!$C413:$C426),IF(AND(L51="4J3",L53=4),LOOKUP(L84,T!$M413:$M426,T!$D413:$D426),IF(AND(L51="4J3",L53=5),LOOKUP(L84,T!$M413:$M426,T!$E413:$E426),IF(AND(L51="4J3",L53=6),LOOKUP(L84,T!$M413:$M426,T!$F413:$F426),IF(AND(L51="4J3",L53=7),LOOKUP(L84,T!$M413:$M426,T!$G413:$G426),IF(AND(L51="4J3",L53=8),LOOKUP(L84,T!$M413:$M426,T!$H413:$H426),IF(AND(L51="4J3",L53=9),LOOKUP(L84,T!$M413:$M426,T!$I413:$I426),IF(AND(L51="4J3",L53=10),LOOKUP(L84,T!$M413:$M426,T!$J413:$J426),IF(AND(L51="4J3",L53=11),LOOKUP(L84,T!$M413:$M426,T!$K413:$K426),IF(AND(L51="4J3",L53=12),LOOKUP(L84,T!$M413:$M426,T!$L413:$L426),IF(AND(L51="4J4",L53=2),LOOKUP(L84,T!$H432:$H442,T!$B432:$B437),IF(AND(L51="4J4",L53=3),LOOKUP(L84,T!$H432:$H442,T!$C432:$C442),IF(AND(L51="4J4",L53=4),LOOKUP(L84,T!$H432:$H442,T!$D872:$D877),IF(AND(L51="4J4",L53=5),LOOKUP(L84,T!$H432:$H442,T!$E432:$E442),IF(AND(L51="4J4",L53=6),LOOKUP(L84,T!$H432:$H442,T!$F432:$F437),IF(AND(L51="4J4",L53=7),LOOKUP(L84,T!$H432:$H442,T!$G432:$G442),"-")))))))))))))))))))))))))))))))))))),"")))</f>
        <v/>
      </c>
      <c r="M35" s="136" t="str">
        <f>IF(M27="","",IF(OR(M51="4H1",M51="4H2",M51="4H3",M51="4H4"),IF(M27="","",IF(AND(M51="4H1",M53=2),LOOKUP(M84,T!$M308:$M321,T!$B308:$B315),IF(AND(M51="4H1",M53=3),LOOKUP(M84,T!$M308:$M321,T!$C308:$C315),IF(AND(M51="4H1",M53=4),LOOKUP(M84,T!$M308:$M321,T!$D308:$D318),IF(AND(M51="4H1",M53=5),LOOKUP(M84,T!$M308:$M321,T!$E308:$E318),IF(AND(M51="4H1",M53=6),LOOKUP(M84,T!$M308:$M321,T!$F308:$F321),IF(AND(M51="4H1",M53=7),LOOKUP(M84,T!$M308:$M321,T!$G308:$G321),IF(AND(M51="4H1",M53=8),LOOKUP(M84,T!$M308:$M321,T!$H308:$H321),IF(AND(M51="4H1",M53=9),LOOKUP(M84,T!$M308:$M321,T!$I305:$I321),IF(AND(M51="4H1",M53=10),LOOKUP(M84,T!$M308:$M321,T!$J308:$J321),IF(AND(M51="4H1",M53=11),LOOKUP(M84,T!$M308:$M321,T!$K308:$K321),IF(AND(M51="4H1",M53=12),LOOKUP(M84,T!$M308:$M321,T!$L308:$L321),IF(AND(M51="4H2",M53=2),LOOKUP(M84,T!$J327:$J337,T!$B327:$B332),IF(AND(M51="4H2",M53=3),LOOKUP(M84,T!$J327:$J337,T!$C327:$C337),IF(AND(M51="4H2",M53=4),LOOKUP(M84,T!$J327:$J337,T!$D327:$D332),IF(AND(M51="4H2",M53=5),LOOKUP(M84,T!$J327:$J337,T!$E327:$E337),IF(AND(M51="4H2",M53=6),LOOKUP(M84,T!$J327:$J337,T!$F327:$F332),IF(AND(M51="4H2",M53=7),LOOKUP(M84,T!$G327:$J337,T!$G327:$G337),IF(AND(M51="4H2",M53=8),LOOKUP(M84,T!$J327:$J337,T!$H327:$H332),IF(AND(M51="4H2",M53=9),LOOKUP(M84,T!$J327:$J337,T!$I327:$I337),IF(AND(M51="4H3",M53=2),LOOKUP(M84,T!$M343:$M356,T!$B343:$B356),IF(AND(M51="4H3",M53=3),LOOKUP(M84,T!$M343:$M356,T!$C343:$C356),IF(AND(M51="4H3",M53=4),LOOKUP(M84,T!$M343:$M356,T!$D343:$D356),IF(AND(M51="4H3",M53=5),LOOKUP(M84,T!$M343:$M356,T!$E343:$E356),IF(AND(M51="4H3",M53=6),LOOKUP(M84,T!$M343:$M356,T!$F343:$F356),IF(AND(M51="4H3",M53=7),LOOKUP(M84,T!$M343:$M356,T!$G343:$G356),IF(AND(M51="4H3",M53=8),LOOKUP(M84,T!$M343:$M356,T!$H343:$H356),IF(AND(M51="4H3",M53=9),LOOKUP(M84,T!$M343:$M356,T!$I343:$I356),IF(AND(M51="4H3",M53=10),LOOKUP(M84,T!$M343:$M356,T!$J343:$J356),IF(AND(M51="4H3",M53=11),LOOKUP(M84,T!$M343:$M356,T!$K343:$K356),IF(AND(M51="4H3",M53=12),LOOKUP(M84,T!$M343:$M356,T!$L343:$L356),IF(AND(M51="4H4",M53=2),LOOKUP(M84,T!$H362:$H372,T!$B362:$B367),IF(AND(M51="4H4",M53=3),LOOKUP(M84,T!$H362:$H372,T!$C362:$C372),IF(AND(M51="4H4",M53=4),LOOKUP(M84,T!$H362:$H372,T!$D362:$D367),IF(AND(M51="4H4",M53=5),LOOKUP(M84,T!$H362:$H372,T!$E362:$E372),IF(AND(M51="4H4",M53=6),LOOKUP(M84,T!$H363:$H372,T!$F363:$F367),IF(AND(M51="4H4",M53=7),LOOKUP(M84,T!$H363:$H372,T!$G363:$G372),"-"))))))))))))))))))))))))))))))))))))),IF(OR(M51="4J1",M51="4J2",M51="4J3",M51="4J4"),IF(AND(M51="4J1",M53=2),LOOKUP(M84,T!$M378:$M391,T!$B378:$B385),IF(AND(M51="4J1",M53=3),LOOKUP(M84,T!$M378:$M391,T!$C378:$C385),IF(AND(M51="4J1",M53=4),LOOKUP(M84,T!$M378:$M391,T!$D378:$D385),IF(AND(M51="4J1",M53=5),LOOKUP(M84,T!$M378:$M391,T!$E378:$E385),IF(AND(M51="4J1",M53=6),LOOKUP(M84,T!$M378:$M391,T!$F378:$F391),IF(AND(M51="4J1",M53=7),LOOKUP(M84,T!$M378:$M391,T!$G378:$G391),IF(AND(M51="4J1",M53=8),LOOKUP(M84,T!$M378:$M391,T!$H378:$H391),IF(AND(M51="4J1",M53=9),LOOKUP(M84,T!$M378:$M391,T!$I378:$I391),IF(AND(M51="4J1",M53=10),LOOKUP(M84,T!$M378:$M391,T!$J378:$J391),IF(AND(M51="4J1",M53=11),LOOKUP(M84,T!$M378:$M391,T!$K378:$K391),IF(AND(M51="4J1",M53=12),LOOKUP(M84,T!$M378:$M391,T!$L378:$L391),IF(AND(M51="4J2",M53=2),LOOKUP(M84,T!$J397:$J407,T!$B397:$B402),IF(AND(M51="4J2",M53=3),LOOKUP(M84,T!$J397:$J407,T!$C397:$C407),IF(AND(M51="4J2",M53=4),LOOKUP(M84,T!$J397:$J407,T!$D397:$D$402),IF(AND(M51="4J2",M53=5),LOOKUP(M84,T!$J397:$J407,T!$E397:$E407),IF(AND(M51="4J2",M53=6),LOOKUP(M84,T!$J397:$J407,T!$F397:$F402),IF(AND(M51="4J2",M53=7),LOOKUP(M84,T!$J397:$J407,T!$G397:$G407),IF(AND(M51="4J2",M53=8),LOOKUP(M84,T!$J397:$J407,T!$H397:$H402),IF(AND(M51="4J2",M53=9),LOOKUP(M84,T!$J397:$J407,T!$I397:$I407),IF(AND(M51="4J3",M53=2),LOOKUP(M84,T!$M413:$M426,T!$B413:$B426),IF(AND(M51="4J3",M53=3),LOOKUP(M84,T!$M413:$M426,T!$C413:$C426),IF(AND(M51="4J3",M53=4),LOOKUP(M84,T!$M413:$M426,T!$D413:$D426),IF(AND(M51="4J3",M53=5),LOOKUP(M84,T!$M413:$M426,T!$E413:$E426),IF(AND(M51="4J3",M53=6),LOOKUP(M84,T!$M413:$M426,T!$F413:$F426),IF(AND(M51="4J3",M53=7),LOOKUP(M84,T!$M413:$M426,T!$G413:$G426),IF(AND(M51="4J3",M53=8),LOOKUP(M84,T!$M413:$M426,T!$H413:$H426),IF(AND(M51="4J3",M53=9),LOOKUP(M84,T!$M413:$M426,T!$I413:$I426),IF(AND(M51="4J3",M53=10),LOOKUP(M84,T!$M413:$M426,T!$J413:$J426),IF(AND(M51="4J3",M53=11),LOOKUP(M84,T!$M413:$M426,T!$K413:$K426),IF(AND(M51="4J3",M53=12),LOOKUP(M84,T!$M413:$M426,T!$L413:$L426),IF(AND(M51="4J4",M53=2),LOOKUP(M84,T!$H432:$H442,T!$B432:$B437),IF(AND(M51="4J4",M53=3),LOOKUP(M84,T!$H432:$H442,T!$C432:$C442),IF(AND(M51="4J4",M53=4),LOOKUP(M84,T!$H432:$H442,T!$D872:$D877),IF(AND(M51="4J4",M53=5),LOOKUP(M84,T!$H432:$H442,T!$E432:$E442),IF(AND(M51="4J4",M53=6),LOOKUP(M84,T!$H432:$H442,T!$F432:$F437),IF(AND(M51="4J4",M53=7),LOOKUP(M84,T!$H432:$H442,T!$G432:$G442),"-")))))))))))))))))))))))))))))))))))),"")))</f>
        <v/>
      </c>
      <c r="N35" s="136" t="str">
        <f>IF(N27="","",IF(OR(N51="4H1",N51="4H2",N51="4H3",N51="4H4"),IF(N27="","",IF(AND(N51="4H1",N53=2),LOOKUP(N84,T!$M308:$M321,T!$B308:$B315),IF(AND(N51="4H1",N53=3),LOOKUP(N84,T!$M308:$M321,T!$C308:$C315),IF(AND(N51="4H1",N53=4),LOOKUP(N84,T!$M308:$M321,T!$D308:$D318),IF(AND(N51="4H1",N53=5),LOOKUP(N84,T!$M308:$M321,T!$E308:$E318),IF(AND(N51="4H1",N53=6),LOOKUP(N84,T!$M308:$M321,T!$F308:$F321),IF(AND(N51="4H1",N53=7),LOOKUP(N84,T!$M308:$M321,T!$G308:$G321),IF(AND(N51="4H1",N53=8),LOOKUP(N84,T!$M308:$M321,T!$H308:$H321),IF(AND(N51="4H1",N53=9),LOOKUP(N84,T!$M308:$M321,T!$I305:$I321),IF(AND(N51="4H1",N53=10),LOOKUP(N84,T!$M308:$M321,T!$J308:$J321),IF(AND(N51="4H1",N53=11),LOOKUP(N84,T!$M308:$M321,T!$K308:$K321),IF(AND(N51="4H1",N53=12),LOOKUP(N84,T!$M308:$M321,T!$L308:$L321),IF(AND(N51="4H2",N53=2),LOOKUP(N84,T!$J327:$J337,T!$B327:$B332),IF(AND(N51="4H2",N53=3),LOOKUP(N84,T!$J327:$J337,T!$C327:$C337),IF(AND(N51="4H2",N53=4),LOOKUP(N84,T!$J327:$J337,T!$D327:$D332),IF(AND(N51="4H2",N53=5),LOOKUP(N84,T!$J327:$J337,T!$E327:$E337),IF(AND(N51="4H2",N53=6),LOOKUP(N84,T!$J327:$J337,T!$F327:$F332),IF(AND(N51="4H2",N53=7),LOOKUP(N84,T!$G327:$J337,T!$G327:$G337),IF(AND(N51="4H2",N53=8),LOOKUP(N84,T!$J327:$J337,T!$H327:$H332),IF(AND(N51="4H2",N53=9),LOOKUP(N84,T!$J327:$J337,T!$I327:$I337),IF(AND(N51="4H3",N53=2),LOOKUP(N84,T!$M343:$M356,T!$B343:$B356),IF(AND(N51="4H3",N53=3),LOOKUP(N84,T!$M343:$M356,T!$C343:$C356),IF(AND(N51="4H3",N53=4),LOOKUP(N84,T!$M343:$M356,T!$D343:$D356),IF(AND(N51="4H3",N53=5),LOOKUP(N84,T!$M343:$M356,T!$E343:$E356),IF(AND(N51="4H3",N53=6),LOOKUP(N84,T!$M343:$M356,T!$F343:$F356),IF(AND(N51="4H3",N53=7),LOOKUP(N84,T!$M343:$M356,T!$G343:$G356),IF(AND(N51="4H3",N53=8),LOOKUP(N84,T!$M343:$M356,T!$H343:$H356),IF(AND(N51="4H3",N53=9),LOOKUP(N84,T!$M343:$M356,T!$I343:$I356),IF(AND(N51="4H3",N53=10),LOOKUP(N84,T!$M343:$M356,T!$J343:$J356),IF(AND(N51="4H3",N53=11),LOOKUP(N84,T!$M343:$M356,T!$K343:$K356),IF(AND(N51="4H3",N53=12),LOOKUP(N84,T!$M343:$M356,T!$L343:$L356),IF(AND(N51="4H4",N53=2),LOOKUP(N84,T!$H362:$H372,T!$B362:$B367),IF(AND(N51="4H4",N53=3),LOOKUP(N84,T!$H362:$H372,T!$C362:$C372),IF(AND(N51="4H4",N53=4),LOOKUP(N84,T!$H362:$H372,T!$D362:$D367),IF(AND(N51="4H4",N53=5),LOOKUP(N84,T!$H362:$H372,T!$E362:$E372),IF(AND(N51="4H4",N53=6),LOOKUP(N84,T!$H363:$H372,T!$F363:$F367),IF(AND(N51="4H4",N53=7),LOOKUP(N84,T!$H363:$H372,T!$G363:$G372),"-"))))))))))))))))))))))))))))))))))))),IF(OR(N51="4J1",N51="4J2",N51="4J3",N51="4J4"),IF(AND(N51="4J1",N53=2),LOOKUP(N84,T!$M378:$M391,T!$B378:$B385),IF(AND(N51="4J1",N53=3),LOOKUP(N84,T!$M378:$M391,T!$C378:$C385),IF(AND(N51="4J1",N53=4),LOOKUP(N84,T!$M378:$M391,T!$D378:$D385),IF(AND(N51="4J1",N53=5),LOOKUP(N84,T!$M378:$M391,T!$E378:$E385),IF(AND(N51="4J1",N53=6),LOOKUP(N84,T!$M378:$M391,T!$F378:$F391),IF(AND(N51="4J1",N53=7),LOOKUP(N84,T!$M378:$M391,T!$G378:$G391),IF(AND(N51="4J1",N53=8),LOOKUP(N84,T!$M378:$M391,T!$H378:$H391),IF(AND(N51="4J1",N53=9),LOOKUP(N84,T!$M378:$M391,T!$I378:$I391),IF(AND(N51="4J1",N53=10),LOOKUP(N84,T!$M378:$M391,T!$J378:$J391),IF(AND(N51="4J1",N53=11),LOOKUP(N84,T!$M378:$M391,T!$K378:$K391),IF(AND(N51="4J1",N53=12),LOOKUP(N84,T!$M378:$M391,T!$L378:$L391),IF(AND(N51="4J2",N53=2),LOOKUP(N84,T!$J397:$J407,T!$B397:$B402),IF(AND(N51="4J2",N53=3),LOOKUP(N84,T!$J397:$J407,T!$C397:$C407),IF(AND(N51="4J2",N53=4),LOOKUP(N84,T!$J397:$J407,T!$D397:$D$402),IF(AND(N51="4J2",N53=5),LOOKUP(N84,T!$J397:$J407,T!$E397:$E407),IF(AND(N51="4J2",N53=6),LOOKUP(N84,T!$J397:$J407,T!$F397:$F402),IF(AND(N51="4J2",N53=7),LOOKUP(N84,T!$J397:$J407,T!$G397:$G407),IF(AND(N51="4J2",N53=8),LOOKUP(N84,T!$J397:$J407,T!$H397:$H402),IF(AND(N51="4J2",N53=9),LOOKUP(N84,T!$J397:$J407,T!$I397:$I407),IF(AND(N51="4J3",N53=2),LOOKUP(N84,T!$M413:$M426,T!$B413:$B426),IF(AND(N51="4J3",N53=3),LOOKUP(N84,T!$M413:$M426,T!$C413:$C426),IF(AND(N51="4J3",N53=4),LOOKUP(N84,T!$M413:$M426,T!$D413:$D426),IF(AND(N51="4J3",N53=5),LOOKUP(N84,T!$M413:$M426,T!$E413:$E426),IF(AND(N51="4J3",N53=6),LOOKUP(N84,T!$M413:$M426,T!$F413:$F426),IF(AND(N51="4J3",N53=7),LOOKUP(N84,T!$M413:$M426,T!$G413:$G426),IF(AND(N51="4J3",N53=8),LOOKUP(N84,T!$M413:$M426,T!$H413:$H426),IF(AND(N51="4J3",N53=9),LOOKUP(N84,T!$M413:$M426,T!$I413:$I426),IF(AND(N51="4J3",N53=10),LOOKUP(N84,T!$M413:$M426,T!$J413:$J426),IF(AND(N51="4J3",N53=11),LOOKUP(N84,T!$M413:$M426,T!$K413:$K426),IF(AND(N51="4J3",N53=12),LOOKUP(N84,T!$M413:$M426,T!$L413:$L426),IF(AND(N51="4J4",N53=2),LOOKUP(N84,T!$H432:$H442,T!$B432:$B437),IF(AND(N51="4J4",N53=3),LOOKUP(N84,T!$H432:$H442,T!$C432:$C442),IF(AND(N51="4J4",N53=4),LOOKUP(N84,T!$H432:$H442,T!$D872:$D877),IF(AND(N51="4J4",N53=5),LOOKUP(N84,T!$H432:$H442,T!$E432:$E442),IF(AND(N51="4J4",N53=6),LOOKUP(N84,T!$H432:$H442,T!$F432:$F437),IF(AND(N51="4J4",N53=7),LOOKUP(N84,T!$H432:$H442,T!$G432:$G442),"-")))))))))))))))))))))))))))))))))))),"")))</f>
        <v/>
      </c>
      <c r="O35" s="135" t="str">
        <f>IF(N35&lt;&gt;"","A","")</f>
        <v/>
      </c>
    </row>
    <row r="36" spans="1:15" s="124" customFormat="1" ht="16">
      <c r="A36" s="161"/>
      <c r="B36" s="151"/>
      <c r="C36" s="152"/>
      <c r="D36" s="152"/>
      <c r="E36" s="152"/>
      <c r="F36" s="152"/>
      <c r="G36" s="152"/>
      <c r="H36" s="152"/>
      <c r="I36" s="152"/>
      <c r="J36" s="152"/>
      <c r="K36" s="152"/>
      <c r="L36" s="152"/>
      <c r="M36" s="152"/>
      <c r="N36" s="152"/>
      <c r="O36" s="143"/>
    </row>
    <row r="37" spans="1:15" s="124" customFormat="1" ht="16">
      <c r="A37" s="161"/>
      <c r="B37" s="151" t="s">
        <v>2082</v>
      </c>
      <c r="C37" s="152"/>
      <c r="D37" s="152" t="s">
        <v>2083</v>
      </c>
      <c r="E37" s="152" t="s">
        <v>2083</v>
      </c>
      <c r="F37" s="152" t="s">
        <v>2083</v>
      </c>
      <c r="G37" s="152" t="s">
        <v>2083</v>
      </c>
      <c r="H37" s="152" t="s">
        <v>2083</v>
      </c>
      <c r="I37" s="152" t="s">
        <v>2083</v>
      </c>
      <c r="J37" s="152" t="s">
        <v>2083</v>
      </c>
      <c r="K37" s="152" t="s">
        <v>2083</v>
      </c>
      <c r="L37" s="152" t="s">
        <v>2083</v>
      </c>
      <c r="M37" s="152"/>
      <c r="N37" s="152" t="s">
        <v>2083</v>
      </c>
      <c r="O37" s="143"/>
    </row>
    <row r="38" spans="1:15" s="124" customFormat="1" ht="16">
      <c r="A38" s="151"/>
      <c r="B38" s="151"/>
      <c r="C38" s="152"/>
      <c r="D38" s="152"/>
      <c r="E38" s="152"/>
      <c r="F38" s="152"/>
      <c r="G38" s="152"/>
      <c r="H38" s="152"/>
      <c r="I38" s="152"/>
      <c r="J38" s="152"/>
      <c r="K38" s="152"/>
      <c r="L38" s="152"/>
      <c r="M38" s="152"/>
      <c r="N38" s="152"/>
      <c r="O38" s="143"/>
    </row>
    <row r="39" spans="1:15" s="124" customFormat="1" ht="16">
      <c r="A39" s="151"/>
      <c r="B39" s="151" t="s">
        <v>2084</v>
      </c>
      <c r="C39" s="152"/>
      <c r="D39" s="152">
        <f>IF((D$17*1.15)&lt;&gt;0,IF((D$17*1.15)&lt;50,50,IF((D$17*1.15)&lt;100,100,IF((D$17*1.15)&lt;160,160,IF((D$17*1.15)&lt;250,250,IF((D$17*1.15)&lt;315,315,IF((D$17*1.15)&lt;400,400,IF((D$17*1.15)&lt;500,500,IF((D$17*1.15)&lt;630,630,IF((D$17*1.15)&lt;800,800,IF((D$17*1.15)&lt;1000,1000,IF((D$17*1.15)&lt;1250,1250,IF((D$17*1.15)&lt;1500,1500,IF((D$17*1.15)&lt;2000,2000,IF((D$17*1.15)&lt;2500,2500,IF((D$17*1.15)&lt;3000,3000,IF((D$17*1.15)&lt;3500,3500,IF((D$17*1.15)&lt;4000,4000,IF((D$17*1.15)&lt;4500,4500,IF((D$17*1.15)&lt;5000,5000,""))))))))))))))))))),"")</f>
        <v>50</v>
      </c>
      <c r="E39" s="152">
        <f ca="1">IF((E$17*1.15)&lt;&gt;0,IF((E$17*1.15)&lt;50,50,IF((E$17*1.15)&lt;100,100,IF((E$17*1.15)&lt;160,160,IF((E$17*1.15)&lt;250,250,IF((E$17*1.15)&lt;315,315,IF((E$17*1.15)&lt;400,400,IF((E$17*1.15)&lt;500,500,IF((E$17*1.15)&lt;630,630,IF((E$17*1.15)&lt;800,800,IF((E$17*1.15)&lt;1000,1000,IF((E$17*1.15)&lt;1250,1250,IF((E$17*1.15)&lt;1500,1500,IF((E$17*1.15)&lt;2000,2000,IF((E$17*1.15)&lt;2500,2500,IF((E$17*1.15)&lt;3000,3000,IF((E$17*1.15)&lt;3500,3500,IF((E$17*1.15)&lt;4000,4000,IF((E$17*1.15)&lt;4500,4500,IF((E$17*1.15)&lt;5000,5000,""))))))))))))))))))),"")</f>
        <v>50</v>
      </c>
      <c r="F39" s="152">
        <f t="shared" ref="F39:M39" ca="1" si="12">IF((F$17*1.15)&lt;&gt;0,IF((F$17*1.15)&lt;50,50,IF((F$17*1.15)&lt;100,100,IF((F$17*1.15)&lt;160,160,IF((F$17*1.15)&lt;250,250,IF((F$17*1.15)&lt;315,315,IF((F$17*1.15)&lt;400,400,IF((F$17*1.15)&lt;500,500,IF((F$17*1.15)&lt;630,630,IF((F$17*1.15)&lt;800,800,IF((F$17*1.15)&lt;1000,1000,IF((F$17*1.15)&lt;1250,1250,IF((F$17*1.15)&lt;1500,1500,IF((F$17*1.15)&lt;2000,2000,IF((F$17*1.15)&lt;2500,2500,IF((F$17*1.15)&lt;3000,3000,IF((F$17*1.15)&lt;3500,3500,IF((F$17*1.15)&lt;4000,4000,IF((F$17*1.15)&lt;4500,4500,IF((F$17*1.15)&lt;5000,5000,""))))))))))))))))))),"")</f>
        <v>50</v>
      </c>
      <c r="G39" s="152">
        <f t="shared" ca="1" si="12"/>
        <v>50</v>
      </c>
      <c r="H39" s="152">
        <f t="shared" ca="1" si="12"/>
        <v>50</v>
      </c>
      <c r="I39" s="152">
        <f t="shared" si="12"/>
        <v>250</v>
      </c>
      <c r="J39" s="152">
        <f t="shared" si="12"/>
        <v>50</v>
      </c>
      <c r="K39" s="152">
        <f>IF((K$17*1.15)&lt;&gt;0,IF((K$17*1.15)&lt;50,50,IF((K$17*1.15)&lt;100,100,IF((K$17*1.15)&lt;160,160,IF((K$17*1.15)&lt;250,250,IF((K$17*1.15)&lt;315,315,IF((K$17*1.15)&lt;400,400,IF((K$17*1.15)&lt;500,500,IF((K$17*1.15)&lt;630,630,IF((K$17*1.15)&lt;800,800,IF((K$17*1.15)&lt;1000,1000,IF((K$17*1.15)&lt;1250,1250,IF((K$17*1.15)&lt;1500,1500,IF((K$17*1.15)&lt;2000,2000,IF((K$17*1.15)&lt;2500,2500,IF((K$17*1.15)&lt;3000,3000,IF((K$17*1.15)&lt;3500,3500,IF((K$17*1.15)&lt;4000,4000,IF((K$17*1.15)&lt;4500,4500,IF((K$17*1.15)&lt;5000,5000,""))))))))))))))))))),"")</f>
        <v>160</v>
      </c>
      <c r="L39" s="152">
        <f>IF((L$17*1.15)&lt;&gt;0,IF((L$17*1.15)&lt;50,50,IF((L$17*1.15)&lt;100,100,IF((L$17*1.15)&lt;160,160,IF((L$17*1.15)&lt;250,250,IF((L$17*1.15)&lt;315,315,IF((L$17*1.15)&lt;400,400,IF((L$17*1.15)&lt;500,500,IF((L$17*1.15)&lt;630,630,IF((L$17*1.15)&lt;800,800,IF((L$17*1.15)&lt;1000,1000,IF((L$17*1.15)&lt;1250,1250,IF((L$17*1.15)&lt;1500,1500,IF((L$17*1.15)&lt;2000,2000,IF((L$17*1.15)&lt;2500,2500,IF((L$17*1.15)&lt;3000,3000,IF((L$17*1.15)&lt;3500,3500,IF((L$17*1.15)&lt;4000,4000,IF((L$17*1.15)&lt;4500,4500,IF((L$17*1.15)&lt;5000,5000,""))))))))))))))))))),"")</f>
        <v>400</v>
      </c>
      <c r="M39" s="152" t="str">
        <f t="shared" si="12"/>
        <v/>
      </c>
      <c r="N39" s="162">
        <f>IF(N$17&lt;&gt;0,IF(N$17&lt;50,50,IF(N$17&lt;100,100,IF(N$17&lt;160,160,IF(N$17&lt;250,250,IF(N$17&lt;315,315,IF(N$17&lt;400,400,IF(N$17&lt;500,500,IF(N$17&lt;630,630,IF(N$17&lt;800,800,IF(N$17&lt;1000,1000,IF(N$17&lt;1250,1250,IF(N$17&lt;1500,1500,IF(N$17&lt;2000,2000,IF(N$17&lt;2500,2500,IF(N$17&lt;3000,3000,IF(N$17&lt;3500,3500,IF(N$17&lt;4000,4000,IF(N$17&lt;4500,4500,IF(N$17&lt;5000,5000,""))))))))))))))))))),"")</f>
        <v>250</v>
      </c>
      <c r="O39" s="143" t="str">
        <f>IF(N39&lt;&gt;"","kVA","")</f>
        <v>kVA</v>
      </c>
    </row>
    <row r="40" spans="1:15" s="124" customFormat="1" ht="16">
      <c r="A40" s="151"/>
      <c r="B40" s="151"/>
      <c r="C40" s="152"/>
      <c r="D40" s="152"/>
      <c r="E40" s="152"/>
      <c r="F40" s="152"/>
      <c r="G40" s="152"/>
      <c r="H40" s="152"/>
      <c r="I40" s="152"/>
      <c r="J40" s="152"/>
      <c r="K40" s="152"/>
      <c r="L40" s="152"/>
      <c r="M40" s="152"/>
      <c r="N40" s="152"/>
      <c r="O40" s="143"/>
    </row>
    <row r="41" spans="1:15" s="124" customFormat="1" ht="16">
      <c r="A41" s="151"/>
      <c r="B41" s="151" t="s">
        <v>2085</v>
      </c>
      <c r="C41" s="152"/>
      <c r="D41" s="152">
        <f>IF((D$13*1.25)&lt;&gt;0,IF((D$13*1.25)&lt;0.65,0.65,IF((D$13*1.25)&lt;0.85,0.85,IF((D$13*1.25)&lt;1,1,IF((D$13*1.25)&lt;1.2,1.2,IF((D$13*1.25)&lt;1.5,1.5,IF((D$13*1.25)&lt;2,2,IF((D$13*1.25)&lt;3,3,IF((D$13*1.25)&lt;5,5,IF((D$13*1.25)&lt;6,6,IF((D$13*1.25)&lt;8,8,IF((D$13*1.25)&lt;10,10,IF((D$13*1.25)&lt;15,15,IF((D$13*1.25)&lt;20,20,IF((D$13*1.25)&lt;25,25,IF((D$13*1.25)&lt;30,30,IF((D$13*1.25)&lt;40,40,IF((D$13*1.25)&lt;50,50,IF((D$13*1.25)&lt;60,60,IF((D$13*1.25)&lt;80,80,IF((D$13*1.25)&lt;100,100,IF((D$13*1.25)&lt;120,120,IF((D$13*1.25)&lt;150,150,IF((D$13*1.25)&lt;200,200,IF((D$13*1.25)&lt;250,250,IF((D$13*1.25)&lt;300,300,IF((D$13*1.25)&lt;350,350,IF((D$13*1.25)&lt;400,400,IF((D$13*1.25)&lt;500,500,IF((D$13*1.25)&lt;600,600,IF((D$13*1.25)&lt;700,700,IF((D$13*1.25)&lt;800,800,IF((D$13*1.25)&lt;900,900,IF((D$13*1.25)&lt;1000,1000,IF((D$13*1.25)&lt;1200,1200,IF((D$13*1.25)&lt;1400,1400,IF((D$13*1.25)&lt;1500,1500,IF((D$13*1.25)&lt;1800,1800,IF((D$13*1.25)&lt;2000,2000,IF((D$13*1.25)&lt;2500,2500,IF((D$13*1.25)&lt;3000,3000,"")))))))))))))))))))))))))))))))))))))))),"")</f>
        <v>8</v>
      </c>
      <c r="E41" s="152">
        <f ca="1">IF((E$13*1.25)&lt;&gt;0,IF((E$13*1.25)&lt;0.65,0.65,IF((E$13*1.25)&lt;0.85,0.85,IF((E$13*1.25)&lt;1,1,IF((E$13*1.25)&lt;1.2,1.2,IF((E$13*1.25)&lt;1.5,1.5,IF((E$13*1.25)&lt;2,2,IF((E$13*1.25)&lt;3,3,IF((E$13*1.25)&lt;5,5,IF((E$13*1.25)&lt;6,6,IF((E$13*1.25)&lt;8,8,IF((E$13*1.25)&lt;10,10,IF((E$13*1.25)&lt;15,15,IF((E$13*1.25)&lt;20,20,IF((E$13*1.25)&lt;25,25,IF((E$13*1.25)&lt;30,30,IF((E$13*1.25)&lt;40,40,IF((E$13*1.25)&lt;50,50,IF((E$13*1.25)&lt;60,60,IF((E$13*1.25)&lt;80,80,IF((E$13*1.25)&lt;100,100,IF((E$13*1.25)&lt;120,120,IF((E$13*1.25)&lt;150,150,IF((E$13*1.25)&lt;200,200,IF((E$13*1.25)&lt;250,250,IF((E$13*1.25)&lt;300,300,IF((E$13*1.25)&lt;350,350,IF((E$13*1.25)&lt;400,400,IF((E$13*1.25)&lt;500,500,IF((E$13*1.25)&lt;600,600,IF((E$13*1.25)&lt;700,700,IF((E$13*1.25)&lt;800,800,IF((E$13*1.25)&lt;900,900,IF((E$13*1.25)&lt;1000,1000,IF((E$13*1.25)&lt;1200,1200,IF((E$13*1.25)&lt;1400,1400,IF((E$13*1.25)&lt;1500,1500,IF((E$13*1.25)&lt;1800,1800,IF((E$13*1.25)&lt;2000,2000,IF((E$13*1.25)&lt;2500,2500,IF((E$13*1.25)&lt;3000,3000,"")))))))))))))))))))))))))))))))))))))))),"")</f>
        <v>8</v>
      </c>
      <c r="F41" s="152">
        <f t="shared" ref="F41:M41" ca="1" si="13">IF((F$13*1.25)&lt;&gt;0,IF((F$13*1.25)&lt;0.65,0.65,IF((F$13*1.25)&lt;0.85,0.85,IF((F$13*1.25)&lt;1,1,IF((F$13*1.25)&lt;1.2,1.2,IF((F$13*1.25)&lt;1.5,1.5,IF((F$13*1.25)&lt;2,2,IF((F$13*1.25)&lt;3,3,IF((F$13*1.25)&lt;5,5,IF((F$13*1.25)&lt;6,6,IF((F$13*1.25)&lt;8,8,IF((F$13*1.25)&lt;10,10,IF((F$13*1.25)&lt;15,15,IF((F$13*1.25)&lt;20,20,IF((F$13*1.25)&lt;25,25,IF((F$13*1.25)&lt;30,30,IF((F$13*1.25)&lt;40,40,IF((F$13*1.25)&lt;50,50,IF((F$13*1.25)&lt;60,60,IF((F$13*1.25)&lt;80,80,IF((F$13*1.25)&lt;100,100,IF((F$13*1.25)&lt;120,120,IF((F$13*1.25)&lt;150,150,IF((F$13*1.25)&lt;200,200,IF((F$13*1.25)&lt;250,250,IF((F$13*1.25)&lt;300,300,IF((F$13*1.25)&lt;350,350,IF((F$13*1.25)&lt;400,400,IF((F$13*1.25)&lt;500,500,IF((F$13*1.25)&lt;600,600,IF((F$13*1.25)&lt;700,700,IF((F$13*1.25)&lt;800,800,IF((F$13*1.25)&lt;900,900,IF((F$13*1.25)&lt;1000,1000,IF((F$13*1.25)&lt;1200,1200,IF((F$13*1.25)&lt;1400,1400,IF((F$13*1.25)&lt;1500,1500,IF((F$13*1.25)&lt;1800,1800,IF((F$13*1.25)&lt;2000,2000,IF((F$13*1.25)&lt;2500,2500,IF((F$13*1.25)&lt;3000,3000,"")))))))))))))))))))))))))))))))))))))))),"")</f>
        <v>8</v>
      </c>
      <c r="G41" s="152">
        <f t="shared" ca="1" si="13"/>
        <v>8</v>
      </c>
      <c r="H41" s="152">
        <f t="shared" ca="1" si="13"/>
        <v>8</v>
      </c>
      <c r="I41" s="152">
        <f t="shared" si="13"/>
        <v>300</v>
      </c>
      <c r="J41" s="152">
        <f t="shared" si="13"/>
        <v>8</v>
      </c>
      <c r="K41" s="152">
        <f>IF((K$13*1.25)&lt;&gt;0,IF((K$13*1.25)&lt;0.65,0.65,IF((K$13*1.25)&lt;0.85,0.85,IF((K$13*1.25)&lt;1,1,IF((K$13*1.25)&lt;1.2,1.2,IF((K$13*1.25)&lt;1.5,1.5,IF((K$13*1.25)&lt;2,2,IF((K$13*1.25)&lt;3,3,IF((K$13*1.25)&lt;5,5,IF((K$13*1.25)&lt;6,6,IF((K$13*1.25)&lt;8,8,IF((K$13*1.25)&lt;10,10,IF((K$13*1.25)&lt;15,15,IF((K$13*1.25)&lt;20,20,IF((K$13*1.25)&lt;25,25,IF((K$13*1.25)&lt;30,30,IF((K$13*1.25)&lt;40,40,IF((K$13*1.25)&lt;50,50,IF((K$13*1.25)&lt;60,60,IF((K$13*1.25)&lt;80,80,IF((K$13*1.25)&lt;100,100,IF((K$13*1.25)&lt;120,120,IF((K$13*1.25)&lt;150,150,IF((K$13*1.25)&lt;200,200,IF((K$13*1.25)&lt;250,250,IF((K$13*1.25)&lt;300,300,IF((K$13*1.25)&lt;350,350,IF((K$13*1.25)&lt;400,400,IF((K$13*1.25)&lt;500,500,IF((K$13*1.25)&lt;600,600,IF((K$13*1.25)&lt;700,700,IF((K$13*1.25)&lt;800,800,IF((K$13*1.25)&lt;900,900,IF((K$13*1.25)&lt;1000,1000,IF((K$13*1.25)&lt;1200,1200,IF((K$13*1.25)&lt;1400,1400,IF((K$13*1.25)&lt;1500,1500,IF((K$13*1.25)&lt;1800,1800,IF((K$13*1.25)&lt;2000,2000,IF((K$13*1.25)&lt;2500,2500,IF((K$13*1.25)&lt;3000,3000,"")))))))))))))))))))))))))))))))))))))))),"")</f>
        <v>200</v>
      </c>
      <c r="L41" s="152">
        <f>IF((L$13*1.25)&lt;&gt;0,IF((L$13*1.25)&lt;0.65,0.65,IF((L$13*1.25)&lt;0.85,0.85,IF((L$13*1.25)&lt;1,1,IF((L$13*1.25)&lt;1.2,1.2,IF((L$13*1.25)&lt;1.5,1.5,IF((L$13*1.25)&lt;2,2,IF((L$13*1.25)&lt;3,3,IF((L$13*1.25)&lt;5,5,IF((L$13*1.25)&lt;6,6,IF((L$13*1.25)&lt;8,8,IF((L$13*1.25)&lt;10,10,IF((L$13*1.25)&lt;15,15,IF((L$13*1.25)&lt;20,20,IF((L$13*1.25)&lt;25,25,IF((L$13*1.25)&lt;30,30,IF((L$13*1.25)&lt;40,40,IF((L$13*1.25)&lt;50,50,IF((L$13*1.25)&lt;60,60,IF((L$13*1.25)&lt;80,80,IF((L$13*1.25)&lt;100,100,IF((L$13*1.25)&lt;120,120,IF((L$13*1.25)&lt;150,150,IF((L$13*1.25)&lt;200,200,IF((L$13*1.25)&lt;250,250,IF((L$13*1.25)&lt;300,300,IF((L$13*1.25)&lt;350,350,IF((L$13*1.25)&lt;400,400,IF((L$13*1.25)&lt;500,500,IF((L$13*1.25)&lt;600,600,IF((L$13*1.25)&lt;700,700,IF((L$13*1.25)&lt;800,800,IF((L$13*1.25)&lt;900,900,IF((L$13*1.25)&lt;1000,1000,IF((L$13*1.25)&lt;1200,1200,IF((L$13*1.25)&lt;1400,1400,IF((L$13*1.25)&lt;1500,1500,IF((L$13*1.25)&lt;1800,1800,IF((L$13*1.25)&lt;2000,2000,IF((L$13*1.25)&lt;2500,2500,IF((L$13*1.25)&lt;3000,3000,"")))))))))))))))))))))))))))))))))))))))),"")</f>
        <v>400</v>
      </c>
      <c r="M41" s="152" t="str">
        <f t="shared" si="13"/>
        <v/>
      </c>
      <c r="N41" s="162">
        <f>IF(N$17&lt;&gt;0,IF(N$17&lt;0.65,0.65,IF(N$17&lt;0.85,0.85,IF(N$17&lt;1,1,IF(N$17&lt;1.2,1.2,IF(N$17&lt;1.5,1.5,IF(N$17&lt;2,2,IF(N$17&lt;3,3,IF(N$17&lt;5,5,IF(N$17&lt;6,6,IF(N$17&lt;8,8,IF(N$17&lt;10,10,IF(N$17&lt;15,15,IF(N$17&lt;20,20,IF(N$17&lt;25,25,IF(N$17&lt;30,30,IF(N$17&lt;40,40,IF(N$17&lt;50,50,IF(N$17&lt;60,60,IF(N$17&lt;80,80,IF(N$17&lt;100,100,IF(N$17&lt;120,120,IF(N$17&lt;150,150,IF(N$17&lt;200,200,IF(N$17&lt;250,250,IF(N$17&lt;300,300,IF(N$17&lt;350,350,IF(N$17&lt;400,400,IF(N$17&lt;500,500,IF(N$17&lt;600,600,IF(N$17&lt;700,700,IF(N$17&lt;800,800,IF(N$17&lt;900,900,IF(N$17&lt;1000,1000,IF(N$17&lt;1200,1200,IF(N$17&lt;1400,1400,IF(N$17&lt;1500,1500,IF(N$17&lt;1800,1800,IF(N$17&lt;2000,2000,IF(N$17&lt;2500,2500,IF(N$17&lt;3000,3000,"")))))))))))))))))))))))))))))))))))))))),"")</f>
        <v>250</v>
      </c>
      <c r="O41" s="143" t="str">
        <f>IF(N41&lt;&gt;"","kVA","")</f>
        <v>kVA</v>
      </c>
    </row>
    <row r="42" spans="1:15" s="124" customFormat="1" ht="16">
      <c r="A42" s="151"/>
      <c r="B42" s="151"/>
      <c r="C42" s="152"/>
      <c r="D42" s="152"/>
      <c r="E42" s="152"/>
      <c r="F42" s="152"/>
      <c r="G42" s="152"/>
      <c r="H42" s="152"/>
      <c r="I42" s="152"/>
      <c r="J42" s="152"/>
      <c r="K42" s="152"/>
      <c r="L42" s="152"/>
      <c r="M42" s="152"/>
      <c r="N42" s="152"/>
      <c r="O42" s="143"/>
    </row>
    <row r="43" spans="1:15" s="124" customFormat="1" ht="16">
      <c r="A43" s="161"/>
      <c r="B43" s="151" t="s">
        <v>2086</v>
      </c>
      <c r="C43" s="152"/>
      <c r="D43" s="152">
        <f t="shared" ref="D43:J43" si="14">IF(D29="","",IF(D94&lt;&gt;0,IF(D45&lt;=16,D45,IF(AND(D45&gt;=16,D45&lt;=35),16,IF(D45&lt;=50,25,IF(D45&lt;=70,35,IF(D45&lt;=95,50,IF(D45&lt;=120,70,IF(D45&lt;=150,95,IF(D45&lt;=185,95,IF(D45&lt;=240,120,IF(D45&lt;=300,150,IF(D45&lt;=400,240,IF(D45&lt;=500,300,IF(D45&lt;=630,400,IF(D45&lt;=1000,500,IF(D45&lt;=2000,1000))))))))))))))),IF(D98&lt;&gt;0,IF(D45&lt;=16,D45,IF(AND(D45&gt;=16,D45&lt;=35),16,IF(D45&lt;=50,25,IF(D45&lt;=70,35,IF(D45&lt;=95,50,IF(D45&lt;=120,70,IF(D45&lt;=150,95,IF(D45&lt;=185,95,IF(D45&lt;=240,120,IF(D45&lt;=300,150,IF(D45&lt;=380,240,IF(D45&lt;=480,240,IF(D45&lt;=600,300,IF(D45&lt;=740,380,IF(D45&lt;=960,480,IF(D45&lt;=1200,600,"")))))))))))))))),"")))</f>
        <v>4</v>
      </c>
      <c r="E43" s="152">
        <f t="shared" ca="1" si="14"/>
        <v>4</v>
      </c>
      <c r="F43" s="152">
        <f t="shared" ca="1" si="14"/>
        <v>6</v>
      </c>
      <c r="G43" s="152">
        <f t="shared" ca="1" si="14"/>
        <v>10</v>
      </c>
      <c r="H43" s="152">
        <f ca="1">IF(H29="","",IF(H94&lt;&gt;0,IF(H45&lt;=16,H45,IF(AND(H45&gt;=16,H45&lt;=35),16,IF(H45&lt;=50,25,IF(H45&lt;=70,35,IF(H45&lt;=95,50,IF(H45&lt;=120,70,IF(H45&lt;=150,95,IF(H45&lt;=185,95,IF(H45&lt;=240,120,IF(H45&lt;=300,150,IF(H45&lt;=400,240,IF(H45&lt;=500,300,IF(H45&lt;=630,400,IF(H45&lt;=1000,500,IF(H45&lt;=2000,1000))))))))))))))),IF(H98&lt;&gt;0,IF(H45&lt;=16,H45,IF(AND(H45&gt;=16,H45&lt;=35),16,IF(H45&lt;=50,25,IF(H45&lt;=70,35,IF(H45&lt;=95,50,IF(H45&lt;=120,70,IF(H45&lt;=150,95,IF(H45&lt;=185,95,IF(H45&lt;=240,120,IF(H45&lt;=300,150,IF(H45&lt;=380,240,IF(H45&lt;=480,240,IF(H45&lt;=600,300,IF(H45&lt;=740,380,IF(H45&lt;=960,480,IF(H45&lt;=1200,600,"")))))))))))))))),"")))</f>
        <v>16</v>
      </c>
      <c r="I43" s="152" t="str">
        <f t="shared" si="14"/>
        <v/>
      </c>
      <c r="J43" s="152">
        <f t="shared" si="14"/>
        <v>4</v>
      </c>
      <c r="K43" s="152">
        <f>IF(K29="","",IF(K94&lt;&gt;0,IF(K45&lt;=16,K45,IF(AND(K45&gt;=16,K45&lt;=35),16,IF(K45&lt;=50,25,IF(K45&lt;=70,35,IF(K45&lt;=95,50,IF(K45&lt;=120,70,IF(K45&lt;=150,95,IF(K45&lt;=185,95,IF(K45&lt;=240,120,IF(K45&lt;=300,150,IF(K45&lt;=400,240,IF(K45&lt;=500,300,IF(K45&lt;=630,400,IF(K45&lt;=1000,500,IF(K45&lt;=2000,1000))))))))))))))),IF(K98&lt;&gt;0,IF(K45&lt;=16,K45,IF(AND(K45&gt;=16,K45&lt;=35),16,IF(K45&lt;=50,25,IF(K45&lt;=70,35,IF(K45&lt;=95,50,IF(K45&lt;=120,70,IF(K45&lt;=150,95,IF(K45&lt;=185,95,IF(K45&lt;=240,120,IF(K45&lt;=300,150,IF(K45&lt;=380,240,IF(K45&lt;=480,240,IF(K45&lt;=600,300,IF(K45&lt;=740,380,IF(K45&lt;=960,480,IF(K45&lt;=1200,600,"")))))))))))))))),"")))</f>
        <v>4</v>
      </c>
      <c r="L43" s="152">
        <f>IF(L29="","",IF(L94&lt;&gt;0,IF(L45&lt;=16,L45,IF(AND(L45&gt;=16,L45&lt;=35),16,IF(L45&lt;=50,25,IF(L45&lt;=70,35,IF(L45&lt;=95,50,IF(L45&lt;=120,70,IF(L45&lt;=150,95,IF(L45&lt;=185,95,IF(L45&lt;=240,120,IF(L45&lt;=300,150,IF(L45&lt;=400,240,IF(L45&lt;=500,300,IF(L45&lt;=630,400,IF(L45&lt;=1000,500,IF(L45&lt;=2000,1000))))))))))))))),IF(L98&lt;&gt;0,IF(L45&lt;=16,L45,IF(AND(L45&gt;=16,L45&lt;=35),16,IF(L45&lt;=50,25,IF(L45&lt;=70,35,IF(L45&lt;=95,50,IF(L45&lt;=120,70,IF(L45&lt;=150,95,IF(L45&lt;=185,95,IF(L45&lt;=240,120,IF(L45&lt;=300,150,IF(L45&lt;=380,240,IF(L45&lt;=480,240,IF(L45&lt;=600,300,IF(L45&lt;=740,380,IF(L45&lt;=960,480,IF(L45&lt;=1200,600,"")))))))))))))))),"")))</f>
        <v>6</v>
      </c>
      <c r="M43" s="152" t="str">
        <f>IF(M29="","",IF(M94&lt;&gt;0,IF(M45&lt;=16,M45,IF(AND(M45&gt;=16,M45&lt;=35),16,IF(M45&lt;=50,25,IF(M45&lt;=70,35,IF(M45&lt;=95,50,IF(M45&lt;=120,70,IF(M45&lt;=150,95,IF(M45&lt;=185,95,IF(M45&lt;=240,120,IF(M45&lt;=300,150,IF(M45&lt;=400,240,IF(M45&lt;=500,300,IF(M45&lt;=630,400,IF(M45&lt;=1000,500,IF(M45&lt;=2000,1000))))))))))))))),IF(M98&lt;&gt;0,IF(M45&lt;=16,M45,IF(AND(M45&gt;=16,M45&lt;=35),16,IF(M45&lt;=50,25,IF(M45&lt;=70,35,IF(M45&lt;=95,50,IF(M45&lt;=120,70,IF(M45&lt;=150,95,IF(M45&lt;=185,95,IF(M45&lt;=240,120,IF(M45&lt;=300,150,IF(M45&lt;=380,240,IF(M45&lt;=480,240,IF(M45&lt;=600,300,IF(M45&lt;=740,380,IF(M45&lt;=960,480,IF(M45&lt;=1200,600,"")))))))))))))))),"")))</f>
        <v/>
      </c>
      <c r="N43" s="152">
        <f>IF(N29="","",IF(N94&lt;&gt;0,IF(N45&lt;=16,N45,IF(AND(N45&gt;=16,N45&lt;=35),16,IF(N45&lt;=50,25,IF(N45&lt;=70,35,IF(N45&lt;=95,50,IF(N45&lt;=120,70,IF(N45&lt;=150,95,IF(N45&lt;=185,95,IF(N45&lt;=240,120,IF(N45&lt;=300,150,IF(N45&lt;=400,240,IF(N45&lt;=500,300,IF(N45&lt;=630,400,IF(N45&lt;=1000,500,IF(N45&lt;=2000,1000))))))))))))))),IF(N98&lt;&gt;0,IF(N45&lt;=16,N45,IF(AND(N45&gt;=16,N45&lt;=35),16,IF(N45&lt;=50,25,IF(N45&lt;=70,35,IF(N45&lt;=95,50,IF(N45&lt;=120,70,IF(N45&lt;=150,95,IF(N45&lt;=185,95,IF(N45&lt;=240,120,IF(N45&lt;=300,150,IF(N45&lt;=380,240,IF(N45&lt;=480,240,IF(N45&lt;=600,300,IF(N45&lt;=740,380,IF(N45&lt;=960,480,IF(N45&lt;=1200,600,"")))))))))))))))),"")))</f>
        <v>70</v>
      </c>
      <c r="O43" s="143" t="str">
        <f>IF(L43&lt;&gt;"","mm²","")</f>
        <v>mm²</v>
      </c>
    </row>
    <row r="44" spans="1:15" s="124" customFormat="1" ht="16">
      <c r="A44" s="151"/>
      <c r="B44" s="151"/>
      <c r="C44" s="152"/>
      <c r="D44" s="152"/>
      <c r="E44" s="152"/>
      <c r="F44" s="152"/>
      <c r="G44" s="152"/>
      <c r="H44" s="152"/>
      <c r="I44" s="152"/>
      <c r="J44" s="152"/>
      <c r="K44" s="152"/>
      <c r="L44" s="152"/>
      <c r="M44" s="152"/>
      <c r="N44" s="152"/>
      <c r="O44" s="143"/>
    </row>
    <row r="45" spans="1:15" s="124" customFormat="1" ht="16">
      <c r="A45" s="129"/>
      <c r="B45" s="127" t="s">
        <v>2087</v>
      </c>
      <c r="C45" s="129"/>
      <c r="D45" s="129">
        <f>IF(COUNT(D78:D79)&gt;=1,D84,IF(COUNT(D80)&gt;=1,D83,""))</f>
        <v>4</v>
      </c>
      <c r="E45" s="129">
        <f ca="1">IF(COUNT(E78:E79)&gt;=1,E84,IF(COUNT(E80)&gt;=1,E83,""))</f>
        <v>4</v>
      </c>
      <c r="F45" s="129">
        <f t="shared" ref="F45:M45" ca="1" si="15">IF(COUNT(F78:F79)&gt;=1,F84,IF(COUNT(F80)&gt;=1,F83,""))</f>
        <v>6</v>
      </c>
      <c r="G45" s="129">
        <f t="shared" ca="1" si="15"/>
        <v>10</v>
      </c>
      <c r="H45" s="129">
        <f ca="1">IF(COUNT(H78:H79)&gt;=1,H84,IF(COUNT(H80)&gt;=1,H83,""))</f>
        <v>16</v>
      </c>
      <c r="I45" s="129">
        <f t="shared" si="15"/>
        <v>25</v>
      </c>
      <c r="J45" s="129">
        <f t="shared" si="15"/>
        <v>4</v>
      </c>
      <c r="K45" s="129">
        <f>IF(COUNT(K78:K79)&gt;=1,K84,IF(COUNT(K80)&gt;=1,K83,""))</f>
        <v>4</v>
      </c>
      <c r="L45" s="129">
        <f>IF(COUNT(L78:L79)&gt;=1,L84,IF(COUNT(L80)&gt;=1,L83,""))</f>
        <v>6</v>
      </c>
      <c r="M45" s="129" t="str">
        <f t="shared" si="15"/>
        <v/>
      </c>
      <c r="N45" s="164">
        <f>IF(COUNT(N78:N79)&gt;=1,N84,IF(COUNT(N80)&gt;=1,N83,""))</f>
        <v>120</v>
      </c>
      <c r="O45" s="128" t="str">
        <f>IF(L45&lt;&gt;"","mm²","")</f>
        <v>mm²</v>
      </c>
    </row>
    <row r="46" spans="1:15" s="124" customFormat="1" ht="18.75" customHeight="1">
      <c r="A46" s="165"/>
      <c r="B46" s="151"/>
      <c r="C46" s="152"/>
      <c r="D46" s="152"/>
      <c r="E46" s="152"/>
      <c r="F46" s="152"/>
      <c r="G46" s="152"/>
      <c r="H46" s="152"/>
      <c r="I46" s="152"/>
      <c r="J46" s="152"/>
      <c r="K46" s="152"/>
      <c r="L46" s="152"/>
      <c r="M46" s="152"/>
      <c r="N46" s="152"/>
      <c r="O46" s="143"/>
    </row>
    <row r="47" spans="1:15" s="168" customFormat="1" ht="193.5" customHeight="1">
      <c r="A47" s="166" t="s">
        <v>2088</v>
      </c>
      <c r="B47" s="167" t="s">
        <v>2089</v>
      </c>
      <c r="C47" s="156"/>
      <c r="D47" s="156" t="str">
        <f t="shared" ref="D47:M47" si="16">IF(D27="","",IF(AND(OR(ISNUMBER(SEARCH("4D",D51)),ISNUMBER(SEARCH("4E",D51)),ISNUMBER(SEARCH("4F",D51)),ISNUMBER(SEARCH("4G",D51))),D45&lt;&gt;""),ROUNDUP(D29/MAX(D33:D35),0)&amp;"No.   ","")&amp;IF(OR(D51="4D1",D51="4D2",D51="4D3",D51="4D4",D51="4D5"),IF(AND(D51="4D1",D53&gt;1,D53&lt;13),"Single Core, Non-Armour, ",IF(AND(D51="4D2",D53&gt;1,D53&lt;10),"Multi Core, Thermo-plastic Sheath, Non-Armour, ",IF(AND(D51="4D3",D53&gt;1,D53&lt;13),"Single Core, Armour, ",IF(AND(D51="4D4",D53&gt;1,D53&lt;8),"Multi Core, Armour, ",IF(AND(D51="4D5",D53&gt;1,D53&lt;8),"Sheath, Flat, Protective Conductor, ","")))))&amp;IF(AND(OR(D51="4D1"),D53=2),"Ref A, 2_Cables",IF(AND(OR(D51="4D1"),D53=3),"Ref_A,   3 or 4 Cables",IF(AND(OR(D51="4D1"),D53=4),"Ref B, 2_Cables",IF(AND(OR(D51="4D1"),D53=5),"Ref_B,    3 or 4 Cables",IF(AND(OR(D51="4D1"),D53=6),"Ref C, 2_Cables Touching Flat",IF(AND(OR(D51="4D1"),D53=7),"Ref_C,   3 or 4 Cables, Touching",IF(AND(OR(D51="4D1"),D53=8),"Ref F, 2_Cables Touching Flat",IF(AND(OR(D51="4D1"),D53=9),"Ref_F,   3_Cables Touching Flat",IF(AND(OR(D51="4D1"),D53=10),"Ref_F,   3_Cables Touching Trefoil",IF(AND(OR(D51="4D1"),D53=11),"Ref_F,     2 or 3 Cables Spaced Flat Horizontal",IF(AND(OR(D51="4D1"),D53=12),"Ref_F,    2 or 3 Cables Spaced Flat Vertical",IF(AND(OR(D51="4D2"),D53=2),"Ref A, 2_Cables",IF(AND(OR(D51="4D2"),D53=3),"Ref_A,   3 or 4 Cables",IF(AND(OR(D51="4D2"),D53=4),"Ref B, 2_Cables",IF(AND(OR(D51="4D2"),D53=5),"Ref_B,    3 or 4 Cables",IF(AND(OR(D51="4D2"),D53=6),"Ref C, 2_Cables",IF(AND(OR(D51="4D2"),D53=7),"Ref_C,   3 or 4 Cables",IF(AND(OR(D51="4D2"),D53=8),"Ref E, 2_Cables",IF(AND(OR(D51="4D2"),D53=9),"Ref_E,    3 or 4 Cables",IF(AND(OR(D51="4D3"),D53=2),"Ref C, 2_Cables Touching Flat",IF(AND(OR(D51="4D3"),D53=3),"Ref_C,   3 or 4 Cables Touching Flat",IF(AND(OR(D51="4D3"),D53=4),"Ref F, 2_Cables Touching Flat",IF(AND(OR(D51="4D3"),D53=5),"Ref_F,    3 or 4 Cables Touching Flat",IF(AND(OR(D51="4D3"),D53=6),"Ref F, 2_Cables Touching Trefoil",IF(AND(OR(D51="4D3"),D53=7),"Ref_F, 2_Cables, Spaced Horizontal DC",IF(AND(OR(D51="4D3"),D53=8),"Ref F, 2_Cables  Spaced Vertical DC",IF(AND(OR(D51="4D3"),D53=9),"Ref_F, 2_Cables, Spaced Horizontal AC",IF(AND(OR(D51="4D3"),D53=10),"Ref_F, 2_Cables, Spaced Vertical DC",IF(AND(OR(D51="4D3"),D53=11),"Ref_F,    3 or 4 Cables Spaced Horizontal",IF(AND(OR(D51="4D3"),D53=12),"Ref_F,    3 or 4 Cables Spaced Vertical",IF(AND(OR(D51="4D4"),D53=2),"Ref C, 2_Cables",IF(AND(OR(D51="4D4"),D53=3),"Ref_C,   3 or 4 Cables",IF(AND(OR(D51="4D4"),D53=4),"Ref E, 2_Cables",IF(AND(OR(D51="4D4"),D53=5),"Ref_E,    3 or 4 Cables",IF(AND(OR(D51="4D4"),D53=6),"Ref D, 2_Cables",IF(AND(OR(D51="4D4"),D53=7),"Ref_D,   3 or 4 Cables",IF(AND(OR(D51="4D5"),D53=2),"Method 100",IF(AND(OR(D51="4D5"),D53=3),"Method 101",IF(AND(OR(D51="4D5"),D53=4),"Method 102",IF(AND(OR(D51="4D5"),D53=5),"Method 103",IF(AND(OR(D51="4D5"),D53=6),"Ref C",IF(AND(OR(D51="4D5"),D53=7),"Ref_A","")))))))))))))))))))))))))))))))))))))))))),IF(OR(D51="4E1",D51="4E2",D51="4E3",D51="4E4"),IF(AND(D51="4E1",D53&gt;1,D53&lt;13),"Single Core, Non-Armour ",IF(AND(D51="4E2",D53&gt;1,D53&lt;10),"Multi Core, Thermo-plastic Sheath, Non-Armour ",IF(AND(D51="4E3",D53&gt;1,D53&lt;13),"Single Core, Armour ",IF(AND(D51="4E4",D53&gt;1,D53&lt;8),"Multi Core, Armour ",""))))&amp;IF(AND(OR(D51="4E1"),D53=2),"Ref A, 2_Cables",IF(AND(OR(D51="4E1"),D53=3),"Ref_A,   3 or 4 Cables",IF(AND(OR(D51="4E1"),D53=4),"Ref B, 2_Cables",IF(AND(OR(D51="4E1"),D53=5),"Ref_B,    3 or 4 Cables",IF(AND(OR(D51="4E1"),D53=6),"Ref C, 2_Cables Touching Flat",IF(AND(OR(D51="4E1"),D53=7),"Ref_C,   3 or 4 Cables, Touching",IF(AND(OR(D51="4E1"),D53=8),"Ref F, 2_Cables Touching Flat",IF(AND(OR(D51="4E1"),D53=9),"Ref_F,   3_Cables Touching Flat",IF(AND(OR(D51="4E1"),D53=10),"Ref_F,   3_Cables Touching Trefoil",IF(AND(OR(D51="4E1"),D53=11),"Ref_F,     2 or 3 Cables Spaced Flat Horizontal",IF(AND(OR(D51="4E1"),D53=12),"Ref_F,    2 or 3 Cables Spaced Flat Vertical",IF(AND(OR(D51="4E2"),D53=2),"Ref A, 2_Cables",IF(AND(OR(D51="4E2"),D53=3),"Ref_A,   3 or 4 Cables",IF(AND(OR(D51="4E2"),D53=4),"Ref B, 2_Cables",IF(AND(OR(D51="4E2"),D53=5),"Ref_B,    3 or 4 Cables",IF(AND(OR(D51="4E2"),D53=6),"Ref C, 2_Cables",IF(AND(OR(D51="4E2"),D53=7),"Ref_C,   3 or 4 Cables",IF(AND(OR(D51="4E2"),D53=8),"Ref E, 2_Cables",IF(AND(OR(D51="4E2"),D53=9),"Ref_E,    3 or 4 Cables",IF(AND(OR(D51="4E3"),D53=2),"Ref C, 2_Cables Touching Flat",IF(AND(OR(D51="4E3"),D53=3),"Ref_C,   3 or 4 Cables Touching Flat",IF(AND(OR(D51="4E3"),D53=4),"Ref F, 2_Cables Touching Flat",IF(AND(OR(D51="4E3"),D53=5),"Ref_F,     3 or 4 Cables Touching Flat",IF(AND(OR(D51="4E3"),D53=6),"Ref F, 2_Cables Touching Trefoil",IF(AND(OR(D51="4E3"),D53=7),"Ref_F, 2_Cables, Spaced Horizontal DC",IF(AND(OR(D51="4E3"),D53=8),"Ref F, 2_Cables  Spaced Vertical DC",IF(AND(OR(D51="4E3"),D53=9),"Ref_F, 2_Cables, Spaced Horizontal AC",IF(AND(OR(D51="4E3"),D53=10),"Ref_F, 2_Cables, Spaced Vertical DC",IF(AND(OR(D51="4E3"),D53=11),"Ref_F,    3 or 4 Cables Spaced Horizontal",IF(AND(OR(D51="4E3"),D53=12),"Ref_F,    3 or 4 Cables Spaced Vertical",IF(AND(OR(D51="4E4"),D53=2),"Ref C, 2_Cables",IF(AND(OR(D51="4E4"),D53=3),"Ref_C,   3 or 4 Cables",IF(AND(OR(D51="4E4"),D53=4),"Ref E, 2_Cables",IF(AND(OR(D51="4E4"),D53=5),"Ref_E,    3 or 4 Cables",IF(AND(OR(D51="4E4"),D53=6),"Ref D, 2_Cables",IF(AND(OR(D51="4E4"),D53=7),"Ref_D,   3 or 4 Cables","")))))))))))))))))))))))))))))))))))),IF(OR(D51="4F1",D51="4F2",D51="4F3"),IF(AND(D51="4F1",D53&gt;1,D53&lt;5),"60 Deg, Thermo-setting Insulated, Sheathed, Non-Armour, Flexible, ",IF(AND(D51="4F2",D53&gt;1,D53&lt;5),"90/180 Deg, Thermo-setting Insulated, Sheathed, Non-Armour, ",IF(AND(D51="4F3",D53&gt;1,D53&lt;5),"Non-Armour, ","")))&amp;IF(AND(OR(D51="4F1"),D53=2),"Multi-Core, 2_Cables",IF(AND(OR(D51="4F1"),D53=3),"Multi-Core, 3/4/5 Cables",IF(AND(OR(D51="4F1"),D53=4),"Single-Core, 2_Cables, Touching",IF(AND(OR(D51="4F2"),D53=2),"Multi-Core, 2_Cables",IF(AND(OR(D51="4F2"),D53=3),"Multi-Core, 3/4/5 Cables",IF(AND(OR(D51="4F2"),D53=4),"Single-Core, 2_Cables, Touching",IF(AND(OR(D51="4F3"),D53=2),"1_Phase",IF(AND(OR(D51="4F3"),D53=3),"3_Phase","")))))))),IF(OR(D51="4G1",D51="4G2"),IF(AND(D51="4G1",D53&gt;1,D53&lt;10),"Mineral Insulated, Sheath, Thermo-plastic Cover,   or Bare &amp; Exposed to touch , ",IF(AND(D51="4G2",D53&gt;1,D53&lt;10),"Bare, Not Exposed to touch, No Contact with Combus-tible Material, ",""))&amp;IF(AND(OR(D51="4G1"),D53=2),"Ref C,    2 Single Core Touching, or 1 Two Core",IF(AND(OR(D51="4G1"),D53=3),"Ref_C,    3 Single Core Trefoil, or   3 or 4 Multi Core",IF(AND(OR(D51="4G1"),D53=4),"Ref C,    3 Single Core, Touching, Flat",IF(AND(OR(D51="4G1"),D53=5),"Ref E/F/G,    2 Single Core Touching, or 1 Two Core",IF(AND(OR(D51="4G1"),D53=6),"Ref E/F/G,     3 Single Core Trefoil, or   3 or 4 Multi Core",IF(AND(OR(D51="4G1"),D53=7),"Ref E/F/G,    3 Single Core, Touching, Flat",IF(AND(OR(D51="4G1"),D53=8),"Ref E/F/G,    2 Single Core, Spaced, Flat, Vertical",IF(AND(OR(D51="4G1"),D53=9),"Ref E/F/G,     3 or 4 Single Core, Spaced, Flat, Horizontal",IF(AND(OR(D51="4G2"),D53=2),"Ref C,    2 Single Core Touching, or 1 Two Core",IF(AND(OR(D51="4G2"),D53=3),"Ref_C,    3 Single Core Trefoil, or   3 or 4 Multi Core",IF(AND(OR(D51="4G2"),D53=4),"Ref C,    3 Single Core, Touching, Flat",IF(AND(OR(D51="4G2"),D53=5),"Ref E/F/G,    2 Single Core Touching, or 1 Two Core",IF(AND(OR(D51="4G2"),D53=6),"Ref E/F/G,     3 Single Core Trefoil, or   3 or 4 Multi Core",IF(AND(OR(D51="4G2"),D53=7),"Ref E/F/G,    3 Single Core, Touching, Flat",IF(AND(OR(D51="4G2"),D53=8),"Ref E/F/G,    2 Single Core, Spaced, Flat, Vertical",IF(AND(OR(D51="4G2"),D53=9),"Ref E/F/G,     3 or 4 Single Core, Spaced, Flat, Horizontal","")))))))))))))))),"")))))</f>
        <v>1No.   Multi Core, Thermo-plastic Sheath, Non-Armour, Ref C, 2_Cables</v>
      </c>
      <c r="E47" s="156" t="str">
        <f t="shared" ca="1" si="16"/>
        <v>1No.   Single Core, Non-Armour, Ref C, 2_Cables Touching Flat</v>
      </c>
      <c r="F47" s="156" t="str">
        <f t="shared" ca="1" si="16"/>
        <v>1No.   Single Core, Non-Armour, Ref C, 2_Cables Touching Flat</v>
      </c>
      <c r="G47" s="156" t="str">
        <f t="shared" ca="1" si="16"/>
        <v>1No.   Single Core, Non-Armour, Ref C, 2_Cables Touching Flat</v>
      </c>
      <c r="H47" s="156" t="str">
        <f ca="1">IF(H27="","",IF(AND(OR(ISNUMBER(SEARCH("4D",H51)),ISNUMBER(SEARCH("4E",H51)),ISNUMBER(SEARCH("4F",H51)),ISNUMBER(SEARCH("4G",H51))),H45&lt;&gt;""),ROUNDUP(H29/MAX(H33:H35),0)&amp;"No.   ","")&amp;IF(OR(H51="4D1",H51="4D2",H51="4D3",H51="4D4",H51="4D5"),IF(AND(H51="4D1",H53&gt;1,H53&lt;13),"Single Core, Non-Armour, ",IF(AND(H51="4D2",H53&gt;1,H53&lt;10),"Multi Core, Thermo-plastic Sheath, Non-Armour, ",IF(AND(H51="4D3",H53&gt;1,H53&lt;13),"Single Core, Armour, ",IF(AND(H51="4D4",H53&gt;1,H53&lt;8),"Multi Core, Armour, ",IF(AND(H51="4D5",H53&gt;1,H53&lt;8),"Sheath, Flat, Protective Conductor, ","")))))&amp;IF(AND(OR(H51="4D1"),H53=2),"Ref A, 2_Cables",IF(AND(OR(H51="4D1"),H53=3),"Ref_A,   3 or 4 Cables",IF(AND(OR(H51="4D1"),H53=4),"Ref B, 2_Cables",IF(AND(OR(H51="4D1"),H53=5),"Ref_B,    3 or 4 Cables",IF(AND(OR(H51="4D1"),H53=6),"Ref C, 2_Cables Touching Flat",IF(AND(OR(H51="4D1"),H53=7),"Ref_C,   3 or 4 Cables, Touching",IF(AND(OR(H51="4D1"),H53=8),"Ref F, 2_Cables Touching Flat",IF(AND(OR(H51="4D1"),H53=9),"Ref_F,   3_Cables Touching Flat",IF(AND(OR(H51="4D1"),H53=10),"Ref_F,   3_Cables Touching Trefoil",IF(AND(OR(H51="4D1"),H53=11),"Ref_F,     2 or 3 Cables Spaced Flat Horizontal",IF(AND(OR(H51="4D1"),H53=12),"Ref_F,    2 or 3 Cables Spaced Flat Vertical",IF(AND(OR(H51="4D2"),H53=2),"Ref A, 2_Cables",IF(AND(OR(H51="4D2"),H53=3),"Ref_A,   3 or 4 Cables",IF(AND(OR(H51="4D2"),H53=4),"Ref B, 2_Cables",IF(AND(OR(H51="4D2"),H53=5),"Ref_B,    3 or 4 Cables",IF(AND(OR(H51="4D2"),H53=6),"Ref C, 2_Cables",IF(AND(OR(H51="4D2"),H53=7),"Ref_C,   3 or 4 Cables",IF(AND(OR(H51="4D2"),H53=8),"Ref E, 2_Cables",IF(AND(OR(H51="4D2"),H53=9),"Ref_E,    3 or 4 Cables",IF(AND(OR(H51="4D3"),H53=2),"Ref C, 2_Cables Touching Flat",IF(AND(OR(H51="4D3"),H53=3),"Ref_C,   3 or 4 Cables Touching Flat",IF(AND(OR(H51="4D3"),H53=4),"Ref F, 2_Cables Touching Flat",IF(AND(OR(H51="4D3"),H53=5),"Ref_F,    3 or 4 Cables Touching Flat",IF(AND(OR(H51="4D3"),H53=6),"Ref F, 2_Cables Touching Trefoil",IF(AND(OR(H51="4D3"),H53=7),"Ref_F, 2_Cables, Spaced Horizontal DC",IF(AND(OR(H51="4D3"),H53=8),"Ref F, 2_Cables  Spaced Vertical DC",IF(AND(OR(H51="4D3"),H53=9),"Ref_F, 2_Cables, Spaced Horizontal AC",IF(AND(OR(H51="4D3"),H53=10),"Ref_F, 2_Cables, Spaced Vertical DC",IF(AND(OR(H51="4D3"),H53=11),"Ref_F,    3 or 4 Cables Spaced Horizontal",IF(AND(OR(H51="4D3"),H53=12),"Ref_F,    3 or 4 Cables Spaced Vertical",IF(AND(OR(H51="4D4"),H53=2),"Ref C, 2_Cables",IF(AND(OR(H51="4D4"),H53=3),"Ref_C,   3 or 4 Cables",IF(AND(OR(H51="4D4"),H53=4),"Ref E, 2_Cables",IF(AND(OR(H51="4D4"),H53=5),"Ref_E,    3 or 4 Cables",IF(AND(OR(H51="4D4"),H53=6),"Ref D, 2_Cables",IF(AND(OR(H51="4D4"),H53=7),"Ref_D,   3 or 4 Cables",IF(AND(OR(H51="4D5"),H53=2),"Method 100",IF(AND(OR(H51="4D5"),H53=3),"Method 101",IF(AND(OR(H51="4D5"),H53=4),"Method 102",IF(AND(OR(H51="4D5"),H53=5),"Method 103",IF(AND(OR(H51="4D5"),H53=6),"Ref C",IF(AND(OR(H51="4D5"),H53=7),"Ref_A","")))))))))))))))))))))))))))))))))))))))))),IF(OR(H51="4E1",H51="4E2",H51="4E3",H51="4E4"),IF(AND(H51="4E1",H53&gt;1,H53&lt;13),"Single Core, Non-Armour ",IF(AND(H51="4E2",H53&gt;1,H53&lt;10),"Multi Core, Thermo-plastic Sheath, Non-Armour ",IF(AND(H51="4E3",H53&gt;1,H53&lt;13),"Single Core, Armour ",IF(AND(H51="4E4",H53&gt;1,H53&lt;8),"Multi Core, Armour ",""))))&amp;IF(AND(OR(H51="4E1"),H53=2),"Ref A, 2_Cables",IF(AND(OR(H51="4E1"),H53=3),"Ref_A,   3 or 4 Cables",IF(AND(OR(H51="4E1"),H53=4),"Ref B, 2_Cables",IF(AND(OR(H51="4E1"),H53=5),"Ref_B,    3 or 4 Cables",IF(AND(OR(H51="4E1"),H53=6),"Ref C, 2_Cables Touching Flat",IF(AND(OR(H51="4E1"),H53=7),"Ref_C,   3 or 4 Cables, Touching",IF(AND(OR(H51="4E1"),H53=8),"Ref F, 2_Cables Touching Flat",IF(AND(OR(H51="4E1"),H53=9),"Ref_F,   3_Cables Touching Flat",IF(AND(OR(H51="4E1"),H53=10),"Ref_F,   3_Cables Touching Trefoil",IF(AND(OR(H51="4E1"),H53=11),"Ref_F,     2 or 3 Cables Spaced Flat Horizontal",IF(AND(OR(H51="4E1"),H53=12),"Ref_F,    2 or 3 Cables Spaced Flat Vertical",IF(AND(OR(H51="4E2"),H53=2),"Ref A, 2_Cables",IF(AND(OR(H51="4E2"),H53=3),"Ref_A,   3 or 4 Cables",IF(AND(OR(H51="4E2"),H53=4),"Ref B, 2_Cables",IF(AND(OR(H51="4E2"),H53=5),"Ref_B,    3 or 4 Cables",IF(AND(OR(H51="4E2"),H53=6),"Ref C, 2_Cables",IF(AND(OR(H51="4E2"),H53=7),"Ref_C,   3 or 4 Cables",IF(AND(OR(H51="4E2"),H53=8),"Ref E, 2_Cables",IF(AND(OR(H51="4E2"),H53=9),"Ref_E,    3 or 4 Cables",IF(AND(OR(H51="4E3"),H53=2),"Ref C, 2_Cables Touching Flat",IF(AND(OR(H51="4E3"),H53=3),"Ref_C,   3 or 4 Cables Touching Flat",IF(AND(OR(H51="4E3"),H53=4),"Ref F, 2_Cables Touching Flat",IF(AND(OR(H51="4E3"),H53=5),"Ref_F,     3 or 4 Cables Touching Flat",IF(AND(OR(H51="4E3"),H53=6),"Ref F, 2_Cables Touching Trefoil",IF(AND(OR(H51="4E3"),H53=7),"Ref_F, 2_Cables, Spaced Horizontal DC",IF(AND(OR(H51="4E3"),H53=8),"Ref F, 2_Cables  Spaced Vertical DC",IF(AND(OR(H51="4E3"),H53=9),"Ref_F, 2_Cables, Spaced Horizontal AC",IF(AND(OR(H51="4E3"),H53=10),"Ref_F, 2_Cables, Spaced Vertical DC",IF(AND(OR(H51="4E3"),H53=11),"Ref_F,    3 or 4 Cables Spaced Horizontal",IF(AND(OR(H51="4E3"),H53=12),"Ref_F,    3 or 4 Cables Spaced Vertical",IF(AND(OR(H51="4E4"),H53=2),"Ref C, 2_Cables",IF(AND(OR(H51="4E4"),H53=3),"Ref_C,   3 or 4 Cables",IF(AND(OR(H51="4E4"),H53=4),"Ref E, 2_Cables",IF(AND(OR(H51="4E4"),H53=5),"Ref_E,    3 or 4 Cables",IF(AND(OR(H51="4E4"),H53=6),"Ref D, 2_Cables",IF(AND(OR(H51="4E4"),H53=7),"Ref_D,   3 or 4 Cables","")))))))))))))))))))))))))))))))))))),IF(OR(H51="4F1",H51="4F2",H51="4F3"),IF(AND(H51="4F1",H53&gt;1,H53&lt;5),"60 Deg, Thermo-setting Insulated, Sheathed, Non-Armour, Flexible, ",IF(AND(H51="4F2",H53&gt;1,H53&lt;5),"90/180 Deg, Thermo-setting Insulated, Sheathed, Non-Armour, ",IF(AND(H51="4F3",H53&gt;1,H53&lt;5),"Non-Armour, ","")))&amp;IF(AND(OR(H51="4F1"),H53=2),"Multi-Core, 2_Cables",IF(AND(OR(H51="4F1"),H53=3),"Multi-Core, 3/4/5 Cables",IF(AND(OR(H51="4F1"),H53=4),"Single-Core, 2_Cables, Touching",IF(AND(OR(H51="4F2"),H53=2),"Multi-Core, 2_Cables",IF(AND(OR(H51="4F2"),H53=3),"Multi-Core, 3/4/5 Cables",IF(AND(OR(H51="4F2"),H53=4),"Single-Core, 2_Cables, Touching",IF(AND(OR(H51="4F3"),H53=2),"1_Phase",IF(AND(OR(H51="4F3"),H53=3),"3_Phase","")))))))),IF(OR(H51="4G1",H51="4G2"),IF(AND(H51="4G1",H53&gt;1,H53&lt;10),"Mineral Insulated, Sheath, Thermo-plastic Cover,   or Bare &amp; Exposed to touch , ",IF(AND(H51="4G2",H53&gt;1,H53&lt;10),"Bare, Not Exposed to touch, No Contact with Combus-tible Material, ",""))&amp;IF(AND(OR(H51="4G1"),H53=2),"Ref C,    2 Single Core Touching, or 1 Two Core",IF(AND(OR(H51="4G1"),H53=3),"Ref_C,    3 Single Core Trefoil, or   3 or 4 Multi Core",IF(AND(OR(H51="4G1"),H53=4),"Ref C,    3 Single Core, Touching, Flat",IF(AND(OR(H51="4G1"),H53=5),"Ref E/F/G,    2 Single Core Touching, or 1 Two Core",IF(AND(OR(H51="4G1"),H53=6),"Ref E/F/G,     3 Single Core Trefoil, or   3 or 4 Multi Core",IF(AND(OR(H51="4G1"),H53=7),"Ref E/F/G,    3 Single Core, Touching, Flat",IF(AND(OR(H51="4G1"),H53=8),"Ref E/F/G,    2 Single Core, Spaced, Flat, Vertical",IF(AND(OR(H51="4G1"),H53=9),"Ref E/F/G,     3 or 4 Single Core, Spaced, Flat, Horizontal",IF(AND(OR(H51="4G2"),H53=2),"Ref C,    2 Single Core Touching, or 1 Two Core",IF(AND(OR(H51="4G2"),H53=3),"Ref_C,    3 Single Core Trefoil, or   3 or 4 Multi Core",IF(AND(OR(H51="4G2"),H53=4),"Ref C,    3 Single Core, Touching, Flat",IF(AND(OR(H51="4G2"),H53=5),"Ref E/F/G,    2 Single Core Touching, or 1 Two Core",IF(AND(OR(H51="4G2"),H53=6),"Ref E/F/G,     3 Single Core Trefoil, or   3 or 4 Multi Core",IF(AND(OR(H51="4G2"),H53=7),"Ref E/F/G,    3 Single Core, Touching, Flat",IF(AND(OR(H51="4G2"),H53=8),"Ref E/F/G,    2 Single Core, Spaced, Flat, Vertical",IF(AND(OR(H51="4G2"),H53=9),"Ref E/F/G,     3 or 4 Single Core, Spaced, Flat, Horizontal","")))))))))))))))),"")))))</f>
        <v>1No.   Single Core, Non-Armour, Ref C, 2_Cables Touching Flat</v>
      </c>
      <c r="I47" s="156" t="str">
        <f t="shared" si="16"/>
        <v>1No.   Single Core, Non-Armour, Ref_F,    2 or 3 Cables Spaced Flat Vertical</v>
      </c>
      <c r="J47" s="156" t="str">
        <f t="shared" si="16"/>
        <v>1No.   Multi Core, Thermo-plastic Sheath, Non-Armour, Ref C, 2_Cables</v>
      </c>
      <c r="K47" s="156" t="str">
        <f>IF(K27="","",IF(AND(OR(ISNUMBER(SEARCH("4D",K51)),ISNUMBER(SEARCH("4E",K51)),ISNUMBER(SEARCH("4F",K51)),ISNUMBER(SEARCH("4G",K51))),K45&lt;&gt;""),ROUNDUP(K29/MAX(K33:K35),0)&amp;"No.   ","")&amp;IF(OR(K51="4D1",K51="4D2",K51="4D3",K51="4D4",K51="4D5"),IF(AND(K51="4D1",K53&gt;1,K53&lt;13),"Single Core, Non-Armour, ",IF(AND(K51="4D2",K53&gt;1,K53&lt;10),"Multi Core, Thermo-plastic Sheath, Non-Armour, ",IF(AND(K51="4D3",K53&gt;1,K53&lt;13),"Single Core, Armour, ",IF(AND(K51="4D4",K53&gt;1,K53&lt;8),"Multi Core, Armour, ",IF(AND(K51="4D5",K53&gt;1,K53&lt;8),"Sheath, Flat, Protective Conductor, ","")))))&amp;IF(AND(OR(K51="4D1"),K53=2),"Ref A, 2_Cables",IF(AND(OR(K51="4D1"),K53=3),"Ref_A,   3 or 4 Cables",IF(AND(OR(K51="4D1"),K53=4),"Ref B, 2_Cables",IF(AND(OR(K51="4D1"),K53=5),"Ref_B,    3 or 4 Cables",IF(AND(OR(K51="4D1"),K53=6),"Ref C, 2_Cables Touching Flat",IF(AND(OR(K51="4D1"),K53=7),"Ref_C,   3 or 4 Cables, Touching",IF(AND(OR(K51="4D1"),K53=8),"Ref F, 2_Cables Touching Flat",IF(AND(OR(K51="4D1"),K53=9),"Ref_F,   3_Cables Touching Flat",IF(AND(OR(K51="4D1"),K53=10),"Ref_F,   3_Cables Touching Trefoil",IF(AND(OR(K51="4D1"),K53=11),"Ref_F,     2 or 3 Cables Spaced Flat Horizontal",IF(AND(OR(K51="4D1"),K53=12),"Ref_F,    2 or 3 Cables Spaced Flat Vertical",IF(AND(OR(K51="4D2"),K53=2),"Ref A, 2_Cables",IF(AND(OR(K51="4D2"),K53=3),"Ref_A,   3 or 4 Cables",IF(AND(OR(K51="4D2"),K53=4),"Ref B, 2_Cables",IF(AND(OR(K51="4D2"),K53=5),"Ref_B,    3 or 4 Cables",IF(AND(OR(K51="4D2"),K53=6),"Ref C, 2_Cables",IF(AND(OR(K51="4D2"),K53=7),"Ref_C,   3 or 4 Cables",IF(AND(OR(K51="4D2"),K53=8),"Ref E, 2_Cables",IF(AND(OR(K51="4D2"),K53=9),"Ref_E,    3 or 4 Cables",IF(AND(OR(K51="4D3"),K53=2),"Ref C, 2_Cables Touching Flat",IF(AND(OR(K51="4D3"),K53=3),"Ref_C,   3 or 4 Cables Touching Flat",IF(AND(OR(K51="4D3"),K53=4),"Ref F, 2_Cables Touching Flat",IF(AND(OR(K51="4D3"),K53=5),"Ref_F,    3 or 4 Cables Touching Flat",IF(AND(OR(K51="4D3"),K53=6),"Ref F, 2_Cables Touching Trefoil",IF(AND(OR(K51="4D3"),K53=7),"Ref_F, 2_Cables, Spaced Horizontal DC",IF(AND(OR(K51="4D3"),K53=8),"Ref F, 2_Cables  Spaced Vertical DC",IF(AND(OR(K51="4D3"),K53=9),"Ref_F, 2_Cables, Spaced Horizontal AC",IF(AND(OR(K51="4D3"),K53=10),"Ref_F, 2_Cables, Spaced Vertical DC",IF(AND(OR(K51="4D3"),K53=11),"Ref_F,    3 or 4 Cables Spaced Horizontal",IF(AND(OR(K51="4D3"),K53=12),"Ref_F,    3 or 4 Cables Spaced Vertical",IF(AND(OR(K51="4D4"),K53=2),"Ref C, 2_Cables",IF(AND(OR(K51="4D4"),K53=3),"Ref_C,   3 or 4 Cables",IF(AND(OR(K51="4D4"),K53=4),"Ref E, 2_Cables",IF(AND(OR(K51="4D4"),K53=5),"Ref_E,    3 or 4 Cables",IF(AND(OR(K51="4D4"),K53=6),"Ref D, 2_Cables",IF(AND(OR(K51="4D4"),K53=7),"Ref_D,   3 or 4 Cables",IF(AND(OR(K51="4D5"),K53=2),"Method 100",IF(AND(OR(K51="4D5"),K53=3),"Method 101",IF(AND(OR(K51="4D5"),K53=4),"Method 102",IF(AND(OR(K51="4D5"),K53=5),"Method 103",IF(AND(OR(K51="4D5"),K53=6),"Ref C",IF(AND(OR(K51="4D5"),K53=7),"Ref_A","")))))))))))))))))))))))))))))))))))))))))),IF(OR(K51="4E1",K51="4E2",K51="4E3",K51="4E4"),IF(AND(K51="4E1",K53&gt;1,K53&lt;13),"Single Core, Non-Armour ",IF(AND(K51="4E2",K53&gt;1,K53&lt;10),"Multi Core, Thermo-plastic Sheath, Non-Armour ",IF(AND(K51="4E3",K53&gt;1,K53&lt;13),"Single Core, Armour ",IF(AND(K51="4E4",K53&gt;1,K53&lt;8),"Multi Core, Armour ",""))))&amp;IF(AND(OR(K51="4E1"),K53=2),"Ref A, 2_Cables",IF(AND(OR(K51="4E1"),K53=3),"Ref_A,   3 or 4 Cables",IF(AND(OR(K51="4E1"),K53=4),"Ref B, 2_Cables",IF(AND(OR(K51="4E1"),K53=5),"Ref_B,    3 or 4 Cables",IF(AND(OR(K51="4E1"),K53=6),"Ref C, 2_Cables Touching Flat",IF(AND(OR(K51="4E1"),K53=7),"Ref_C,   3 or 4 Cables, Touching",IF(AND(OR(K51="4E1"),K53=8),"Ref F, 2_Cables Touching Flat",IF(AND(OR(K51="4E1"),K53=9),"Ref_F,   3_Cables Touching Flat",IF(AND(OR(K51="4E1"),K53=10),"Ref_F,   3_Cables Touching Trefoil",IF(AND(OR(K51="4E1"),K53=11),"Ref_F,     2 or 3 Cables Spaced Flat Horizontal",IF(AND(OR(K51="4E1"),K53=12),"Ref_F,    2 or 3 Cables Spaced Flat Vertical",IF(AND(OR(K51="4E2"),K53=2),"Ref A, 2_Cables",IF(AND(OR(K51="4E2"),K53=3),"Ref_A,   3 or 4 Cables",IF(AND(OR(K51="4E2"),K53=4),"Ref B, 2_Cables",IF(AND(OR(K51="4E2"),K53=5),"Ref_B,    3 or 4 Cables",IF(AND(OR(K51="4E2"),K53=6),"Ref C, 2_Cables",IF(AND(OR(K51="4E2"),K53=7),"Ref_C,   3 or 4 Cables",IF(AND(OR(K51="4E2"),K53=8),"Ref E, 2_Cables",IF(AND(OR(K51="4E2"),K53=9),"Ref_E,    3 or 4 Cables",IF(AND(OR(K51="4E3"),K53=2),"Ref C, 2_Cables Touching Flat",IF(AND(OR(K51="4E3"),K53=3),"Ref_C,   3 or 4 Cables Touching Flat",IF(AND(OR(K51="4E3"),K53=4),"Ref F, 2_Cables Touching Flat",IF(AND(OR(K51="4E3"),K53=5),"Ref_F,     3 or 4 Cables Touching Flat",IF(AND(OR(K51="4E3"),K53=6),"Ref F, 2_Cables Touching Trefoil",IF(AND(OR(K51="4E3"),K53=7),"Ref_F, 2_Cables, Spaced Horizontal DC",IF(AND(OR(K51="4E3"),K53=8),"Ref F, 2_Cables  Spaced Vertical DC",IF(AND(OR(K51="4E3"),K53=9),"Ref_F, 2_Cables, Spaced Horizontal AC",IF(AND(OR(K51="4E3"),K53=10),"Ref_F, 2_Cables, Spaced Vertical DC",IF(AND(OR(K51="4E3"),K53=11),"Ref_F,    3 or 4 Cables Spaced Horizontal",IF(AND(OR(K51="4E3"),K53=12),"Ref_F,    3 or 4 Cables Spaced Vertical",IF(AND(OR(K51="4E4"),K53=2),"Ref C, 2_Cables",IF(AND(OR(K51="4E4"),K53=3),"Ref_C,   3 or 4 Cables",IF(AND(OR(K51="4E4"),K53=4),"Ref E, 2_Cables",IF(AND(OR(K51="4E4"),K53=5),"Ref_E,    3 or 4 Cables",IF(AND(OR(K51="4E4"),K53=6),"Ref D, 2_Cables",IF(AND(OR(K51="4E4"),K53=7),"Ref_D,   3 or 4 Cables","")))))))))))))))))))))))))))))))))))),IF(OR(K51="4F1",K51="4F2",K51="4F3"),IF(AND(K51="4F1",K53&gt;1,K53&lt;5),"60 Deg, Thermo-setting Insulated, Sheathed, Non-Armour, Flexible, ",IF(AND(K51="4F2",K53&gt;1,K53&lt;5),"90/180 Deg, Thermo-setting Insulated, Sheathed, Non-Armour, ",IF(AND(K51="4F3",K53&gt;1,K53&lt;5),"Non-Armour, ","")))&amp;IF(AND(OR(K51="4F1"),K53=2),"Multi-Core, 2_Cables",IF(AND(OR(K51="4F1"),K53=3),"Multi-Core, 3/4/5 Cables",IF(AND(OR(K51="4F1"),K53=4),"Single-Core, 2_Cables, Touching",IF(AND(OR(K51="4F2"),K53=2),"Multi-Core, 2_Cables",IF(AND(OR(K51="4F2"),K53=3),"Multi-Core, 3/4/5 Cables",IF(AND(OR(K51="4F2"),K53=4),"Single-Core, 2_Cables, Touching",IF(AND(OR(K51="4F3"),K53=2),"1_Phase",IF(AND(OR(K51="4F3"),K53=3),"3_Phase","")))))))),IF(OR(K51="4G1",K51="4G2"),IF(AND(K51="4G1",K53&gt;1,K53&lt;10),"Mineral Insulated, Sheath, Thermo-plastic Cover,   or Bare &amp; Exposed to touch , ",IF(AND(K51="4G2",K53&gt;1,K53&lt;10),"Bare, Not Exposed to touch, No Contact with Combus-tible Material, ",""))&amp;IF(AND(OR(K51="4G1"),K53=2),"Ref C,    2 Single Core Touching, or 1 Two Core",IF(AND(OR(K51="4G1"),K53=3),"Ref_C,    3 Single Core Trefoil, or   3 or 4 Multi Core",IF(AND(OR(K51="4G1"),K53=4),"Ref C,    3 Single Core, Touching, Flat",IF(AND(OR(K51="4G1"),K53=5),"Ref E/F/G,    2 Single Core Touching, or 1 Two Core",IF(AND(OR(K51="4G1"),K53=6),"Ref E/F/G,     3 Single Core Trefoil, or   3 or 4 Multi Core",IF(AND(OR(K51="4G1"),K53=7),"Ref E/F/G,    3 Single Core, Touching, Flat",IF(AND(OR(K51="4G1"),K53=8),"Ref E/F/G,    2 Single Core, Spaced, Flat, Vertical",IF(AND(OR(K51="4G1"),K53=9),"Ref E/F/G,     3 or 4 Single Core, Spaced, Flat, Horizontal",IF(AND(OR(K51="4G2"),K53=2),"Ref C,    2 Single Core Touching, or 1 Two Core",IF(AND(OR(K51="4G2"),K53=3),"Ref_C,    3 Single Core Trefoil, or   3 or 4 Multi Core",IF(AND(OR(K51="4G2"),K53=4),"Ref C,    3 Single Core, Touching, Flat",IF(AND(OR(K51="4G2"),K53=5),"Ref E/F/G,    2 Single Core Touching, or 1 Two Core",IF(AND(OR(K51="4G2"),K53=6),"Ref E/F/G,     3 Single Core Trefoil, or   3 or 4 Multi Core",IF(AND(OR(K51="4G2"),K53=7),"Ref E/F/G,    3 Single Core, Touching, Flat",IF(AND(OR(K51="4G2"),K53=8),"Ref E/F/G,    2 Single Core, Spaced, Flat, Vertical",IF(AND(OR(K51="4G2"),K53=9),"Ref E/F/G,     3 or 4 Single Core, Spaced, Flat, Horizontal","")))))))))))))))),"")))))</f>
        <v>1No.   Single Core, Non-Armour, Ref C, 2_Cables Touching Flat</v>
      </c>
      <c r="L47" s="156" t="str">
        <f t="shared" si="16"/>
        <v>1No.   Single Core, Non-Armour, Ref C, 2_Cables Touching Flat</v>
      </c>
      <c r="M47" s="156" t="str">
        <f t="shared" si="16"/>
        <v/>
      </c>
      <c r="N47" s="156" t="str">
        <f>IF(N27="","",IF(AND(OR(ISNUMBER(SEARCH("4D",N51)),ISNUMBER(SEARCH("4E",N51)),ISNUMBER(SEARCH("4F",N51)),ISNUMBER(SEARCH("4G",N51))),N45&lt;&gt;""),ROUNDUP(N29/MAX(N33:N35),0)&amp;"No.   ","")&amp;IF(OR(N51="4D1",N51="4D2",N51="4D3",N51="4D4",N51="4D5"),IF(AND(N51="4D1",N53&gt;1,N53&lt;13),"Single Core, Non-Armour, ",IF(AND(N51="4D2",N53&gt;1,N53&lt;10),"Multi Core, Thermo-plastic Sheath, Non-Armour, ",IF(AND(N51="4D3",N53&gt;1,N53&lt;13),"Single Core, Armour, ",IF(AND(N51="4D4",N53&gt;1,N53&lt;8),"Multi Core, Armour, ",IF(AND(N51="4D5",N53&gt;1,N53&lt;8),"Sheath, Flat, Protective Conductor, ","")))))&amp;IF(AND(OR(N51="4D1"),N53=2),"Ref A, 2_Cables",IF(AND(OR(N51="4D1"),N53=3),"Ref_A,   3 or 4 Cables",IF(AND(OR(N51="4D1"),N53=4),"Ref B, 2_Cables",IF(AND(OR(N51="4D1"),N53=5),"Ref_B,    3 or 4 Cables",IF(AND(OR(N51="4D1"),N53=6),"Ref C, 2_Cables Touching Flat",IF(AND(OR(N51="4D1"),N53=7),"Ref_C,   3 or 4 Cables, Touching",IF(AND(OR(N51="4D1"),N53=8),"Ref F, 2_Cables Touching Flat",IF(AND(OR(N51="4D1"),N53=9),"Ref_F,   3_Cables Touching Flat",IF(AND(OR(N51="4D1"),N53=10),"Ref_F,   3_Cables Touching Trefoil",IF(AND(OR(N51="4D1"),N53=11),"Ref_F,     2 or 3 Cables Spaced Flat Horizontal",IF(AND(OR(N51="4D1"),N53=12),"Ref_F,    2 or 3 Cables Spaced Flat Vertical",IF(AND(OR(N51="4D2"),N53=2),"Ref A, 2_Cables",IF(AND(OR(N51="4D2"),N53=3),"Ref_A,   3 or 4 Cables",IF(AND(OR(N51="4D2"),N53=4),"Ref B, 2_Cables",IF(AND(OR(N51="4D2"),N53=5),"Ref_B,    3 or 4 Cables",IF(AND(OR(N51="4D2"),N53=6),"Ref C, 2_Cables",IF(AND(OR(N51="4D2"),N53=7),"Ref_C,   3 or 4 Cables",IF(AND(OR(N51="4D2"),N53=8),"Ref E, 2_Cables",IF(AND(OR(N51="4D2"),N53=9),"Ref_E,    3 or 4 Cables",IF(AND(OR(N51="4D3"),N53=2),"Ref C, 2_Cables Touching Flat",IF(AND(OR(N51="4D3"),N53=3),"Ref_C,   3 or 4 Cables Touching Flat",IF(AND(OR(N51="4D3"),N53=4),"Ref F, 2_Cables Touching Flat",IF(AND(OR(N51="4D3"),N53=5),"Ref_F,    3 or 4 Cables Touching Flat",IF(AND(OR(N51="4D3"),N53=6),"Ref F, 2_Cables Touching Trefoil",IF(AND(OR(N51="4D3"),N53=7),"Ref_F, 2_Cables, Spaced Horizontal DC",IF(AND(OR(N51="4D3"),N53=8),"Ref F, 2_Cables  Spaced Vertical DC",IF(AND(OR(N51="4D3"),N53=9),"Ref_F, 2_Cables, Spaced Horizontal AC",IF(AND(OR(N51="4D3"),N53=10),"Ref_F, 2_Cables, Spaced Vertical DC",IF(AND(OR(N51="4D3"),N53=11),"Ref_F,    3 or 4 Cables Spaced Horizontal",IF(AND(OR(N51="4D3"),N53=12),"Ref_F,    3 or 4 Cables Spaced Vertical",IF(AND(OR(N51="4D4"),N53=2),"Ref C, 2_Cables",IF(AND(OR(N51="4D4"),N53=3),"Ref_C,   3 or 4 Cables",IF(AND(OR(N51="4D4"),N53=4),"Ref E, 2_Cables",IF(AND(OR(N51="4D4"),N53=5),"Ref_E,    3 or 4 Cables",IF(AND(OR(N51="4D4"),N53=6),"Ref D, 2_Cables",IF(AND(OR(N51="4D4"),N53=7),"Ref_D,   3 or 4 Cables",IF(AND(OR(N51="4D5"),N53=2),"Method 100",IF(AND(OR(N51="4D5"),N53=3),"Method 101",IF(AND(OR(N51="4D5"),N53=4),"Method 102",IF(AND(OR(N51="4D5"),N53=5),"Method 103",IF(AND(OR(N51="4D5"),N53=6),"Ref C",IF(AND(OR(N51="4D5"),N53=7),"Ref_A","")))))))))))))))))))))))))))))))))))))))))),IF(OR(N51="4E1",N51="4E2",N51="4E3",N51="4E4"),IF(AND(N51="4E1",N53&gt;1,N53&lt;13),"Single Core, Non-Armour ",IF(AND(N51="4E2",N53&gt;1,N53&lt;10),"Multi Core, Thermo-plastic Sheath, Non-Armour ",IF(AND(N51="4E3",N53&gt;1,N53&lt;13),"Single Core, Armour ",IF(AND(N51="4E4",N53&gt;1,N53&lt;8),"Multi Core, Armour ",""))))&amp;IF(AND(OR(N51="4E1"),N53=2),"Ref A, 2_Cables",IF(AND(OR(N51="4E1"),N53=3),"Ref_A,   3 or 4 Cables",IF(AND(OR(N51="4E1"),N53=4),"Ref B, 2_Cables",IF(AND(OR(N51="4E1"),N53=5),"Ref_B,    3 or 4 Cables",IF(AND(OR(N51="4E1"),N53=6),"Ref C, 2_Cables Touching Flat",IF(AND(OR(N51="4E1"),N53=7),"Ref_C,   3 or 4 Cables, Touching",IF(AND(OR(N51="4E1"),N53=8),"Ref F, 2_Cables Touching Flat",IF(AND(OR(N51="4E1"),N53=9),"Ref_F,   3_Cables Touching Flat",IF(AND(OR(N51="4E1"),N53=10),"Ref_F,   3_Cables Touching Trefoil",IF(AND(OR(N51="4E1"),N53=11),"Ref_F,     2 or 3 Cables Spaced Flat Horizontal",IF(AND(OR(N51="4E1"),N53=12),"Ref_F,    2 or 3 Cables Spaced Flat Vertical",IF(AND(OR(N51="4E2"),N53=2),"Ref A, 2_Cables",IF(AND(OR(N51="4E2"),N53=3),"Ref_A,   3 or 4 Cables",IF(AND(OR(N51="4E2"),N53=4),"Ref B, 2_Cables",IF(AND(OR(N51="4E2"),N53=5),"Ref_B,    3 or 4 Cables",IF(AND(OR(N51="4E2"),N53=6),"Ref C, 2_Cables",IF(AND(OR(N51="4E2"),N53=7),"Ref_C,   3 or 4 Cables",IF(AND(OR(N51="4E2"),N53=8),"Ref E, 2_Cables",IF(AND(OR(N51="4E2"),N53=9),"Ref_E,    3 or 4 Cables",IF(AND(OR(N51="4E3"),N53=2),"Ref C, 2_Cables Touching Flat",IF(AND(OR(N51="4E3"),N53=3),"Ref_C,   3 or 4 Cables Touching Flat",IF(AND(OR(N51="4E3"),N53=4),"Ref F, 2_Cables Touching Flat",IF(AND(OR(N51="4E3"),N53=5),"Ref_F,     3 or 4 Cables Touching Flat",IF(AND(OR(N51="4E3"),N53=6),"Ref F, 2_Cables Touching Trefoil",IF(AND(OR(N51="4E3"),N53=7),"Ref_F, 2_Cables, Spaced Horizontal DC",IF(AND(OR(N51="4E3"),N53=8),"Ref F, 2_Cables  Spaced Vertical DC",IF(AND(OR(N51="4E3"),N53=9),"Ref_F, 2_Cables, Spaced Horizontal AC",IF(AND(OR(N51="4E3"),N53=10),"Ref_F, 2_Cables, Spaced Vertical DC",IF(AND(OR(N51="4E3"),N53=11),"Ref_F,    3 or 4 Cables Spaced Horizontal",IF(AND(OR(N51="4E3"),N53=12),"Ref_F,    3 or 4 Cables Spaced Vertical",IF(AND(OR(N51="4E4"),N53=2),"Ref C, 2_Cables",IF(AND(OR(N51="4E4"),N53=3),"Ref_C,   3 or 4 Cables",IF(AND(OR(N51="4E4"),N53=4),"Ref E, 2_Cables",IF(AND(OR(N51="4E4"),N53=5),"Ref_E,    3 or 4 Cables",IF(AND(OR(N51="4E4"),N53=6),"Ref D, 2_Cables",IF(AND(OR(N51="4E4"),N53=7),"Ref_D,   3 or 4 Cables","")))))))))))))))))))))))))))))))))))),IF(OR(N51="4F1",N51="4F2",N51="4F3"),IF(AND(N51="4F1",N53&gt;1,N53&lt;5),"60 Deg, Thermo-setting Insulated, Sheathed, Non-Armour, Flexible, ",IF(AND(N51="4F2",N53&gt;1,N53&lt;5),"90/180 Deg, Thermo-setting Insulated, Sheathed, Non-Armour, ",IF(AND(N51="4F3",N53&gt;1,N53&lt;5),"Non-Armour, ","")))&amp;IF(AND(OR(N51="4F1"),N53=2),"Multi-Core, 2_Cables",IF(AND(OR(N51="4F1"),N53=3),"Multi-Core, 3/4/5 Cables",IF(AND(OR(N51="4F1"),N53=4),"Single-Core, 2_Cables, Touching",IF(AND(OR(N51="4F2"),N53=2),"Multi-Core, 2_Cables",IF(AND(OR(N51="4F2"),N53=3),"Multi-Core, 3/4/5 Cables",IF(AND(OR(N51="4F2"),N53=4),"Single-Core, 2_Cables, Touching",IF(AND(OR(N51="4F3"),N53=2),"1_Phase",IF(AND(OR(N51="4F3"),N53=3),"3_Phase","")))))))),IF(OR(N51="4G1",N51="4G2"),IF(AND(N51="4G1",N53&gt;1,N53&lt;10),"Mineral Insulated, Sheath, Thermo-plastic Cover,   or Bare &amp; Exposed to touch , ",IF(AND(N51="4G2",N53&gt;1,N53&lt;10),"Bare, Not Exposed to touch, No Contact with Combus-tible Material, ",""))&amp;IF(AND(OR(N51="4G1"),N53=2),"Ref C,    2 Single Core Touching, or 1 Two Core",IF(AND(OR(N51="4G1"),N53=3),"Ref_C,    3 Single Core Trefoil, or   3 or 4 Multi Core",IF(AND(OR(N51="4G1"),N53=4),"Ref C,    3 Single Core, Touching, Flat",IF(AND(OR(N51="4G1"),N53=5),"Ref E/F/G,    2 Single Core Touching, or 1 Two Core",IF(AND(OR(N51="4G1"),N53=6),"Ref E/F/G,     3 Single Core Trefoil, or   3 or 4 Multi Core",IF(AND(OR(N51="4G1"),N53=7),"Ref E/F/G,    3 Single Core, Touching, Flat",IF(AND(OR(N51="4G1"),N53=8),"Ref E/F/G,    2 Single Core, Spaced, Flat, Vertical",IF(AND(OR(N51="4G1"),N53=9),"Ref E/F/G,     3 or 4 Single Core, Spaced, Flat, Horizontal",IF(AND(OR(N51="4G2"),N53=2),"Ref C,    2 Single Core Touching, or 1 Two Core",IF(AND(OR(N51="4G2"),N53=3),"Ref_C,    3 Single Core Trefoil, or   3 or 4 Multi Core",IF(AND(OR(N51="4G2"),N53=4),"Ref C,    3 Single Core, Touching, Flat",IF(AND(OR(N51="4G2"),N53=5),"Ref E/F/G,    2 Single Core Touching, or 1 Two Core",IF(AND(OR(N51="4G2"),N53=6),"Ref E/F/G,     3 Single Core Trefoil, or   3 or 4 Multi Core",IF(AND(OR(N51="4G2"),N53=7),"Ref E/F/G,    3 Single Core, Touching, Flat",IF(AND(OR(N51="4G2"),N53=8),"Ref E/F/G,    2 Single Core, Spaced, Flat, Vertical",IF(AND(OR(N51="4G2"),N53=9),"Ref E/F/G,     3 or 4 Single Core, Spaced, Flat, Horizontal","")))))))))))))))),"")))))</f>
        <v>1No.   Single Core, Non-Armour, Ref_F,     2 or 3 Cables Spaced Flat Horizontal</v>
      </c>
      <c r="O47" s="156"/>
    </row>
    <row r="48" spans="1:15" s="168" customFormat="1" ht="161.25" customHeight="1">
      <c r="A48" s="169" t="s">
        <v>2090</v>
      </c>
      <c r="B48" s="170" t="s">
        <v>2089</v>
      </c>
      <c r="C48" s="159"/>
      <c r="D48" s="159" t="str">
        <f t="shared" ref="D48:M48" si="17">IF(D27="","",IF(AND(OR(ISNUMBER(SEARCH("4H",D51)),ISNUMBER(SEARCH("4J",D51))),D45&lt;&gt;""),ROUNDUP(D29/MAX(D33:D35),0)&amp;"No.   ","")&amp;IF(OR(D51="4H1",D51="4H2",D51="4H3",D51="4H4",D51="4H5"),IF(AND(D51="4H1",D53&gt;1,D53&lt;13),"Single Core, Non-Armour, ",IF(AND(D51="4H2",D53&gt;1,D53&lt;10),"Multi Core, Thermo-plastic Sheath, Non-Armour, ",IF(AND(D51="4H3",D53&gt;1,D53&lt;13),"Single Core, Armour, ",IF(AND(D51="4H4",D53&gt;1,D53&lt;8),"Multi Core, Armour, ",IF(AND(D51="4H5",D53&gt;1,D53&lt;8),"Sheath, Flat, Protective Conductor, ","")))))&amp;IF(AND(OR(D51="4H1"),D53=2),"Ref A, 2_Cables",IF(AND(OR(D51="4H1"),D53=3),"Ref_A,   3 or 4 Cables",IF(AND(OR(D51="4H1"),D53=4),"Ref B, 2_Cables",IF(AND(OR(D51="4H1"),D53=5),"Ref_B,    3 or 4 Cables",IF(AND(OR(D51="4H1"),D53=6),"Ref C, 2_Cables Touching Flat",IF(AND(OR(D51="4H1"),D53=7),"Ref_C,   3 or 4 Cables, Touching",IF(AND(OR(D51="4H1"),D53=8),"Ref F, 2_Cables Touching Flat",IF(AND(OR(D51="4H1"),D53=9),"Ref_F,   3_Cables Touching Flat",IF(AND(OR(D51="4H1"),D53=10),"Ref_F,   3_Cables Touching Trefoil",IF(AND(OR(D51="4H1"),D53=11),"Ref_F,     2 or 3 Cables Spaced Flat Horizontal",IF(AND(OR(D51="4H1"),D53=12),"Ref_F,    2 or 3 Cables Spaced Flat Vertical",IF(AND(OR(D51="4H2"),D53=2),"Ref A, 2_Cables",IF(AND(OR(D51="4H2"),D53=3),"Ref_A,   3 or 4 Cables",IF(AND(OR(D51="4H2"),D53=4),"Ref B, 2_Cables",IF(AND(OR(D51="4H2"),D53=5),"Ref_B,    3 or 4 Cables",IF(AND(OR(D51="4H2"),D53=6),"Ref C, 2_Cables",IF(AND(OR(D51="4H2"),D53=7),"Ref_C,   3 or 4 Cables",IF(AND(OR(D51="4H2"),D53=8),"Ref E, 2_Cables",IF(AND(OR(D51="4H2"),D53=9),"Ref_E,    3 or 4 Cables",IF(AND(OR(D51="4H3"),D53=2),"Ref C, 2_Cables Touching Flat",IF(AND(OR(D51="4H3"),D53=3),"Ref_C,   3 or 4 Cables Touching Flat",IF(AND(OR(D51="4H3"),D53=4),"Ref F, 2_Cables Touching Flat",IF(AND(OR(D51="4H3"),D53=5),"Ref_F,    3 or 4 Cables Touching Flat",IF(AND(OR(D51="4H3"),D53=6),"Ref F, 2_Cables Touching Trefoil",IF(AND(OR(D51="4H3"),D53=7),"Ref_F, 2_Cables, Spaced Horizontal DC",IF(AND(OR(D51="4H3"),D53=8),"Ref F, 2_Cables  Spaced Vertical DC",IF(AND(OR(D51="4H3"),D53=9),"Ref_F, 2_Cables, Spaced Horizontal AC",IF(AND(OR(D51="4H3"),D53=10),"Ref_F, 2_Cables, Spaced Vertical DC",IF(AND(OR(D51="4H3"),D53=11),"Ref_F,    3 or 4 Cables Spaced Horizontal",IF(AND(OR(D51="4H3"),D53=12),"Ref_F,    3 or 4 Cables Spaced Vertical",IF(AND(OR(D51="4H4"),D53=2),"Ref C, 2_Cables",IF(AND(OR(D51="4H4"),D53=3),"Ref_C,   3 or 4 Cables",IF(AND(OR(D51="4H4"),D53=4),"Ref E, 2_Cables",IF(AND(OR(D51="4H4"),D53=5),"Ref_E,    3 or 4 Cables",IF(AND(OR(D51="4H4"),D53=6),"Ref D, 2_Cables",IF(AND(OR(D51="4H4"),D53=7),"Ref_D,   3 or 4 Cables",IF(AND(OR(D51="4H5"),D53=2),"Method 100",IF(AND(OR(D51="4H5"),D53=3),"Method 101",IF(AND(OR(D51="4H5"),D53=4),"Method 102",IF(AND(OR(D51="4H5"),D53=5),"Method 103",IF(AND(OR(D51="4H5"),D53=6),"Ref C",IF(AND(OR(D51="4H5"),D53=7),"Ref_A","")))))))))))))))))))))))))))))))))))))))))),IF(OR(D51="4J1",D51="4J2",D51="4J3",D51="4J4"),IF(AND(D51="4J1",D53&gt;1,D53&lt;13),"Single Core, Non-Armour ",IF(AND(D51="4J2",D53&gt;1,D53&lt;10),"Multi Core, Thermo-plastic Sheath, Non-Armour ",IF(AND(D51="4J3",D53&gt;1,D53&lt;13),"Single Core, Armour ",IF(AND(D51="4J4",D53&gt;1,D53&lt;8),"Multi Core, Armour ",""))))&amp;IF(AND(OR(D51="4J1"),D53=2),"Ref A, 2_Cables",IF(AND(OR(D51="4J1"),D53=3),"Ref_A,   3 or 4 Cables",IF(AND(OR(D51="4J1"),D53=4),"Ref B, 2_Cables",IF(AND(OR(D51="4J1"),D53=5),"Ref_B,    3 or 4 Cables",IF(AND(OR(D51="4J1"),D53=6),"Ref C, 2_Cables Touching Flat",IF(AND(OR(D51="4J1"),D53=7),"Ref_C,   3 or 4 Cables, Touching",IF(AND(OR(D51="4J1"),D53=8),"Ref F, 2_Cables Touching Flat",IF(AND(OR(D51="4J1"),D53=9),"Ref_F,   3_Cables Touching Flat",IF(AND(OR(D51="4J1"),D53=10),"Ref_F,   3_Cables Touching Trefoil",IF(AND(OR(D51="4J1"),D53=11),"Ref_F,    2 or 3 Cables Spaced Flat Horizontal",IF(AND(OR(D51="4J1"),D53=12),"Ref_F,    2 or 3 Cables Spaced Flat Vertical",IF(AND(OR(D51="4J2"),D53=2),"Ref A, 2_Cables",IF(AND(OR(D51="4J2"),D53=3),"Ref_A,   3 or 4 Cables",IF(AND(OR(D51="4J2"),D53=4),"Ref B, 2_Cables",IF(AND(OR(D51="4J2"),D53=5),"Ref_B,    3 or 4 Cables",IF(AND(OR(D51="4J2"),D53=6),"Ref C, 2_Cables",IF(AND(OR(D51="4J2"),D53=7),"Ref_C,   3 or 4 Cables",IF(AND(OR(D51="4J2"),D53=8),"Ref E, 2_Cables",IF(AND(OR(D51="4J2"),D53=9),"Ref_E,    3 or 4 Cables",IF(AND(OR(D51="4J3"),D53=2),"Ref C, 2_Cables Touching Flat",IF(AND(OR(D51="4J3"),D53=3),"Ref_C,   3 or 4 Cables Touching Flat",IF(AND(OR(D51="4J3"),D53=4),"Ref F, 2_Cables Touching Flat",IF(AND(OR(D51="4J3"),D53=5),"Ref_F,    3 or 4 Cables Touching Flat",IF(AND(OR(D51="4J3"),D53=6),"Ref F, 2_Cables Touching Trefoil",IF(AND(OR(D51="4J3"),D53=7),"Ref_F, 2_Cables, Spaced Horizontal DC",IF(AND(OR(D51="4J3"),D53=8),"Ref F, 2_Cables  Spaced Vertical DC",IF(AND(OR(D51="4J3"),D53=9),"Ref_F, 2_Cables, Spaced Horizontal AC",IF(AND(OR(D51="4J3"),D53=10),"Ref_F, 2_Cables, Spaced Vertical DC",IF(AND(OR(D51="4J3"),D53=11),"Ref_F,    3 or 4 Cables Spaced Horizontal",IF(AND(OR(D51="4J3"),D53=12),"Ref_F,    3 or 4 Cables Spaced Vertical",IF(AND(OR(D51="4J4"),D53=2),"Ref C, 2_Cables",IF(AND(OR(D51="4J4"),D53=3),"Ref_C,   3 or 4 Cables",IF(AND(OR(D51="4J4"),D53=4),"Ref E, 2_Cables",IF(AND(OR(D51="4J4"),D53=5),"Ref_E,    3 or 4 Cables",IF(AND(OR(D51="4J4"),D53=6),"Ref D, 2_Cables",IF(AND(OR(D51="4J4"),D53=7),"Ref_D,   3 or 4 Cables","")))))))))))))))))))))))))))))))))))),"")))</f>
        <v/>
      </c>
      <c r="E48" s="159" t="str">
        <f t="shared" ca="1" si="17"/>
        <v/>
      </c>
      <c r="F48" s="159" t="str">
        <f t="shared" ca="1" si="17"/>
        <v/>
      </c>
      <c r="G48" s="159" t="str">
        <f t="shared" ca="1" si="17"/>
        <v/>
      </c>
      <c r="H48" s="159" t="str">
        <f ca="1">IF(H27="","",IF(AND(OR(ISNUMBER(SEARCH("4H",H51)),ISNUMBER(SEARCH("4J",H51))),H45&lt;&gt;""),ROUNDUP(H29/MAX(H33:H35),0)&amp;"No.   ","")&amp;IF(OR(H51="4H1",H51="4H2",H51="4H3",H51="4H4",H51="4H5"),IF(AND(H51="4H1",H53&gt;1,H53&lt;13),"Single Core, Non-Armour, ",IF(AND(H51="4H2",H53&gt;1,H53&lt;10),"Multi Core, Thermo-plastic Sheath, Non-Armour, ",IF(AND(H51="4H3",H53&gt;1,H53&lt;13),"Single Core, Armour, ",IF(AND(H51="4H4",H53&gt;1,H53&lt;8),"Multi Core, Armour, ",IF(AND(H51="4H5",H53&gt;1,H53&lt;8),"Sheath, Flat, Protective Conductor, ","")))))&amp;IF(AND(OR(H51="4H1"),H53=2),"Ref A, 2_Cables",IF(AND(OR(H51="4H1"),H53=3),"Ref_A,   3 or 4 Cables",IF(AND(OR(H51="4H1"),H53=4),"Ref B, 2_Cables",IF(AND(OR(H51="4H1"),H53=5),"Ref_B,    3 or 4 Cables",IF(AND(OR(H51="4H1"),H53=6),"Ref C, 2_Cables Touching Flat",IF(AND(OR(H51="4H1"),H53=7),"Ref_C,   3 or 4 Cables, Touching",IF(AND(OR(H51="4H1"),H53=8),"Ref F, 2_Cables Touching Flat",IF(AND(OR(H51="4H1"),H53=9),"Ref_F,   3_Cables Touching Flat",IF(AND(OR(H51="4H1"),H53=10),"Ref_F,   3_Cables Touching Trefoil",IF(AND(OR(H51="4H1"),H53=11),"Ref_F,     2 or 3 Cables Spaced Flat Horizontal",IF(AND(OR(H51="4H1"),H53=12),"Ref_F,    2 or 3 Cables Spaced Flat Vertical",IF(AND(OR(H51="4H2"),H53=2),"Ref A, 2_Cables",IF(AND(OR(H51="4H2"),H53=3),"Ref_A,   3 or 4 Cables",IF(AND(OR(H51="4H2"),H53=4),"Ref B, 2_Cables",IF(AND(OR(H51="4H2"),H53=5),"Ref_B,    3 or 4 Cables",IF(AND(OR(H51="4H2"),H53=6),"Ref C, 2_Cables",IF(AND(OR(H51="4H2"),H53=7),"Ref_C,   3 or 4 Cables",IF(AND(OR(H51="4H2"),H53=8),"Ref E, 2_Cables",IF(AND(OR(H51="4H2"),H53=9),"Ref_E,    3 or 4 Cables",IF(AND(OR(H51="4H3"),H53=2),"Ref C, 2_Cables Touching Flat",IF(AND(OR(H51="4H3"),H53=3),"Ref_C,   3 or 4 Cables Touching Flat",IF(AND(OR(H51="4H3"),H53=4),"Ref F, 2_Cables Touching Flat",IF(AND(OR(H51="4H3"),H53=5),"Ref_F,    3 or 4 Cables Touching Flat",IF(AND(OR(H51="4H3"),H53=6),"Ref F, 2_Cables Touching Trefoil",IF(AND(OR(H51="4H3"),H53=7),"Ref_F, 2_Cables, Spaced Horizontal DC",IF(AND(OR(H51="4H3"),H53=8),"Ref F, 2_Cables  Spaced Vertical DC",IF(AND(OR(H51="4H3"),H53=9),"Ref_F, 2_Cables, Spaced Horizontal AC",IF(AND(OR(H51="4H3"),H53=10),"Ref_F, 2_Cables, Spaced Vertical DC",IF(AND(OR(H51="4H3"),H53=11),"Ref_F,    3 or 4 Cables Spaced Horizontal",IF(AND(OR(H51="4H3"),H53=12),"Ref_F,    3 or 4 Cables Spaced Vertical",IF(AND(OR(H51="4H4"),H53=2),"Ref C, 2_Cables",IF(AND(OR(H51="4H4"),H53=3),"Ref_C,   3 or 4 Cables",IF(AND(OR(H51="4H4"),H53=4),"Ref E, 2_Cables",IF(AND(OR(H51="4H4"),H53=5),"Ref_E,    3 or 4 Cables",IF(AND(OR(H51="4H4"),H53=6),"Ref D, 2_Cables",IF(AND(OR(H51="4H4"),H53=7),"Ref_D,   3 or 4 Cables",IF(AND(OR(H51="4H5"),H53=2),"Method 100",IF(AND(OR(H51="4H5"),H53=3),"Method 101",IF(AND(OR(H51="4H5"),H53=4),"Method 102",IF(AND(OR(H51="4H5"),H53=5),"Method 103",IF(AND(OR(H51="4H5"),H53=6),"Ref C",IF(AND(OR(H51="4H5"),H53=7),"Ref_A","")))))))))))))))))))))))))))))))))))))))))),IF(OR(H51="4J1",H51="4J2",H51="4J3",H51="4J4"),IF(AND(H51="4J1",H53&gt;1,H53&lt;13),"Single Core, Non-Armour ",IF(AND(H51="4J2",H53&gt;1,H53&lt;10),"Multi Core, Thermo-plastic Sheath, Non-Armour ",IF(AND(H51="4J3",H53&gt;1,H53&lt;13),"Single Core, Armour ",IF(AND(H51="4J4",H53&gt;1,H53&lt;8),"Multi Core, Armour ",""))))&amp;IF(AND(OR(H51="4J1"),H53=2),"Ref A, 2_Cables",IF(AND(OR(H51="4J1"),H53=3),"Ref_A,   3 or 4 Cables",IF(AND(OR(H51="4J1"),H53=4),"Ref B, 2_Cables",IF(AND(OR(H51="4J1"),H53=5),"Ref_B,    3 or 4 Cables",IF(AND(OR(H51="4J1"),H53=6),"Ref C, 2_Cables Touching Flat",IF(AND(OR(H51="4J1"),H53=7),"Ref_C,   3 or 4 Cables, Touching",IF(AND(OR(H51="4J1"),H53=8),"Ref F, 2_Cables Touching Flat",IF(AND(OR(H51="4J1"),H53=9),"Ref_F,   3_Cables Touching Flat",IF(AND(OR(H51="4J1"),H53=10),"Ref_F,   3_Cables Touching Trefoil",IF(AND(OR(H51="4J1"),H53=11),"Ref_F,    2 or 3 Cables Spaced Flat Horizontal",IF(AND(OR(H51="4J1"),H53=12),"Ref_F,    2 or 3 Cables Spaced Flat Vertical",IF(AND(OR(H51="4J2"),H53=2),"Ref A, 2_Cables",IF(AND(OR(H51="4J2"),H53=3),"Ref_A,   3 or 4 Cables",IF(AND(OR(H51="4J2"),H53=4),"Ref B, 2_Cables",IF(AND(OR(H51="4J2"),H53=5),"Ref_B,    3 or 4 Cables",IF(AND(OR(H51="4J2"),H53=6),"Ref C, 2_Cables",IF(AND(OR(H51="4J2"),H53=7),"Ref_C,   3 or 4 Cables",IF(AND(OR(H51="4J2"),H53=8),"Ref E, 2_Cables",IF(AND(OR(H51="4J2"),H53=9),"Ref_E,    3 or 4 Cables",IF(AND(OR(H51="4J3"),H53=2),"Ref C, 2_Cables Touching Flat",IF(AND(OR(H51="4J3"),H53=3),"Ref_C,   3 or 4 Cables Touching Flat",IF(AND(OR(H51="4J3"),H53=4),"Ref F, 2_Cables Touching Flat",IF(AND(OR(H51="4J3"),H53=5),"Ref_F,    3 or 4 Cables Touching Flat",IF(AND(OR(H51="4J3"),H53=6),"Ref F, 2_Cables Touching Trefoil",IF(AND(OR(H51="4J3"),H53=7),"Ref_F, 2_Cables, Spaced Horizontal DC",IF(AND(OR(H51="4J3"),H53=8),"Ref F, 2_Cables  Spaced Vertical DC",IF(AND(OR(H51="4J3"),H53=9),"Ref_F, 2_Cables, Spaced Horizontal AC",IF(AND(OR(H51="4J3"),H53=10),"Ref_F, 2_Cables, Spaced Vertical DC",IF(AND(OR(H51="4J3"),H53=11),"Ref_F,    3 or 4 Cables Spaced Horizontal",IF(AND(OR(H51="4J3"),H53=12),"Ref_F,    3 or 4 Cables Spaced Vertical",IF(AND(OR(H51="4J4"),H53=2),"Ref C, 2_Cables",IF(AND(OR(H51="4J4"),H53=3),"Ref_C,   3 or 4 Cables",IF(AND(OR(H51="4J4"),H53=4),"Ref E, 2_Cables",IF(AND(OR(H51="4J4"),H53=5),"Ref_E,    3 or 4 Cables",IF(AND(OR(H51="4J4"),H53=6),"Ref D, 2_Cables",IF(AND(OR(H51="4J4"),H53=7),"Ref_D,   3 or 4 Cables","")))))))))))))))))))))))))))))))))))),"")))</f>
        <v/>
      </c>
      <c r="I48" s="159" t="str">
        <f t="shared" si="17"/>
        <v/>
      </c>
      <c r="J48" s="159" t="str">
        <f t="shared" si="17"/>
        <v/>
      </c>
      <c r="K48" s="159" t="str">
        <f>IF(K27="","",IF(AND(OR(ISNUMBER(SEARCH("4H",K51)),ISNUMBER(SEARCH("4J",K51))),K45&lt;&gt;""),ROUNDUP(K29/MAX(K33:K35),0)&amp;"No.   ","")&amp;IF(OR(K51="4H1",K51="4H2",K51="4H3",K51="4H4",K51="4H5"),IF(AND(K51="4H1",K53&gt;1,K53&lt;13),"Single Core, Non-Armour, ",IF(AND(K51="4H2",K53&gt;1,K53&lt;10),"Multi Core, Thermo-plastic Sheath, Non-Armour, ",IF(AND(K51="4H3",K53&gt;1,K53&lt;13),"Single Core, Armour, ",IF(AND(K51="4H4",K53&gt;1,K53&lt;8),"Multi Core, Armour, ",IF(AND(K51="4H5",K53&gt;1,K53&lt;8),"Sheath, Flat, Protective Conductor, ","")))))&amp;IF(AND(OR(K51="4H1"),K53=2),"Ref A, 2_Cables",IF(AND(OR(K51="4H1"),K53=3),"Ref_A,   3 or 4 Cables",IF(AND(OR(K51="4H1"),K53=4),"Ref B, 2_Cables",IF(AND(OR(K51="4H1"),K53=5),"Ref_B,    3 or 4 Cables",IF(AND(OR(K51="4H1"),K53=6),"Ref C, 2_Cables Touching Flat",IF(AND(OR(K51="4H1"),K53=7),"Ref_C,   3 or 4 Cables, Touching",IF(AND(OR(K51="4H1"),K53=8),"Ref F, 2_Cables Touching Flat",IF(AND(OR(K51="4H1"),K53=9),"Ref_F,   3_Cables Touching Flat",IF(AND(OR(K51="4H1"),K53=10),"Ref_F,   3_Cables Touching Trefoil",IF(AND(OR(K51="4H1"),K53=11),"Ref_F,     2 or 3 Cables Spaced Flat Horizontal",IF(AND(OR(K51="4H1"),K53=12),"Ref_F,    2 or 3 Cables Spaced Flat Vertical",IF(AND(OR(K51="4H2"),K53=2),"Ref A, 2_Cables",IF(AND(OR(K51="4H2"),K53=3),"Ref_A,   3 or 4 Cables",IF(AND(OR(K51="4H2"),K53=4),"Ref B, 2_Cables",IF(AND(OR(K51="4H2"),K53=5),"Ref_B,    3 or 4 Cables",IF(AND(OR(K51="4H2"),K53=6),"Ref C, 2_Cables",IF(AND(OR(K51="4H2"),K53=7),"Ref_C,   3 or 4 Cables",IF(AND(OR(K51="4H2"),K53=8),"Ref E, 2_Cables",IF(AND(OR(K51="4H2"),K53=9),"Ref_E,    3 or 4 Cables",IF(AND(OR(K51="4H3"),K53=2),"Ref C, 2_Cables Touching Flat",IF(AND(OR(K51="4H3"),K53=3),"Ref_C,   3 or 4 Cables Touching Flat",IF(AND(OR(K51="4H3"),K53=4),"Ref F, 2_Cables Touching Flat",IF(AND(OR(K51="4H3"),K53=5),"Ref_F,    3 or 4 Cables Touching Flat",IF(AND(OR(K51="4H3"),K53=6),"Ref F, 2_Cables Touching Trefoil",IF(AND(OR(K51="4H3"),K53=7),"Ref_F, 2_Cables, Spaced Horizontal DC",IF(AND(OR(K51="4H3"),K53=8),"Ref F, 2_Cables  Spaced Vertical DC",IF(AND(OR(K51="4H3"),K53=9),"Ref_F, 2_Cables, Spaced Horizontal AC",IF(AND(OR(K51="4H3"),K53=10),"Ref_F, 2_Cables, Spaced Vertical DC",IF(AND(OR(K51="4H3"),K53=11),"Ref_F,    3 or 4 Cables Spaced Horizontal",IF(AND(OR(K51="4H3"),K53=12),"Ref_F,    3 or 4 Cables Spaced Vertical",IF(AND(OR(K51="4H4"),K53=2),"Ref C, 2_Cables",IF(AND(OR(K51="4H4"),K53=3),"Ref_C,   3 or 4 Cables",IF(AND(OR(K51="4H4"),K53=4),"Ref E, 2_Cables",IF(AND(OR(K51="4H4"),K53=5),"Ref_E,    3 or 4 Cables",IF(AND(OR(K51="4H4"),K53=6),"Ref D, 2_Cables",IF(AND(OR(K51="4H4"),K53=7),"Ref_D,   3 or 4 Cables",IF(AND(OR(K51="4H5"),K53=2),"Method 100",IF(AND(OR(K51="4H5"),K53=3),"Method 101",IF(AND(OR(K51="4H5"),K53=4),"Method 102",IF(AND(OR(K51="4H5"),K53=5),"Method 103",IF(AND(OR(K51="4H5"),K53=6),"Ref C",IF(AND(OR(K51="4H5"),K53=7),"Ref_A","")))))))))))))))))))))))))))))))))))))))))),IF(OR(K51="4J1",K51="4J2",K51="4J3",K51="4J4"),IF(AND(K51="4J1",K53&gt;1,K53&lt;13),"Single Core, Non-Armour ",IF(AND(K51="4J2",K53&gt;1,K53&lt;10),"Multi Core, Thermo-plastic Sheath, Non-Armour ",IF(AND(K51="4J3",K53&gt;1,K53&lt;13),"Single Core, Armour ",IF(AND(K51="4J4",K53&gt;1,K53&lt;8),"Multi Core, Armour ",""))))&amp;IF(AND(OR(K51="4J1"),K53=2),"Ref A, 2_Cables",IF(AND(OR(K51="4J1"),K53=3),"Ref_A,   3 or 4 Cables",IF(AND(OR(K51="4J1"),K53=4),"Ref B, 2_Cables",IF(AND(OR(K51="4J1"),K53=5),"Ref_B,    3 or 4 Cables",IF(AND(OR(K51="4J1"),K53=6),"Ref C, 2_Cables Touching Flat",IF(AND(OR(K51="4J1"),K53=7),"Ref_C,   3 or 4 Cables, Touching",IF(AND(OR(K51="4J1"),K53=8),"Ref F, 2_Cables Touching Flat",IF(AND(OR(K51="4J1"),K53=9),"Ref_F,   3_Cables Touching Flat",IF(AND(OR(K51="4J1"),K53=10),"Ref_F,   3_Cables Touching Trefoil",IF(AND(OR(K51="4J1"),K53=11),"Ref_F,    2 or 3 Cables Spaced Flat Horizontal",IF(AND(OR(K51="4J1"),K53=12),"Ref_F,    2 or 3 Cables Spaced Flat Vertical",IF(AND(OR(K51="4J2"),K53=2),"Ref A, 2_Cables",IF(AND(OR(K51="4J2"),K53=3),"Ref_A,   3 or 4 Cables",IF(AND(OR(K51="4J2"),K53=4),"Ref B, 2_Cables",IF(AND(OR(K51="4J2"),K53=5),"Ref_B,    3 or 4 Cables",IF(AND(OR(K51="4J2"),K53=6),"Ref C, 2_Cables",IF(AND(OR(K51="4J2"),K53=7),"Ref_C,   3 or 4 Cables",IF(AND(OR(K51="4J2"),K53=8),"Ref E, 2_Cables",IF(AND(OR(K51="4J2"),K53=9),"Ref_E,    3 or 4 Cables",IF(AND(OR(K51="4J3"),K53=2),"Ref C, 2_Cables Touching Flat",IF(AND(OR(K51="4J3"),K53=3),"Ref_C,   3 or 4 Cables Touching Flat",IF(AND(OR(K51="4J3"),K53=4),"Ref F, 2_Cables Touching Flat",IF(AND(OR(K51="4J3"),K53=5),"Ref_F,    3 or 4 Cables Touching Flat",IF(AND(OR(K51="4J3"),K53=6),"Ref F, 2_Cables Touching Trefoil",IF(AND(OR(K51="4J3"),K53=7),"Ref_F, 2_Cables, Spaced Horizontal DC",IF(AND(OR(K51="4J3"),K53=8),"Ref F, 2_Cables  Spaced Vertical DC",IF(AND(OR(K51="4J3"),K53=9),"Ref_F, 2_Cables, Spaced Horizontal AC",IF(AND(OR(K51="4J3"),K53=10),"Ref_F, 2_Cables, Spaced Vertical DC",IF(AND(OR(K51="4J3"),K53=11),"Ref_F,    3 or 4 Cables Spaced Horizontal",IF(AND(OR(K51="4J3"),K53=12),"Ref_F,    3 or 4 Cables Spaced Vertical",IF(AND(OR(K51="4J4"),K53=2),"Ref C, 2_Cables",IF(AND(OR(K51="4J4"),K53=3),"Ref_C,   3 or 4 Cables",IF(AND(OR(K51="4J4"),K53=4),"Ref E, 2_Cables",IF(AND(OR(K51="4J4"),K53=5),"Ref_E,    3 or 4 Cables",IF(AND(OR(K51="4J4"),K53=6),"Ref D, 2_Cables",IF(AND(OR(K51="4J4"),K53=7),"Ref_D,   3 or 4 Cables","")))))))))))))))))))))))))))))))))))),"")))</f>
        <v/>
      </c>
      <c r="L48" s="159" t="str">
        <f t="shared" si="17"/>
        <v/>
      </c>
      <c r="M48" s="159" t="str">
        <f t="shared" si="17"/>
        <v/>
      </c>
      <c r="N48" s="159" t="str">
        <f>IF(N27="","",IF(AND(OR(ISNUMBER(SEARCH("4H",N51)),ISNUMBER(SEARCH("4J",N51))),N45&lt;&gt;""),ROUNDUP(N29/MAX(N33:N35),0)&amp;"No.   ","")&amp;IF(OR(N51="4H1",N51="4H2",N51="4H3",N51="4H4",N51="4H5"),IF(AND(N51="4H1",N53&gt;1,N53&lt;13),"Single Core, Non-Armour, ",IF(AND(N51="4H2",N53&gt;1,N53&lt;10),"Multi Core, Thermo-plastic Sheath, Non-Armour, ",IF(AND(N51="4H3",N53&gt;1,N53&lt;13),"Single Core, Armour, ",IF(AND(N51="4H4",N53&gt;1,N53&lt;8),"Multi Core, Armour, ",IF(AND(N51="4H5",N53&gt;1,N53&lt;8),"Sheath, Flat, Protective Conductor, ","")))))&amp;IF(AND(OR(N51="4H1"),N53=2),"Ref A, 2_Cables",IF(AND(OR(N51="4H1"),N53=3),"Ref_A,   3 or 4 Cables",IF(AND(OR(N51="4H1"),N53=4),"Ref B, 2_Cables",IF(AND(OR(N51="4H1"),N53=5),"Ref_B,    3 or 4 Cables",IF(AND(OR(N51="4H1"),N53=6),"Ref C, 2_Cables Touching Flat",IF(AND(OR(N51="4H1"),N53=7),"Ref_C,   3 or 4 Cables, Touching",IF(AND(OR(N51="4H1"),N53=8),"Ref F, 2_Cables Touching Flat",IF(AND(OR(N51="4H1"),N53=9),"Ref_F,   3_Cables Touching Flat",IF(AND(OR(N51="4H1"),N53=10),"Ref_F,   3_Cables Touching Trefoil",IF(AND(OR(N51="4H1"),N53=11),"Ref_F,     2 or 3 Cables Spaced Flat Horizontal",IF(AND(OR(N51="4H1"),N53=12),"Ref_F,    2 or 3 Cables Spaced Flat Vertical",IF(AND(OR(N51="4H2"),N53=2),"Ref A, 2_Cables",IF(AND(OR(N51="4H2"),N53=3),"Ref_A,   3 or 4 Cables",IF(AND(OR(N51="4H2"),N53=4),"Ref B, 2_Cables",IF(AND(OR(N51="4H2"),N53=5),"Ref_B,    3 or 4 Cables",IF(AND(OR(N51="4H2"),N53=6),"Ref C, 2_Cables",IF(AND(OR(N51="4H2"),N53=7),"Ref_C,   3 or 4 Cables",IF(AND(OR(N51="4H2"),N53=8),"Ref E, 2_Cables",IF(AND(OR(N51="4H2"),N53=9),"Ref_E,    3 or 4 Cables",IF(AND(OR(N51="4H3"),N53=2),"Ref C, 2_Cables Touching Flat",IF(AND(OR(N51="4H3"),N53=3),"Ref_C,   3 or 4 Cables Touching Flat",IF(AND(OR(N51="4H3"),N53=4),"Ref F, 2_Cables Touching Flat",IF(AND(OR(N51="4H3"),N53=5),"Ref_F,    3 or 4 Cables Touching Flat",IF(AND(OR(N51="4H3"),N53=6),"Ref F, 2_Cables Touching Trefoil",IF(AND(OR(N51="4H3"),N53=7),"Ref_F, 2_Cables, Spaced Horizontal DC",IF(AND(OR(N51="4H3"),N53=8),"Ref F, 2_Cables  Spaced Vertical DC",IF(AND(OR(N51="4H3"),N53=9),"Ref_F, 2_Cables, Spaced Horizontal AC",IF(AND(OR(N51="4H3"),N53=10),"Ref_F, 2_Cables, Spaced Vertical DC",IF(AND(OR(N51="4H3"),N53=11),"Ref_F,    3 or 4 Cables Spaced Horizontal",IF(AND(OR(N51="4H3"),N53=12),"Ref_F,    3 or 4 Cables Spaced Vertical",IF(AND(OR(N51="4H4"),N53=2),"Ref C, 2_Cables",IF(AND(OR(N51="4H4"),N53=3),"Ref_C,   3 or 4 Cables",IF(AND(OR(N51="4H4"),N53=4),"Ref E, 2_Cables",IF(AND(OR(N51="4H4"),N53=5),"Ref_E,    3 or 4 Cables",IF(AND(OR(N51="4H4"),N53=6),"Ref D, 2_Cables",IF(AND(OR(N51="4H4"),N53=7),"Ref_D,   3 or 4 Cables",IF(AND(OR(N51="4H5"),N53=2),"Method 100",IF(AND(OR(N51="4H5"),N53=3),"Method 101",IF(AND(OR(N51="4H5"),N53=4),"Method 102",IF(AND(OR(N51="4H5"),N53=5),"Method 103",IF(AND(OR(N51="4H5"),N53=6),"Ref C",IF(AND(OR(N51="4H5"),N53=7),"Ref_A","")))))))))))))))))))))))))))))))))))))))))),IF(OR(N51="4J1",N51="4J2",N51="4J3",N51="4J4"),IF(AND(N51="4J1",N53&gt;1,N53&lt;13),"Single Core, Non-Armour ",IF(AND(N51="4J2",N53&gt;1,N53&lt;10),"Multi Core, Thermo-plastic Sheath, Non-Armour ",IF(AND(N51="4J3",N53&gt;1,N53&lt;13),"Single Core, Armour ",IF(AND(N51="4J4",N53&gt;1,N53&lt;8),"Multi Core, Armour ",""))))&amp;IF(AND(OR(N51="4J1"),N53=2),"Ref A, 2_Cables",IF(AND(OR(N51="4J1"),N53=3),"Ref_A,   3 or 4 Cables",IF(AND(OR(N51="4J1"),N53=4),"Ref B, 2_Cables",IF(AND(OR(N51="4J1"),N53=5),"Ref_B,    3 or 4 Cables",IF(AND(OR(N51="4J1"),N53=6),"Ref C, 2_Cables Touching Flat",IF(AND(OR(N51="4J1"),N53=7),"Ref_C,   3 or 4 Cables, Touching",IF(AND(OR(N51="4J1"),N53=8),"Ref F, 2_Cables Touching Flat",IF(AND(OR(N51="4J1"),N53=9),"Ref_F,   3_Cables Touching Flat",IF(AND(OR(N51="4J1"),N53=10),"Ref_F,   3_Cables Touching Trefoil",IF(AND(OR(N51="4J1"),N53=11),"Ref_F,    2 or 3 Cables Spaced Flat Horizontal",IF(AND(OR(N51="4J1"),N53=12),"Ref_F,    2 or 3 Cables Spaced Flat Vertical",IF(AND(OR(N51="4J2"),N53=2),"Ref A, 2_Cables",IF(AND(OR(N51="4J2"),N53=3),"Ref_A,   3 or 4 Cables",IF(AND(OR(N51="4J2"),N53=4),"Ref B, 2_Cables",IF(AND(OR(N51="4J2"),N53=5),"Ref_B,    3 or 4 Cables",IF(AND(OR(N51="4J2"),N53=6),"Ref C, 2_Cables",IF(AND(OR(N51="4J2"),N53=7),"Ref_C,   3 or 4 Cables",IF(AND(OR(N51="4J2"),N53=8),"Ref E, 2_Cables",IF(AND(OR(N51="4J2"),N53=9),"Ref_E,    3 or 4 Cables",IF(AND(OR(N51="4J3"),N53=2),"Ref C, 2_Cables Touching Flat",IF(AND(OR(N51="4J3"),N53=3),"Ref_C,   3 or 4 Cables Touching Flat",IF(AND(OR(N51="4J3"),N53=4),"Ref F, 2_Cables Touching Flat",IF(AND(OR(N51="4J3"),N53=5),"Ref_F,    3 or 4 Cables Touching Flat",IF(AND(OR(N51="4J3"),N53=6),"Ref F, 2_Cables Touching Trefoil",IF(AND(OR(N51="4J3"),N53=7),"Ref_F, 2_Cables, Spaced Horizontal DC",IF(AND(OR(N51="4J3"),N53=8),"Ref F, 2_Cables  Spaced Vertical DC",IF(AND(OR(N51="4J3"),N53=9),"Ref_F, 2_Cables, Spaced Horizontal AC",IF(AND(OR(N51="4J3"),N53=10),"Ref_F, 2_Cables, Spaced Vertical DC",IF(AND(OR(N51="4J3"),N53=11),"Ref_F,    3 or 4 Cables Spaced Horizontal",IF(AND(OR(N51="4J3"),N53=12),"Ref_F,    3 or 4 Cables Spaced Vertical",IF(AND(OR(N51="4J4"),N53=2),"Ref C, 2_Cables",IF(AND(OR(N51="4J4"),N53=3),"Ref_C,   3 or 4 Cables",IF(AND(OR(N51="4J4"),N53=4),"Ref E, 2_Cables",IF(AND(OR(N51="4J4"),N53=5),"Ref_E,    3 or 4 Cables",IF(AND(OR(N51="4J4"),N53=6),"Ref D, 2_Cables",IF(AND(OR(N51="4J4"),N53=7),"Ref_D,   3 or 4 Cables","")))))))))))))))))))))))))))))))))))),"")))</f>
        <v/>
      </c>
      <c r="O48" s="159"/>
    </row>
    <row r="49" spans="1:43" s="168" customFormat="1" ht="16">
      <c r="A49" s="123"/>
      <c r="B49" s="171"/>
    </row>
    <row r="50" spans="1:43" s="168" customFormat="1" ht="16">
      <c r="A50" s="123"/>
      <c r="B50" s="171"/>
    </row>
    <row r="51" spans="1:43" ht="15.75" customHeight="1">
      <c r="A51" s="391" t="s">
        <v>2091</v>
      </c>
      <c r="B51" s="127" t="s">
        <v>2092</v>
      </c>
      <c r="C51" s="128"/>
      <c r="D51" s="172" t="str">
        <f>IF(AND(D57=3,D23&lt;225),"4D2",IF(AND(D57=1,D23&lt;251),"4D2",IF(AND(D57=3,D23&gt;=225),"4D1",IF(AND(D57=1,D23&gt;=251),"4D1",""))))</f>
        <v>4D2</v>
      </c>
      <c r="E51" s="173" t="s">
        <v>2094</v>
      </c>
      <c r="F51" s="173" t="s">
        <v>2094</v>
      </c>
      <c r="G51" s="173" t="s">
        <v>2094</v>
      </c>
      <c r="H51" s="173" t="s">
        <v>2094</v>
      </c>
      <c r="I51" s="173" t="s">
        <v>2094</v>
      </c>
      <c r="J51" s="172" t="str">
        <f>IF(AND(J57=3,J23&lt;225),"4D2",IF(AND(J57=1,J23&lt;251),"4D2",IF(AND(J57=3,J23&gt;=225),"4D1",IF(AND(J57=1,J23&gt;=251),"4D1",""))))</f>
        <v>4D2</v>
      </c>
      <c r="K51" s="173" t="s">
        <v>2094</v>
      </c>
      <c r="L51" s="173" t="s">
        <v>2094</v>
      </c>
      <c r="M51" s="174"/>
      <c r="N51" s="173" t="s">
        <v>2094</v>
      </c>
      <c r="O51" s="129"/>
      <c r="P51" s="123"/>
      <c r="Q51" s="123"/>
      <c r="R51" s="123"/>
      <c r="S51" s="123"/>
      <c r="T51" s="123"/>
      <c r="U51" s="123"/>
      <c r="V51" s="123"/>
      <c r="W51" s="123"/>
      <c r="X51" s="123"/>
      <c r="Y51" s="123"/>
      <c r="Z51" s="123"/>
      <c r="AA51" s="123"/>
      <c r="AB51" s="123"/>
      <c r="AC51" s="123"/>
      <c r="AD51" s="147"/>
      <c r="AQ51" s="112"/>
    </row>
    <row r="52" spans="1:43" ht="15.75" customHeight="1">
      <c r="A52" s="392"/>
      <c r="B52" s="151"/>
      <c r="C52" s="143"/>
      <c r="D52" s="139"/>
      <c r="E52" s="139"/>
      <c r="F52" s="139"/>
      <c r="G52" s="139"/>
      <c r="H52" s="139"/>
      <c r="I52" s="139"/>
      <c r="J52" s="139"/>
      <c r="K52" s="139"/>
      <c r="L52" s="139"/>
      <c r="M52" s="143"/>
      <c r="N52" s="175"/>
      <c r="O52" s="143"/>
      <c r="P52" s="125"/>
      <c r="Q52" s="125"/>
      <c r="R52" s="125"/>
      <c r="S52" s="125"/>
      <c r="T52" s="125"/>
      <c r="U52" s="125"/>
      <c r="V52" s="125"/>
      <c r="W52" s="125"/>
      <c r="X52" s="125"/>
      <c r="Y52" s="125"/>
      <c r="Z52" s="125"/>
      <c r="AA52" s="125"/>
      <c r="AB52" s="125"/>
      <c r="AC52" s="125"/>
      <c r="AD52" s="147"/>
      <c r="AQ52" s="112"/>
    </row>
    <row r="53" spans="1:43" ht="16">
      <c r="A53" s="392"/>
      <c r="B53" s="151" t="s">
        <v>2095</v>
      </c>
      <c r="C53" s="143"/>
      <c r="D53" s="140">
        <f>IF(AND(D57=3,D51="4D2"),7,IF(AND(D57=1,D51="4D2"),6,IF(AND(D57=3,D51="4D1"),9,IF(AND(D57=1,D51="4D1"),8,""))))</f>
        <v>6</v>
      </c>
      <c r="E53" s="140">
        <v>6</v>
      </c>
      <c r="F53" s="140">
        <v>6</v>
      </c>
      <c r="G53" s="140">
        <v>6</v>
      </c>
      <c r="H53" s="140">
        <v>6</v>
      </c>
      <c r="I53" s="140">
        <v>12</v>
      </c>
      <c r="J53" s="140">
        <f>IF(AND(J57=3,J51="4D2"),7,IF(AND(J57=1,J51="4D2"),6,IF(AND(J57=3,J23&gt;=100),9,IF(AND(J57=1,J23&gt;=101),8,""))))</f>
        <v>6</v>
      </c>
      <c r="K53" s="140">
        <v>6</v>
      </c>
      <c r="L53" s="140">
        <v>6</v>
      </c>
      <c r="M53" s="152"/>
      <c r="N53" s="140">
        <v>11</v>
      </c>
      <c r="O53" s="143"/>
      <c r="P53" s="125"/>
      <c r="Q53" s="125"/>
      <c r="R53" s="125"/>
      <c r="S53" s="125"/>
      <c r="T53" s="125"/>
      <c r="U53" s="125"/>
      <c r="V53" s="125"/>
      <c r="W53" s="125"/>
      <c r="X53" s="125"/>
      <c r="Y53" s="125"/>
      <c r="Z53" s="125"/>
      <c r="AA53" s="125"/>
      <c r="AB53" s="125"/>
      <c r="AC53" s="125"/>
      <c r="AD53" s="147"/>
      <c r="AQ53" s="112"/>
    </row>
    <row r="54" spans="1:43" ht="16">
      <c r="A54" s="392"/>
      <c r="B54" s="151"/>
      <c r="C54" s="143"/>
      <c r="D54" s="175"/>
      <c r="E54" s="175"/>
      <c r="F54" s="175"/>
      <c r="G54" s="175"/>
      <c r="H54" s="140"/>
      <c r="I54" s="175"/>
      <c r="J54" s="140"/>
      <c r="K54" s="175"/>
      <c r="L54" s="175"/>
      <c r="M54" s="143"/>
      <c r="N54" s="175"/>
      <c r="O54" s="143"/>
      <c r="P54" s="125"/>
      <c r="Q54" s="125"/>
      <c r="R54" s="125"/>
      <c r="S54" s="125"/>
      <c r="T54" s="125"/>
      <c r="U54" s="125"/>
      <c r="V54" s="125"/>
      <c r="W54" s="125"/>
      <c r="X54" s="125"/>
      <c r="Y54" s="125"/>
      <c r="Z54" s="125"/>
      <c r="AA54" s="125"/>
      <c r="AB54" s="125"/>
      <c r="AC54" s="125"/>
      <c r="AD54" s="147"/>
      <c r="AQ54" s="112"/>
    </row>
    <row r="55" spans="1:43" ht="16">
      <c r="A55" s="392"/>
      <c r="B55" s="151" t="s">
        <v>2096</v>
      </c>
      <c r="C55" s="143"/>
      <c r="D55" s="175" t="s">
        <v>2097</v>
      </c>
      <c r="E55" s="175" t="s">
        <v>2150</v>
      </c>
      <c r="F55" s="175" t="s">
        <v>2150</v>
      </c>
      <c r="G55" s="175" t="s">
        <v>2150</v>
      </c>
      <c r="H55" s="175" t="s">
        <v>2150</v>
      </c>
      <c r="I55" s="175" t="s">
        <v>2150</v>
      </c>
      <c r="J55" s="175" t="s">
        <v>2097</v>
      </c>
      <c r="K55" s="175" t="s">
        <v>2150</v>
      </c>
      <c r="L55" s="175" t="s">
        <v>2097</v>
      </c>
      <c r="M55" s="143"/>
      <c r="N55" s="175" t="s">
        <v>2097</v>
      </c>
      <c r="O55" s="143"/>
      <c r="P55" s="125"/>
      <c r="Q55" s="125"/>
      <c r="R55" s="125"/>
      <c r="S55" s="125"/>
      <c r="T55" s="125"/>
      <c r="U55" s="125"/>
      <c r="V55" s="125"/>
      <c r="W55" s="125"/>
      <c r="X55" s="125"/>
      <c r="Y55" s="125"/>
      <c r="Z55" s="125"/>
      <c r="AA55" s="125"/>
      <c r="AB55" s="125"/>
      <c r="AC55" s="125"/>
      <c r="AD55" s="147"/>
      <c r="AQ55" s="112"/>
    </row>
    <row r="56" spans="1:43" ht="16">
      <c r="A56" s="392"/>
      <c r="B56" s="151"/>
      <c r="C56" s="143"/>
      <c r="D56" s="175"/>
      <c r="E56" s="175"/>
      <c r="F56" s="175"/>
      <c r="G56" s="175"/>
      <c r="H56" s="140"/>
      <c r="I56" s="175"/>
      <c r="J56" s="140"/>
      <c r="K56" s="175"/>
      <c r="L56" s="175"/>
      <c r="M56" s="143"/>
      <c r="N56" s="175"/>
      <c r="O56" s="143"/>
      <c r="P56" s="125"/>
      <c r="Q56" s="125"/>
      <c r="R56" s="125"/>
      <c r="S56" s="125"/>
      <c r="T56" s="125"/>
      <c r="U56" s="125"/>
      <c r="V56" s="125"/>
      <c r="W56" s="125"/>
      <c r="X56" s="125"/>
      <c r="Y56" s="125"/>
      <c r="Z56" s="125"/>
      <c r="AA56" s="125"/>
      <c r="AB56" s="125"/>
      <c r="AC56" s="125"/>
      <c r="AD56" s="147"/>
      <c r="AQ56" s="112"/>
    </row>
    <row r="57" spans="1:43" ht="16">
      <c r="A57" s="392"/>
      <c r="B57" s="151" t="s">
        <v>2098</v>
      </c>
      <c r="C57" s="143"/>
      <c r="D57" s="175">
        <f>IF(AND(OR('Customer Base'!D7="Grid-tied",'Customer Base'!D$13="Deye"),'Customer Base'!D$14&gt;=10),'Customer Base'!D$9,1)</f>
        <v>1</v>
      </c>
      <c r="E57" s="175">
        <v>1</v>
      </c>
      <c r="F57" s="175">
        <v>1</v>
      </c>
      <c r="G57" s="175">
        <v>1</v>
      </c>
      <c r="H57" s="175">
        <v>1</v>
      </c>
      <c r="I57" s="175">
        <v>1</v>
      </c>
      <c r="J57" s="140">
        <f>'Customer Base'!D9</f>
        <v>1</v>
      </c>
      <c r="K57" s="175">
        <v>1</v>
      </c>
      <c r="L57" s="175">
        <v>3</v>
      </c>
      <c r="M57" s="143"/>
      <c r="N57" s="175">
        <v>3</v>
      </c>
      <c r="O57" s="143" t="str">
        <f>IF(N57&lt;&gt;"","Φ","")</f>
        <v>Φ</v>
      </c>
      <c r="P57" s="125"/>
      <c r="Q57" s="125"/>
      <c r="R57" s="125"/>
      <c r="S57" s="125"/>
      <c r="T57" s="125"/>
      <c r="U57" s="125"/>
      <c r="V57" s="125"/>
      <c r="W57" s="125"/>
      <c r="X57" s="125"/>
      <c r="Y57" s="125"/>
      <c r="Z57" s="125"/>
      <c r="AA57" s="125"/>
      <c r="AB57" s="125"/>
      <c r="AC57" s="125"/>
      <c r="AD57" s="147"/>
      <c r="AQ57" s="112"/>
    </row>
    <row r="58" spans="1:43" ht="16">
      <c r="A58" s="392"/>
      <c r="B58" s="151"/>
      <c r="C58" s="143"/>
      <c r="D58" s="175"/>
      <c r="E58" s="175"/>
      <c r="F58" s="175"/>
      <c r="G58" s="175"/>
      <c r="H58" s="140"/>
      <c r="I58" s="140"/>
      <c r="J58" s="140"/>
      <c r="K58" s="175"/>
      <c r="L58" s="175"/>
      <c r="M58" s="143"/>
      <c r="N58" s="175"/>
      <c r="O58" s="143"/>
      <c r="P58" s="125"/>
      <c r="Q58" s="125"/>
      <c r="R58" s="125"/>
      <c r="S58" s="125"/>
      <c r="T58" s="125"/>
      <c r="U58" s="125"/>
      <c r="V58" s="125"/>
      <c r="W58" s="125"/>
      <c r="X58" s="125"/>
      <c r="Y58" s="125"/>
      <c r="Z58" s="125"/>
      <c r="AA58" s="125"/>
      <c r="AB58" s="125"/>
      <c r="AC58" s="125"/>
      <c r="AD58" s="147"/>
      <c r="AQ58" s="112"/>
    </row>
    <row r="59" spans="1:43" ht="16">
      <c r="A59" s="392"/>
      <c r="B59" s="151" t="s">
        <v>2099</v>
      </c>
      <c r="C59" s="143"/>
      <c r="D59" s="175" t="s">
        <v>2100</v>
      </c>
      <c r="E59" s="175" t="s">
        <v>2100</v>
      </c>
      <c r="F59" s="175" t="s">
        <v>2100</v>
      </c>
      <c r="G59" s="175" t="s">
        <v>2100</v>
      </c>
      <c r="H59" s="175" t="s">
        <v>2100</v>
      </c>
      <c r="I59" s="175" t="s">
        <v>2100</v>
      </c>
      <c r="J59" s="175" t="s">
        <v>2100</v>
      </c>
      <c r="K59" s="175" t="s">
        <v>2100</v>
      </c>
      <c r="L59" s="175" t="s">
        <v>2100</v>
      </c>
      <c r="M59" s="143"/>
      <c r="N59" s="175" t="s">
        <v>2100</v>
      </c>
      <c r="O59" s="143"/>
      <c r="P59" s="125"/>
      <c r="Q59" s="125"/>
      <c r="R59" s="125"/>
      <c r="S59" s="125"/>
      <c r="T59" s="125"/>
      <c r="U59" s="125"/>
      <c r="V59" s="125"/>
      <c r="W59" s="125"/>
      <c r="X59" s="125"/>
      <c r="Y59" s="125"/>
      <c r="Z59" s="125"/>
      <c r="AA59" s="125"/>
      <c r="AB59" s="125"/>
      <c r="AC59" s="125"/>
      <c r="AD59" s="147"/>
      <c r="AQ59" s="112"/>
    </row>
    <row r="60" spans="1:43" s="168" customFormat="1" ht="16">
      <c r="A60" s="393"/>
      <c r="B60" s="170"/>
      <c r="C60" s="159"/>
      <c r="D60" s="137"/>
      <c r="E60" s="137"/>
      <c r="F60" s="137"/>
      <c r="G60" s="137"/>
      <c r="H60" s="137"/>
      <c r="I60" s="137"/>
      <c r="J60" s="137"/>
      <c r="K60" s="137"/>
      <c r="L60" s="137"/>
      <c r="M60" s="159"/>
      <c r="N60" s="137"/>
      <c r="O60" s="159"/>
    </row>
    <row r="61" spans="1:43" s="123" customFormat="1" ht="18.75" customHeight="1">
      <c r="A61" s="391" t="s">
        <v>2101</v>
      </c>
      <c r="B61" s="176" t="s">
        <v>2102</v>
      </c>
      <c r="C61" s="129"/>
      <c r="D61" s="177">
        <v>1</v>
      </c>
      <c r="E61" s="177">
        <v>1</v>
      </c>
      <c r="F61" s="177">
        <v>1</v>
      </c>
      <c r="G61" s="177">
        <v>1</v>
      </c>
      <c r="H61" s="177">
        <v>1</v>
      </c>
      <c r="I61" s="177">
        <v>1</v>
      </c>
      <c r="J61" s="177">
        <v>1</v>
      </c>
      <c r="K61" s="177">
        <v>1</v>
      </c>
      <c r="L61" s="177">
        <v>1</v>
      </c>
      <c r="M61" s="129"/>
      <c r="N61" s="177">
        <v>1</v>
      </c>
      <c r="O61" s="129"/>
    </row>
    <row r="62" spans="1:43" s="123" customFormat="1" ht="18.75" customHeight="1">
      <c r="A62" s="392"/>
      <c r="B62" s="178" t="s">
        <v>2103</v>
      </c>
      <c r="C62" s="152"/>
      <c r="D62" s="140">
        <f>IF(D27&lt;125,0.9,1)</f>
        <v>0.9</v>
      </c>
      <c r="E62" s="140">
        <v>1</v>
      </c>
      <c r="F62" s="140">
        <v>1</v>
      </c>
      <c r="G62" s="140">
        <v>1</v>
      </c>
      <c r="H62" s="140">
        <v>1</v>
      </c>
      <c r="I62" s="140">
        <v>0.81</v>
      </c>
      <c r="J62" s="140">
        <v>1</v>
      </c>
      <c r="K62" s="140">
        <v>1</v>
      </c>
      <c r="L62" s="140">
        <v>1</v>
      </c>
      <c r="M62" s="152"/>
      <c r="N62" s="140">
        <v>0.9</v>
      </c>
      <c r="O62" s="152"/>
    </row>
    <row r="63" spans="1:43" s="123" customFormat="1" ht="18.75" customHeight="1">
      <c r="A63" s="392"/>
      <c r="B63" s="178" t="s">
        <v>2104</v>
      </c>
      <c r="C63" s="152"/>
      <c r="D63" s="140">
        <v>1</v>
      </c>
      <c r="E63" s="140">
        <v>1</v>
      </c>
      <c r="F63" s="140">
        <v>1</v>
      </c>
      <c r="G63" s="140">
        <v>1</v>
      </c>
      <c r="H63" s="140">
        <v>1</v>
      </c>
      <c r="I63" s="140">
        <v>1</v>
      </c>
      <c r="J63" s="140">
        <v>1</v>
      </c>
      <c r="K63" s="140">
        <v>1</v>
      </c>
      <c r="L63" s="140">
        <v>1</v>
      </c>
      <c r="M63" s="152"/>
      <c r="N63" s="140">
        <v>1</v>
      </c>
      <c r="O63" s="152"/>
    </row>
    <row r="64" spans="1:43" s="123" customFormat="1" ht="18.75" customHeight="1">
      <c r="A64" s="392"/>
      <c r="B64" s="178" t="s">
        <v>2105</v>
      </c>
      <c r="C64" s="152"/>
      <c r="D64" s="140">
        <v>1</v>
      </c>
      <c r="E64" s="140">
        <v>1</v>
      </c>
      <c r="F64" s="140">
        <v>1</v>
      </c>
      <c r="G64" s="140">
        <v>1</v>
      </c>
      <c r="H64" s="140">
        <v>1</v>
      </c>
      <c r="I64" s="140">
        <v>1</v>
      </c>
      <c r="J64" s="140">
        <v>1</v>
      </c>
      <c r="K64" s="140">
        <v>1</v>
      </c>
      <c r="L64" s="140">
        <v>1</v>
      </c>
      <c r="M64" s="152"/>
      <c r="N64" s="140">
        <v>1</v>
      </c>
      <c r="O64" s="152"/>
    </row>
    <row r="65" spans="1:43" s="123" customFormat="1" ht="18.75" customHeight="1">
      <c r="A65" s="392"/>
      <c r="B65" s="178" t="s">
        <v>2106</v>
      </c>
      <c r="C65" s="152"/>
      <c r="D65" s="140">
        <v>1</v>
      </c>
      <c r="E65" s="140">
        <v>1</v>
      </c>
      <c r="F65" s="140">
        <v>1</v>
      </c>
      <c r="G65" s="140">
        <v>1</v>
      </c>
      <c r="H65" s="140">
        <v>1</v>
      </c>
      <c r="I65" s="140">
        <v>1</v>
      </c>
      <c r="J65" s="140">
        <v>1</v>
      </c>
      <c r="K65" s="140">
        <v>1</v>
      </c>
      <c r="L65" s="140">
        <v>1</v>
      </c>
      <c r="M65" s="152"/>
      <c r="N65" s="140">
        <v>1</v>
      </c>
      <c r="O65" s="152"/>
    </row>
    <row r="66" spans="1:43" s="123" customFormat="1" ht="18.75" customHeight="1">
      <c r="A66" s="392"/>
      <c r="B66" s="178" t="s">
        <v>2107</v>
      </c>
      <c r="C66" s="152"/>
      <c r="D66" s="140">
        <v>1</v>
      </c>
      <c r="E66" s="140">
        <v>1</v>
      </c>
      <c r="F66" s="140">
        <v>1</v>
      </c>
      <c r="G66" s="140">
        <v>1</v>
      </c>
      <c r="H66" s="140">
        <v>1</v>
      </c>
      <c r="I66" s="140">
        <v>1</v>
      </c>
      <c r="J66" s="140">
        <v>1</v>
      </c>
      <c r="K66" s="140">
        <v>1</v>
      </c>
      <c r="L66" s="140">
        <v>1</v>
      </c>
      <c r="M66" s="152"/>
      <c r="N66" s="140">
        <v>1</v>
      </c>
      <c r="O66" s="152"/>
    </row>
    <row r="67" spans="1:43" s="123" customFormat="1" ht="18.75" customHeight="1">
      <c r="A67" s="392"/>
      <c r="B67" s="178" t="s">
        <v>2108</v>
      </c>
      <c r="C67" s="152"/>
      <c r="D67" s="140">
        <v>1</v>
      </c>
      <c r="E67" s="140">
        <v>1</v>
      </c>
      <c r="F67" s="140">
        <v>1</v>
      </c>
      <c r="G67" s="140">
        <v>1</v>
      </c>
      <c r="H67" s="140">
        <v>1</v>
      </c>
      <c r="I67" s="140">
        <v>1</v>
      </c>
      <c r="J67" s="140">
        <v>1</v>
      </c>
      <c r="K67" s="140">
        <v>1</v>
      </c>
      <c r="L67" s="140">
        <v>1</v>
      </c>
      <c r="M67" s="152"/>
      <c r="N67" s="140">
        <v>1</v>
      </c>
      <c r="O67" s="152"/>
    </row>
    <row r="68" spans="1:43" ht="15.75" customHeight="1">
      <c r="A68" s="393"/>
      <c r="B68" s="143"/>
      <c r="C68" s="152"/>
      <c r="D68" s="179"/>
      <c r="E68" s="179"/>
      <c r="F68" s="179"/>
      <c r="G68" s="179"/>
      <c r="H68" s="179"/>
      <c r="I68" s="179"/>
      <c r="J68" s="179"/>
      <c r="K68" s="179"/>
      <c r="L68" s="179"/>
      <c r="M68" s="143"/>
      <c r="N68" s="175"/>
      <c r="O68" s="152"/>
      <c r="P68" s="123"/>
      <c r="Q68" s="123"/>
      <c r="R68" s="123"/>
      <c r="S68" s="123"/>
      <c r="T68" s="123"/>
      <c r="U68" s="123"/>
      <c r="V68" s="123"/>
      <c r="W68" s="123"/>
      <c r="X68" s="123"/>
      <c r="Y68" s="123"/>
      <c r="Z68" s="123"/>
      <c r="AA68" s="123"/>
      <c r="AB68" s="123"/>
      <c r="AC68" s="123"/>
      <c r="AD68" s="147"/>
      <c r="AQ68" s="112"/>
    </row>
    <row r="69" spans="1:43" s="168" customFormat="1" ht="17">
      <c r="A69" s="129"/>
      <c r="B69" s="167" t="s">
        <v>2109</v>
      </c>
      <c r="C69" s="156"/>
      <c r="D69" s="180">
        <f>'Customer Base'!D32</f>
        <v>10</v>
      </c>
      <c r="E69" s="180">
        <f>'Customer Base'!D31</f>
        <v>20</v>
      </c>
      <c r="F69" s="180">
        <f>E69</f>
        <v>20</v>
      </c>
      <c r="G69" s="180">
        <f>E69</f>
        <v>20</v>
      </c>
      <c r="H69" s="180">
        <f>E69</f>
        <v>20</v>
      </c>
      <c r="I69" s="180">
        <v>50</v>
      </c>
      <c r="J69" s="180">
        <v>50</v>
      </c>
      <c r="K69" s="180">
        <f>E69</f>
        <v>20</v>
      </c>
      <c r="L69" s="180">
        <f>E69</f>
        <v>20</v>
      </c>
      <c r="M69" s="156"/>
      <c r="N69" s="180">
        <v>50</v>
      </c>
      <c r="O69" s="128" t="str">
        <f>IF(N69&lt;&gt;"","m.","")</f>
        <v>m.</v>
      </c>
    </row>
    <row r="70" spans="1:43" s="168" customFormat="1" ht="16">
      <c r="A70" s="152"/>
      <c r="B70" s="181"/>
      <c r="C70" s="158"/>
      <c r="D70" s="182"/>
      <c r="E70" s="182"/>
      <c r="F70" s="182"/>
      <c r="G70" s="182"/>
      <c r="H70" s="182"/>
      <c r="I70" s="182"/>
      <c r="J70" s="182"/>
      <c r="K70" s="182"/>
      <c r="L70" s="182"/>
      <c r="M70" s="158"/>
      <c r="N70" s="182"/>
      <c r="O70" s="158"/>
    </row>
    <row r="71" spans="1:43" s="168" customFormat="1" ht="17">
      <c r="A71" s="152"/>
      <c r="B71" s="181" t="s">
        <v>2110</v>
      </c>
      <c r="C71" s="158"/>
      <c r="D71" s="182" t="s">
        <v>2111</v>
      </c>
      <c r="E71" s="182" t="s">
        <v>2111</v>
      </c>
      <c r="F71" s="182" t="s">
        <v>2111</v>
      </c>
      <c r="G71" s="182" t="s">
        <v>2111</v>
      </c>
      <c r="H71" s="182" t="s">
        <v>2111</v>
      </c>
      <c r="I71" s="182" t="s">
        <v>2111</v>
      </c>
      <c r="J71" s="182" t="s">
        <v>2111</v>
      </c>
      <c r="K71" s="182" t="s">
        <v>2111</v>
      </c>
      <c r="L71" s="182" t="s">
        <v>2111</v>
      </c>
      <c r="M71" s="158"/>
      <c r="N71" s="182" t="s">
        <v>2111</v>
      </c>
      <c r="O71" s="158"/>
    </row>
    <row r="72" spans="1:43" s="168" customFormat="1" ht="16">
      <c r="A72" s="136"/>
      <c r="B72" s="170"/>
      <c r="C72" s="159"/>
      <c r="D72" s="137"/>
      <c r="E72" s="137"/>
      <c r="F72" s="137"/>
      <c r="G72" s="137"/>
      <c r="H72" s="137"/>
      <c r="I72" s="137"/>
      <c r="J72" s="137"/>
      <c r="K72" s="137"/>
      <c r="L72" s="137"/>
      <c r="M72" s="159"/>
      <c r="N72" s="137"/>
      <c r="O72" s="159"/>
    </row>
    <row r="73" spans="1:43" s="168" customFormat="1" ht="16">
      <c r="A73" s="123"/>
      <c r="B73" s="171"/>
    </row>
    <row r="74" spans="1:43" s="168" customFormat="1" ht="16">
      <c r="A74" s="123"/>
      <c r="B74" s="171"/>
    </row>
    <row r="75" spans="1:43" s="124" customFormat="1" ht="16">
      <c r="A75" s="391" t="s">
        <v>2080</v>
      </c>
      <c r="B75" s="394" t="s">
        <v>2112</v>
      </c>
      <c r="C75" s="129"/>
      <c r="D75" s="129" cm="1">
        <f t="array" ref="D75">IF(D29="","",IF(OR(D51="4D1",D51="4D2",D51="4D3",D51="4D4",D51="4D5"),IF(AND(D51="4D1",D53=2),INDEX(T!$B6:$B22,MATCH(TRUE,INDEX(T!$B6:$B22&gt;=D29,0),)),IF(AND(D51="4D1",D53=3),INDEX(T!$C$6:$C22,MATCH(TRUE,INDEX(T!$C$6:$C22&gt;=D29,0),)),IF(AND(D51="4D1",D53=4),INDEX(T!$D6:$D25,MATCH(TRUE,INDEX(T!$D6:$D25&gt;=D29,0),)),IF(AND(D51="4D1",D53=5),INDEX(T!$E6:$E25,MATCH(TRUE,INDEX(T!$E6:$E25&gt;=D29,0),)),IF(AND(D51="4D1",D53=6),INDEX(T!$F6:$F27,MATCH(TRUE,INDEX(T!$F6:$F27&gt;=D29,0),)),IF(AND(D51="4D1",D53=7),INDEX(T!$G6:$G27,MATCH(TRUE,INDEX(T!$G6:$G27&gt;=D29,0),)),IF(AND(D51="4D1",D53=8),INDEX(T!$H13:$H27,MATCH(TRUE,INDEX(T!$H13:$H27&gt;=D29,0),)),IF(AND(D51="4D1",D53=9),INDEX(T!$I13:$I27,MATCH(TRUE,INDEX(T!$I13:$I27&gt;=D29,0),)),IF(AND(D51="4D1",D53=10),INDEX(T!$J13:$J27,MATCH(TRUE,INDEX(T!$J13:$J27&gt;=D29,0),)),IF(AND(D51="4D1",D53=11),INDEX(T!$K13:$K27,MATCH(TRUE,INDEX(T!$K13:$K27&gt;=D29,0),)),IF(AND(D51="4D1",D53=12),INDEX(T!$L$13:$L27,MATCH(TRUE,INDEX(T!$L$13:$L27&gt;=D29,0),)),IF(AND(D51="4D2",D53=2),INDEX(T!$B33:$B49,MATCH(TRUE,INDEX(T!$B33:$B49&gt;=D29,0),)),IF(AND(D51="4D2",D53=3),INDEX(T!$C$33:$C49,MATCH(TRUE,INDEX(T!$C$33:$C49&gt;=D29,0),)),IF(AND(D51="4D2",D53=4),INDEX(T!$D33:$D50,MATCH(TRUE,INDEX(T!$D33:$D50&gt;=D29,0),)),IF(AND(D51="4D2",D53=5),INDEX(T!$E33:$E50,MATCH(TRUE,INDEX(T!$E33:$E50&gt;=D29,0),)),IF(AND(D51="4D2",D53=6),INDEX(T!$F33:$F50,MATCH(TRUE,INDEX(T!$F33:$F50&gt;=D29,0),)),IF(AND(D51="4D2",D53=7),INDEX(T!$G33:$G50,MATCH(TRUE,INDEX(T!$G33:$G50&gt;=D29,0),)),IF(AND(D51="4D2",D53=8),INDEX(T!$H33:$H50,MATCH(TRUE,INDEX(T!$H33:$H50&gt;=D29,0),)),IF(AND(D51="4D2",D53=9),INDEX(T!$I33:$I50,MATCH(TRUE,INDEX(T!$I33:$I50&gt;=D29,0),)),IF(AND(D51="4D3",D53=2),INDEX(T!$B56:$B68,MATCH(TRUE,INDEX(T!$B56:$B68&gt;=D29,0),)),IF(AND(D51="4D3",D53=3),INDEX(T!$C$56:$C68,MATCH(TRUE,INDEX(T!$C$56:$C68&gt;=D29,0),)),IF(AND(D51="4D3",D53=4),INDEX(T!$D56:$D68,MATCH(TRUE,INDEX(T!$D56:$D68&gt;=D29,0),)),IF(AND(D51="4D3",D53=5),INDEX(T!$E56:$E68,MATCH(TRUE,INDEX(T!$E56:$E68&gt;=D29,0),)),IF(AND(D51="4D3",D53=6),INDEX(T!$F56:$F68,MATCH(TRUE,INDEX(T!$F56:$F68&gt;=D29,0),)),IF(AND(D51="4D3",D53=7),INDEX(T!$G56:$G68,MATCH(TRUE,INDEX(T!$G56:$G68&gt;=D29,0),)),IF(AND(D51="4D3",D53=8),INDEX(T!$H56:$H68,MATCH(TRUE,INDEX(T!$H56:$H68&gt;=D29,0),)),IF(AND(D51="4D3",D53=9),INDEX(T!$I56:$I68,MATCH(TRUE,INDEX(T!$I56:$I68&gt;=D29,0),)),IF(AND(D51="4D3",D53=10),INDEX(T!$J56:$J68,MATCH(TRUE,INDEX(T!$J56:$J68&gt;=D29,0),)),IF(AND(D51="4D3",D53=11),INDEX(T!$K56:$K68,MATCH(TRUE,INDEX(T!$K56:$K68&gt;=D29,0),)),IF(AND(D51="4D3",D53=12),INDEX(T!$L$56:$L68,MATCH(TRUE,INDEX(T!$L$56:$L68&gt;=D29,0),)),IF(AND(D51="4D4",D53=2),INDEX(T!$B74:$B90,MATCH(TRUE,INDEX(T!$B74:$B90&gt;=D29,0),)),IF(AND(D51="4D4",D53=3),INDEX(T!$C$74:$C90,MATCH(TRUE,INDEX(T!$C$74:$C90&gt;=D29,0),)),IF(AND(D51="4D4",D53=4),INDEX(T!$D74:$D90,MATCH(TRUE,INDEX(T!$D74:$D90&gt;=D29,0),)),IF(AND(D51="4D4",D53=5),INDEX(T!$E74:$E90,MATCH(TRUE,INDEX(T!$E74:$E90&gt;=D29,0),)),IF(AND(D51="4D4",D53=6),INDEX(T!$F74:$F89,MATCH(TRUE,INDEX(T!$F74:$F89&gt;=D29,0),)),IF(AND(D51="4D4",D53=7),INDEX(T!$G74:$G89,MATCH(TRUE,INDEX(T!$G74:$G89&gt;=D29,0),)),IF(AND(D51="4D5",D53=2),INDEX(T!$B96:$B102,MATCH(TRUE,INDEX(T!$B96:$B102&gt;=D29,0),)),IF(AND(D51="4D5",D53=3),INDEX(T!$C$96:$C102,MATCH(TRUE,INDEX(T!$C$96:$C102&gt;=D29,0),)),IF(AND(D51="4D5",D53=4),INDEX(T!$D96:$D102,MATCH(TRUE,INDEX(T!$D96:$D102&gt;=D29,0),)),IF(AND(D51="4D5",D53=5),INDEX(T!$E96:$E102,MATCH(TRUE,INDEX(T!$E96:$E102&gt;=D29,0),)),IF(AND(D51="4D5",D53=6),INDEX(T!$F96:$F102,MATCH(TRUE,INDEX(T!$F96:$F102&gt;=D29,0),)),IF(AND(D51="4D5",D53=7),INDEX(T!$G96:$G102,MATCH(TRUE,INDEX(T!$G96:$G102&gt;=D29,0),)))))))))))))))))))))))))))))))))))))))))))),IF(OR(D51="4E1",D51="4E2",D51="4E3",D51="4E4"),IF(AND(D51="4E1",D53=2),INDEX(T!$B108:$B124,MATCH(TRUE,INDEX(T!$B108:$B124&gt;=D29,0),)),IF(AND(D51="4E1",D53=3),INDEX(T!$C$108:$C124,MATCH(TRUE,INDEX(T!$C$108:$C124&gt;=D29,0),)),IF(AND(D51="4E1",D53=4),INDEX(T!$D108:$D127,MATCH(TRUE,INDEX(T!$D108:$D127&gt;=D29,0),)),IF(AND(D51="4E1",D53=5),INDEX(T!$E108:$E127,MATCH(TRUE,INDEX(T!$E108:$E127&gt;=D29,0),)),IF(AND(D51="4E1",D53=6),INDEX(T!$F108:$F129,MATCH(TRUE,INDEX(T!$F108:$F129&gt;=D29,0),)),IF(AND(D51="4E1",D53=7),INDEX(T!$G108:$G129,MATCH(TRUE,INDEX(T!$G108:$G129&gt;=D29,0),)),IF(AND(D51="4E1",D53=8),INDEX(T!$H115:$H129,MATCH(TRUE,INDEX(T!$H115:$H129&gt;=D29,0),)),IF(AND(D51="4E1",D53=9),INDEX(T!$I115:$I129,MATCH(TRUE,INDEX(T!$I115:$I129&gt;=D29,0),)),IF(AND(D51="4E1",D53=10),INDEX(T!$J115:$J129,MATCH(TRUE,INDEX(T!$J115:$J129&gt;=D29,0),)),IF(AND(D51="4E1",D53=11),INDEX(T!$K115:$K129,MATCH(TRUE,INDEX(T!$K115:$K129&gt;=D29,0),)),IF(AND(D51="4E1",D53=12),INDEX(T!$L$115:$L129,MATCH(TRUE,INDEX(T!$L$115:$L129&gt;=D29,0),)),IF(AND(D51="4E2",D53=2),INDEX(T!$B134:$B151,MATCH(TRUE,INDEX(T!$B134:$B151&gt;=D29,0),)),IF(AND(D51="4E2",D53=3),INDEX(T!$C$134:$C151,MATCH(TRUE,INDEX(T!$C$134:$C151&gt;=D29,0),)),IF(AND(D51="4E2",D53=4),INDEX(T!$D134:$D152,MATCH(TRUE,INDEX(T!$D134:$D152&gt;=D29,0),)),IF(AND(D51="4E2",D53=5),INDEX(T!$E134:$E152,MATCH(TRUE,INDEX(T!$E134:$E152&gt;=D29,0),)),IF(AND(D51="4E2",D53=6),INDEX(T!$F134:$F152,MATCH(TRUE,INDEX(T!$F134:$F152&gt;=D29,0),)),IF(AND(D51="4E2",D53=7),INDEX(T!$G134:$G152,MATCH(TRUE,INDEX(T!$G134:$G152&gt;=D29,0),)),IF(AND(D51="4E2",D53=8),INDEX(T!$H134:$H152,MATCH(TRUE,INDEX(T!$H134:$H152&gt;=D29,0),)),IF(AND(D51="4E2",D53=9),INDEX(T!$I134:$I152,MATCH(TRUE,INDEX(T!$I134:$I152&gt;=D29,0),)),IF(AND(D51="4E3",D53=2),INDEX(T!$B158:$B170,MATCH(TRUE,INDEX(T!$B158:$B170&gt;=D29,0),)),IF(AND(D51="4E3",D53=3),INDEX(T!$C$158:$C170,MATCH(TRUE,INDEX(T!$C$158:$C170&gt;=D29,0),)),IF(AND(D51="4E3",D53=4),INDEX(T!$D158:$D170,MATCH(TRUE,INDEX(T!$D158:$D170&gt;=D29,0),)),IF(AND(D51="4E3",D53=5),INDEX(T!$E158:$E170,MATCH(TRUE,INDEX(T!$E158:$E170&gt;=D29,0),)),IF(AND(D51="4E3",D53=6),INDEX(T!$F158:$F170,MATCH(TRUE,INDEX(T!$F158:$F170&gt;=D29,0),)),IF(AND(D51="4E3",D53=7),INDEX(T!$G158:$G170,MATCH(TRUE,INDEX(T!$G158:$G170&gt;=D29,0),)),IF(AND(D51="4E3",D53=8),INDEX(T!$H158:$H170,MATCH(TRUE,INDEX(T!$H158:$H170&gt;=D29,0),)),IF(AND(D51="4E3",D53=9),INDEX(T!$I158:$I170,MATCH(TRUE,INDEX(T!$I56:$I68&gt;=D29,0),)),IF(AND(D51="4E3",D53=10),INDEX(T!$J158:$J170,MATCH(TRUE,INDEX(T!$J158:$J170&gt;=D29,0),)),IF(AND(D51="4E3",D53=11),INDEX(T!$K158:$K170,MATCH(TRUE,INDEX(T!$K158:$K170&gt;=D29,0),)),IF(AND(D51="4E3",D53=12),INDEX(T!$L$158:$L170,MATCH(TRUE,INDEX(T!$L$158:$L170&gt;=D29,0),)),IF(AND(D51="4E4",D53=2),INDEX(T!$B176:$B192,MATCH(TRUE,INDEX(T!$B176:$B192&gt;=D29,0),)),IF(AND(D51="4E4",D53=3),INDEX(T!$C176:$C192,MATCH(TRUE,INDEX(T!$C176:$C192&gt;=D29,0),)),IF(AND(D51="4E4",D53=4),INDEX(T!$D176:$D192,MATCH(TRUE,INDEX(T!$D176:$D192&gt;=D29,0),)),IF(AND(D51="4E4",D53=5),INDEX(T!$E176:$E192,MATCH(TRUE,INDEX(T!$E176:$E192&gt;=D29,0),)),IF(AND(D51="4E4",D53=6),INDEX(T!$F176:$F191,MATCH(TRUE,INDEX(T!$F176:$F191&gt;=D29,0),)),IF(AND(D51="4E4",D53=7),INDEX(T!$G176:$G191,MATCH(TRUE,INDEX(T!$G176:$G191&gt;=D29,0),)),"-")))))))))))))))))))))))))))))))))))),IF(OR(D51="4F1",D51="4F2",D51="4F3"),IF(D29="","",IF(AND(D51="4F1",D53=2),INDEX(T!$B198:$B202,MATCH(TRUE,INDEX(T!$B198:$B202&gt;=D29,0),)),IF(AND(D51="4F1",D53=3),INDEX(T!$C$198:$C211,MATCH(TRUE,INDEX(T!$C$198:$C211&gt;=D29,0),)),IF(AND(D51="4F1",D53=4),INDEX(T!$D203:$D214,MATCH(TRUE,INDEX(T!$D203:$D214&gt;=D29,0),)),IF(AND(D51="4F2",D53=2),INDEX(T!$B220:$B224,MATCH(TRUE,INDEX(T!$B220:$B224&gt;=D29,0),)),IF(AND(D51="4F2",D53=3),INDEX(T!$C$220:$C233,MATCH(TRUE,INDEX(T!$C$220:$C233&gt;=D29,0),)),IF(AND(D51="4F2",D53=4),INDEX(T!$D225:$D236,MATCH(TRUE,INDEX(T!$D225:$D236&gt;=D29,0),)),IF(AND(D51="4F3",D53=2),INDEX(T!$B242:$B248,MATCH(TRUE,INDEX(T!$B242:$B248&gt;=D29,0),)),IF(AND(D51="4F3",D53=3),INDEX(T!$C$242:$C248,MATCH(TRUE,INDEX(T!$C$242:$C248&gt;=D29,0),)),"-"))))))))),""))))</f>
        <v>36</v>
      </c>
      <c r="E75" s="129" cm="1">
        <f t="array" aca="1" ref="E75" ca="1">IF(E29="","",IF(OR(E51="4D1",E51="4D2",E51="4D3",E51="4D4",E51="4D5"),IF(AND(E51="4D1",E53=2),INDEX(T!$B6:$B22,MATCH(TRUE,INDEX(T!$B6:$B22&gt;=E29,0),)),IF(AND(E51="4D1",E53=3),INDEX(T!$C$6:$C22,MATCH(TRUE,INDEX(T!$C$6:$C22&gt;=E29,0),)),IF(AND(E51="4D1",E53=4),INDEX(T!$D6:$D25,MATCH(TRUE,INDEX(T!$D6:$D25&gt;=E29,0),)),IF(AND(E51="4D1",E53=5),INDEX(T!$E6:$E25,MATCH(TRUE,INDEX(T!$E6:$E25&gt;=E29,0),)),IF(AND(E51="4D1",E53=6),INDEX(T!$F6:$F27,MATCH(TRUE,INDEX(T!$F6:$F27&gt;=E29,0),)),IF(AND(E51="4D1",E53=7),INDEX(T!$G6:$G27,MATCH(TRUE,INDEX(T!$G6:$G27&gt;=E29,0),)),IF(AND(E51="4D1",E53=8),INDEX(T!$H13:$H27,MATCH(TRUE,INDEX(T!$H13:$H27&gt;=E29,0),)),IF(AND(E51="4D1",E53=9),INDEX(T!$I13:$I27,MATCH(TRUE,INDEX(T!$I13:$I27&gt;=E29,0),)),IF(AND(E51="4D1",E53=10),INDEX(T!$J13:$J27,MATCH(TRUE,INDEX(T!$J13:$J27&gt;=E29,0),)),IF(AND(E51="4D1",E53=11),INDEX(T!$K13:$K27,MATCH(TRUE,INDEX(T!$K13:$K27&gt;=E29,0),)),IF(AND(E51="4D1",E53=12),INDEX(T!$L$13:$L27,MATCH(TRUE,INDEX(T!$L$13:$L27&gt;=E29,0),)),IF(AND(E51="4D2",E53=2),INDEX(T!$B33:$B49,MATCH(TRUE,INDEX(T!$B33:$B49&gt;=E29,0),)),IF(AND(E51="4D2",E53=3),INDEX(T!$C$33:$C49,MATCH(TRUE,INDEX(T!$C$33:$C49&gt;=E29,0),)),IF(AND(E51="4D2",E53=4),INDEX(T!$D33:$D50,MATCH(TRUE,INDEX(T!$D33:$D50&gt;=E29,0),)),IF(AND(E51="4D2",E53=5),INDEX(T!$E33:$E50,MATCH(TRUE,INDEX(T!$E33:$E50&gt;=E29,0),)),IF(AND(E51="4D2",E53=6),INDEX(T!$F33:$F50,MATCH(TRUE,INDEX(T!$F33:$F50&gt;=E29,0),)),IF(AND(E51="4D2",E53=7),INDEX(T!$G33:$G50,MATCH(TRUE,INDEX(T!$G33:$G50&gt;=E29,0),)),IF(AND(E51="4D2",E53=8),INDEX(T!$H33:$H50,MATCH(TRUE,INDEX(T!$H33:$H50&gt;=E29,0),)),IF(AND(E51="4D2",E53=9),INDEX(T!$I33:$I50,MATCH(TRUE,INDEX(T!$I33:$I50&gt;=E29,0),)),IF(AND(E51="4D3",E53=2),INDEX(T!$B56:$B68,MATCH(TRUE,INDEX(T!$B56:$B68&gt;=E29,0),)),IF(AND(E51="4D3",E53=3),INDEX(T!$C$56:$C68,MATCH(TRUE,INDEX(T!$C$56:$C68&gt;=E29,0),)),IF(AND(E51="4D3",E53=4),INDEX(T!$D56:$D68,MATCH(TRUE,INDEX(T!$D56:$D68&gt;=E29,0),)),IF(AND(E51="4D3",E53=5),INDEX(T!$E56:$E68,MATCH(TRUE,INDEX(T!$E56:$E68&gt;=E29,0),)),IF(AND(E51="4D3",E53=6),INDEX(T!$F56:$F68,MATCH(TRUE,INDEX(T!$F56:$F68&gt;=E29,0),)),IF(AND(E51="4D3",E53=7),INDEX(T!$G56:$G68,MATCH(TRUE,INDEX(T!$G56:$G68&gt;=E29,0),)),IF(AND(E51="4D3",E53=8),INDEX(T!$H56:$H68,MATCH(TRUE,INDEX(T!$H56:$H68&gt;=E29,0),)),IF(AND(E51="4D3",E53=9),INDEX(T!$I56:$I68,MATCH(TRUE,INDEX(T!$I56:$I68&gt;=E29,0),)),IF(AND(E51="4D3",E53=10),INDEX(T!$J56:$J68,MATCH(TRUE,INDEX(T!$J56:$J68&gt;=E29,0),)),IF(AND(E51="4D3",E53=11),INDEX(T!$K56:$K68,MATCH(TRUE,INDEX(T!$K56:$K68&gt;=E29,0),)),IF(AND(E51="4D3",E53=12),INDEX(T!$L$56:$L68,MATCH(TRUE,INDEX(T!$L$56:$L68&gt;=E29,0),)),IF(AND(E51="4D4",E53=2),INDEX(T!$B74:$B90,MATCH(TRUE,INDEX(T!$B74:$B90&gt;=E29,0),)),IF(AND(E51="4D4",E53=3),INDEX(T!$C$74:$C90,MATCH(TRUE,INDEX(T!$C$74:$C90&gt;=E29,0),)),IF(AND(E51="4D4",E53=4),INDEX(T!$D74:$D90,MATCH(TRUE,INDEX(T!$D74:$D90&gt;=E29,0),)),IF(AND(E51="4D4",E53=5),INDEX(T!$E74:$E90,MATCH(TRUE,INDEX(T!$E74:$E90&gt;=E29,0),)),IF(AND(E51="4D4",E53=6),INDEX(T!$F74:$F89,MATCH(TRUE,INDEX(T!$F74:$F89&gt;=E29,0),)),IF(AND(E51="4D4",E53=7),INDEX(T!$G74:$G89,MATCH(TRUE,INDEX(T!$G74:$G89&gt;=E29,0),)),IF(AND(E51="4D5",E53=2),INDEX(T!$B96:$B102,MATCH(TRUE,INDEX(T!$B96:$B102&gt;=E29,0),)),IF(AND(E51="4D5",E53=3),INDEX(T!$C$96:$C102,MATCH(TRUE,INDEX(T!$C$96:$C102&gt;=E29,0),)),IF(AND(E51="4D5",E53=4),INDEX(T!$D96:$D102,MATCH(TRUE,INDEX(T!$D96:$D102&gt;=E29,0),)),IF(AND(E51="4D5",E53=5),INDEX(T!$E96:$E102,MATCH(TRUE,INDEX(T!$E96:$E102&gt;=E29,0),)),IF(AND(E51="4D5",E53=6),INDEX(T!$F96:$F102,MATCH(TRUE,INDEX(T!$F96:$F102&gt;=E29,0),)),IF(AND(E51="4D5",E53=7),INDEX(T!$G96:$G102,MATCH(TRUE,INDEX(T!$G96:$G102&gt;=E29,0),)))))))))))))))))))))))))))))))))))))))))))),IF(OR(E51="4E1",E51="4E2",E51="4E3",E51="4E4"),IF(AND(E51="4E1",E53=2),INDEX(T!$B108:$B124,MATCH(TRUE,INDEX(T!$B108:$B124&gt;=E29,0),)),IF(AND(E51="4E1",E53=3),INDEX(T!$C$108:$C124,MATCH(TRUE,INDEX(T!$C$108:$C124&gt;=E29,0),)),IF(AND(E51="4E1",E53=4),INDEX(T!$D108:$D127,MATCH(TRUE,INDEX(T!$D108:$D127&gt;=E29,0),)),IF(AND(E51="4E1",E53=5),INDEX(T!$E108:$E127,MATCH(TRUE,INDEX(T!$E108:$E127&gt;=E29,0),)),IF(AND(E51="4E1",E53=6),INDEX(T!$F108:$F129,MATCH(TRUE,INDEX(T!$F108:$F129&gt;=E29,0),)),IF(AND(E51="4E1",E53=7),INDEX(T!$G108:$G129,MATCH(TRUE,INDEX(T!$G108:$G129&gt;=E29,0),)),IF(AND(E51="4E1",E53=8),INDEX(T!$H115:$H129,MATCH(TRUE,INDEX(T!$H115:$H129&gt;=E29,0),)),IF(AND(E51="4E1",E53=9),INDEX(T!$I115:$I129,MATCH(TRUE,INDEX(T!$I115:$I129&gt;=E29,0),)),IF(AND(E51="4E1",E53=10),INDEX(T!$J115:$J129,MATCH(TRUE,INDEX(T!$J115:$J129&gt;=E29,0),)),IF(AND(E51="4E1",E53=11),INDEX(T!$K115:$K129,MATCH(TRUE,INDEX(T!$K115:$K129&gt;=E29,0),)),IF(AND(E51="4E1",E53=12),INDEX(T!$L$115:$L129,MATCH(TRUE,INDEX(T!$L$115:$L129&gt;=E29,0),)),IF(AND(E51="4E2",E53=2),INDEX(T!$B134:$B151,MATCH(TRUE,INDEX(T!$B134:$B151&gt;=E29,0),)),IF(AND(E51="4E2",E53=3),INDEX(T!$C$134:$C151,MATCH(TRUE,INDEX(T!$C$134:$C151&gt;=E29,0),)),IF(AND(E51="4E2",E53=4),INDEX(T!$D134:$D152,MATCH(TRUE,INDEX(T!$D134:$D152&gt;=E29,0),)),IF(AND(E51="4E2",E53=5),INDEX(T!$E134:$E152,MATCH(TRUE,INDEX(T!$E134:$E152&gt;=E29,0),)),IF(AND(E51="4E2",E53=6),INDEX(T!$F134:$F152,MATCH(TRUE,INDEX(T!$F134:$F152&gt;=E29,0),)),IF(AND(E51="4E2",E53=7),INDEX(T!$G134:$G152,MATCH(TRUE,INDEX(T!$G134:$G152&gt;=E29,0),)),IF(AND(E51="4E2",E53=8),INDEX(T!$H134:$H152,MATCH(TRUE,INDEX(T!$H134:$H152&gt;=E29,0),)),IF(AND(E51="4E2",E53=9),INDEX(T!$I134:$I152,MATCH(TRUE,INDEX(T!$I134:$I152&gt;=E29,0),)),IF(AND(E51="4E3",E53=2),INDEX(T!$B158:$B170,MATCH(TRUE,INDEX(T!$B158:$B170&gt;=E29,0),)),IF(AND(E51="4E3",E53=3),INDEX(T!$C$158:$C170,MATCH(TRUE,INDEX(T!$C$158:$C170&gt;=E29,0),)),IF(AND(E51="4E3",E53=4),INDEX(T!$D158:$D170,MATCH(TRUE,INDEX(T!$D158:$D170&gt;=E29,0),)),IF(AND(E51="4E3",E53=5),INDEX(T!$E158:$E170,MATCH(TRUE,INDEX(T!$E158:$E170&gt;=E29,0),)),IF(AND(E51="4E3",E53=6),INDEX(T!$F158:$F170,MATCH(TRUE,INDEX(T!$F158:$F170&gt;=E29,0),)),IF(AND(E51="4E3",E53=7),INDEX(T!$G158:$G170,MATCH(TRUE,INDEX(T!$G158:$G170&gt;=E29,0),)),IF(AND(E51="4E3",E53=8),INDEX(T!$H158:$H170,MATCH(TRUE,INDEX(T!$H158:$H170&gt;=E29,0),)),IF(AND(E51="4E3",E53=9),INDEX(T!$I158:$I170,MATCH(TRUE,INDEX(T!$I56:$I68&gt;=E29,0),)),IF(AND(E51="4E3",E53=10),INDEX(T!$J158:$J170,MATCH(TRUE,INDEX(T!$J158:$J170&gt;=E29,0),)),IF(AND(E51="4E3",E53=11),INDEX(T!$K158:$K170,MATCH(TRUE,INDEX(T!$K158:$K170&gt;=E29,0),)),IF(AND(E51="4E3",E53=12),INDEX(T!$L$158:$L170,MATCH(TRUE,INDEX(T!$L$158:$L170&gt;=E29,0),)),IF(AND(E51="4E4",E53=2),INDEX(T!$B176:$B192,MATCH(TRUE,INDEX(T!$B176:$B192&gt;=E29,0),)),IF(AND(E51="4E4",E53=3),INDEX(T!$C176:$C192,MATCH(TRUE,INDEX(T!$C176:$C192&gt;=E29,0),)),IF(AND(E51="4E4",E53=4),INDEX(T!$D176:$D192,MATCH(TRUE,INDEX(T!$D176:$D192&gt;=E29,0),)),IF(AND(E51="4E4",E53=5),INDEX(T!$E176:$E192,MATCH(TRUE,INDEX(T!$E176:$E192&gt;=E29,0),)),IF(AND(E51="4E4",E53=6),INDEX(T!$F176:$F191,MATCH(TRUE,INDEX(T!$F176:$F191&gt;=E29,0),)),IF(AND(E51="4E4",E53=7),INDEX(T!$G176:$G191,MATCH(TRUE,INDEX(T!$G176:$G191&gt;=E29,0),)),"-")))))))))))))))))))))))))))))))))))),IF(OR(E51="4F1",E51="4F2",E51="4F3"),IF(E29="","",IF(AND(E51="4F1",E53=2),INDEX(T!$B198:$B202,MATCH(TRUE,INDEX(T!$B198:$B202&gt;=E29,0),)),IF(AND(E51="4F1",E53=3),INDEX(T!$C$198:$C211,MATCH(TRUE,INDEX(T!$C$198:$C211&gt;=E29,0),)),IF(AND(E51="4F1",E53=4),INDEX(T!$D203:$D214,MATCH(TRUE,INDEX(T!$D203:$D214&gt;=E29,0),)),IF(AND(E51="4F2",E53=2),INDEX(T!$B220:$B224,MATCH(TRUE,INDEX(T!$B220:$B224&gt;=E29,0),)),IF(AND(E51="4F2",E53=3),INDEX(T!$C$220:$C233,MATCH(TRUE,INDEX(T!$C$220:$C233&gt;=E29,0),)),IF(AND(E51="4F2",E53=4),INDEX(T!$D225:$D236,MATCH(TRUE,INDEX(T!$D225:$D236&gt;=E29,0),)),IF(AND(E51="4F3",E53=2),INDEX(T!$B242:$B248,MATCH(TRUE,INDEX(T!$B242:$B248&gt;=E29,0),)),IF(AND(E51="4F3",E53=3),INDEX(T!$C$242:$C248,MATCH(TRUE,INDEX(T!$C$242:$C248&gt;=E29,0),)),"-"))))))))),""))))</f>
        <v>37</v>
      </c>
      <c r="F75" s="129" cm="1">
        <f t="array" aca="1" ref="F75" ca="1">IF(F29="","",IF(OR(F51="4D1",F51="4D2",F51="4D3",F51="4D4",F51="4D5"),IF(AND(F51="4D1",F53=2),INDEX(T!$B6:$B22,MATCH(TRUE,INDEX(T!$B6:$B22&gt;=F29,0),)),IF(AND(F51="4D1",F53=3),INDEX(T!$C$6:$C22,MATCH(TRUE,INDEX(T!$C$6:$C22&gt;=F29,0),)),IF(AND(F51="4D1",F53=4),INDEX(T!$D6:$D25,MATCH(TRUE,INDEX(T!$D6:$D25&gt;=F29,0),)),IF(AND(F51="4D1",F53=5),INDEX(T!$E6:$E25,MATCH(TRUE,INDEX(T!$E6:$E25&gt;=F29,0),)),IF(AND(F51="4D1",F53=6),INDEX(T!$F6:$F27,MATCH(TRUE,INDEX(T!$F6:$F27&gt;=F29,0),)),IF(AND(F51="4D1",F53=7),INDEX(T!$G6:$G27,MATCH(TRUE,INDEX(T!$G6:$G27&gt;=F29,0),)),IF(AND(F51="4D1",F53=8),INDEX(T!$H13:$H27,MATCH(TRUE,INDEX(T!$H13:$H27&gt;=F29,0),)),IF(AND(F51="4D1",F53=9),INDEX(T!$I13:$I27,MATCH(TRUE,INDEX(T!$I13:$I27&gt;=F29,0),)),IF(AND(F51="4D1",F53=10),INDEX(T!$J13:$J27,MATCH(TRUE,INDEX(T!$J13:$J27&gt;=F29,0),)),IF(AND(F51="4D1",F53=11),INDEX(T!$K13:$K27,MATCH(TRUE,INDEX(T!$K13:$K27&gt;=F29,0),)),IF(AND(F51="4D1",F53=12),INDEX(T!$L$13:$L27,MATCH(TRUE,INDEX(T!$L$13:$L27&gt;=F29,0),)),IF(AND(F51="4D2",F53=2),INDEX(T!$B33:$B49,MATCH(TRUE,INDEX(T!$B33:$B49&gt;=F29,0),)),IF(AND(F51="4D2",F53=3),INDEX(T!$C$33:$C49,MATCH(TRUE,INDEX(T!$C$33:$C49&gt;=F29,0),)),IF(AND(F51="4D2",F53=4),INDEX(T!$D33:$D50,MATCH(TRUE,INDEX(T!$D33:$D50&gt;=F29,0),)),IF(AND(F51="4D2",F53=5),INDEX(T!$E33:$E50,MATCH(TRUE,INDEX(T!$E33:$E50&gt;=F29,0),)),IF(AND(F51="4D2",F53=6),INDEX(T!$F33:$F50,MATCH(TRUE,INDEX(T!$F33:$F50&gt;=F29,0),)),IF(AND(F51="4D2",F53=7),INDEX(T!$G33:$G50,MATCH(TRUE,INDEX(T!$G33:$G50&gt;=F29,0),)),IF(AND(F51="4D2",F53=8),INDEX(T!$H33:$H50,MATCH(TRUE,INDEX(T!$H33:$H50&gt;=F29,0),)),IF(AND(F51="4D2",F53=9),INDEX(T!$I33:$I50,MATCH(TRUE,INDEX(T!$I33:$I50&gt;=F29,0),)),IF(AND(F51="4D3",F53=2),INDEX(T!$B56:$B68,MATCH(TRUE,INDEX(T!$B56:$B68&gt;=F29,0),)),IF(AND(F51="4D3",F53=3),INDEX(T!$C$56:$C68,MATCH(TRUE,INDEX(T!$C$56:$C68&gt;=F29,0),)),IF(AND(F51="4D3",F53=4),INDEX(T!$D56:$D68,MATCH(TRUE,INDEX(T!$D56:$D68&gt;=F29,0),)),IF(AND(F51="4D3",F53=5),INDEX(T!$E56:$E68,MATCH(TRUE,INDEX(T!$E56:$E68&gt;=F29,0),)),IF(AND(F51="4D3",F53=6),INDEX(T!$F56:$F68,MATCH(TRUE,INDEX(T!$F56:$F68&gt;=F29,0),)),IF(AND(F51="4D3",F53=7),INDEX(T!$G56:$G68,MATCH(TRUE,INDEX(T!$G56:$G68&gt;=F29,0),)),IF(AND(F51="4D3",F53=8),INDEX(T!$H56:$H68,MATCH(TRUE,INDEX(T!$H56:$H68&gt;=F29,0),)),IF(AND(F51="4D3",F53=9),INDEX(T!$I56:$I68,MATCH(TRUE,INDEX(T!$I56:$I68&gt;=F29,0),)),IF(AND(F51="4D3",F53=10),INDEX(T!$J56:$J68,MATCH(TRUE,INDEX(T!$J56:$J68&gt;=F29,0),)),IF(AND(F51="4D3",F53=11),INDEX(T!$K56:$K68,MATCH(TRUE,INDEX(T!$K56:$K68&gt;=F29,0),)),IF(AND(F51="4D3",F53=12),INDEX(T!$L$56:$L68,MATCH(TRUE,INDEX(T!$L$56:$L68&gt;=F29,0),)),IF(AND(F51="4D4",F53=2),INDEX(T!$B74:$B90,MATCH(TRUE,INDEX(T!$B74:$B90&gt;=F29,0),)),IF(AND(F51="4D4",F53=3),INDEX(T!$C$74:$C90,MATCH(TRUE,INDEX(T!$C$74:$C90&gt;=F29,0),)),IF(AND(F51="4D4",F53=4),INDEX(T!$D74:$D90,MATCH(TRUE,INDEX(T!$D74:$D90&gt;=F29,0),)),IF(AND(F51="4D4",F53=5),INDEX(T!$E74:$E90,MATCH(TRUE,INDEX(T!$E74:$E90&gt;=F29,0),)),IF(AND(F51="4D4",F53=6),INDEX(T!$F74:$F89,MATCH(TRUE,INDEX(T!$F74:$F89&gt;=F29,0),)),IF(AND(F51="4D4",F53=7),INDEX(T!$G74:$G89,MATCH(TRUE,INDEX(T!$G74:$G89&gt;=F29,0),)),IF(AND(F51="4D5",F53=2),INDEX(T!$B96:$B102,MATCH(TRUE,INDEX(T!$B96:$B102&gt;=F29,0),)),IF(AND(F51="4D5",F53=3),INDEX(T!$C$96:$C102,MATCH(TRUE,INDEX(T!$C$96:$C102&gt;=F29,0),)),IF(AND(F51="4D5",F53=4),INDEX(T!$D96:$D102,MATCH(TRUE,INDEX(T!$D96:$D102&gt;=F29,0),)),IF(AND(F51="4D5",F53=5),INDEX(T!$E96:$E102,MATCH(TRUE,INDEX(T!$E96:$E102&gt;=F29,0),)),IF(AND(F51="4D5",F53=6),INDEX(T!$F96:$F102,MATCH(TRUE,INDEX(T!$F96:$F102&gt;=F29,0),)),IF(AND(F51="4D5",F53=7),INDEX(T!$G96:$G102,MATCH(TRUE,INDEX(T!$G96:$G102&gt;=F29,0),)))))))))))))))))))))))))))))))))))))))))))),IF(OR(F51="4E1",F51="4E2",F51="4E3",F51="4E4"),IF(AND(F51="4E1",F53=2),INDEX(T!$B108:$B124,MATCH(TRUE,INDEX(T!$B108:$B124&gt;=F29,0),)),IF(AND(F51="4E1",F53=3),INDEX(T!$C$108:$C124,MATCH(TRUE,INDEX(T!$C$108:$C124&gt;=F29,0),)),IF(AND(F51="4E1",F53=4),INDEX(T!$D108:$D127,MATCH(TRUE,INDEX(T!$D108:$D127&gt;=F29,0),)),IF(AND(F51="4E1",F53=5),INDEX(T!$E108:$E127,MATCH(TRUE,INDEX(T!$E108:$E127&gt;=F29,0),)),IF(AND(F51="4E1",F53=6),INDEX(T!$F108:$F129,MATCH(TRUE,INDEX(T!$F108:$F129&gt;=F29,0),)),IF(AND(F51="4E1",F53=7),INDEX(T!$G108:$G129,MATCH(TRUE,INDEX(T!$G108:$G129&gt;=F29,0),)),IF(AND(F51="4E1",F53=8),INDEX(T!$H115:$H129,MATCH(TRUE,INDEX(T!$H115:$H129&gt;=F29,0),)),IF(AND(F51="4E1",F53=9),INDEX(T!$I115:$I129,MATCH(TRUE,INDEX(T!$I115:$I129&gt;=F29,0),)),IF(AND(F51="4E1",F53=10),INDEX(T!$J115:$J129,MATCH(TRUE,INDEX(T!$J115:$J129&gt;=F29,0),)),IF(AND(F51="4E1",F53=11),INDEX(T!$K115:$K129,MATCH(TRUE,INDEX(T!$K115:$K129&gt;=F29,0),)),IF(AND(F51="4E1",F53=12),INDEX(T!$L$115:$L129,MATCH(TRUE,INDEX(T!$L$115:$L129&gt;=F29,0),)),IF(AND(F51="4E2",F53=2),INDEX(T!$B134:$B151,MATCH(TRUE,INDEX(T!$B134:$B151&gt;=F29,0),)),IF(AND(F51="4E2",F53=3),INDEX(T!$C$134:$C151,MATCH(TRUE,INDEX(T!$C$134:$C151&gt;=F29,0),)),IF(AND(F51="4E2",F53=4),INDEX(T!$D134:$D152,MATCH(TRUE,INDEX(T!$D134:$D152&gt;=F29,0),)),IF(AND(F51="4E2",F53=5),INDEX(T!$E134:$E152,MATCH(TRUE,INDEX(T!$E134:$E152&gt;=F29,0),)),IF(AND(F51="4E2",F53=6),INDEX(T!$F134:$F152,MATCH(TRUE,INDEX(T!$F134:$F152&gt;=F29,0),)),IF(AND(F51="4E2",F53=7),INDEX(T!$G134:$G152,MATCH(TRUE,INDEX(T!$G134:$G152&gt;=F29,0),)),IF(AND(F51="4E2",F53=8),INDEX(T!$H134:$H152,MATCH(TRUE,INDEX(T!$H134:$H152&gt;=F29,0),)),IF(AND(F51="4E2",F53=9),INDEX(T!$I134:$I152,MATCH(TRUE,INDEX(T!$I134:$I152&gt;=F29,0),)),IF(AND(F51="4E3",F53=2),INDEX(T!$B158:$B170,MATCH(TRUE,INDEX(T!$B158:$B170&gt;=F29,0),)),IF(AND(F51="4E3",F53=3),INDEX(T!$C$158:$C170,MATCH(TRUE,INDEX(T!$C$158:$C170&gt;=F29,0),)),IF(AND(F51="4E3",F53=4),INDEX(T!$D158:$D170,MATCH(TRUE,INDEX(T!$D158:$D170&gt;=F29,0),)),IF(AND(F51="4E3",F53=5),INDEX(T!$E158:$E170,MATCH(TRUE,INDEX(T!$E158:$E170&gt;=F29,0),)),IF(AND(F51="4E3",F53=6),INDEX(T!$F158:$F170,MATCH(TRUE,INDEX(T!$F158:$F170&gt;=F29,0),)),IF(AND(F51="4E3",F53=7),INDEX(T!$G158:$G170,MATCH(TRUE,INDEX(T!$G158:$G170&gt;=F29,0),)),IF(AND(F51="4E3",F53=8),INDEX(T!$H158:$H170,MATCH(TRUE,INDEX(T!$H158:$H170&gt;=F29,0),)),IF(AND(F51="4E3",F53=9),INDEX(T!$I158:$I170,MATCH(TRUE,INDEX(T!$I56:$I68&gt;=F29,0),)),IF(AND(F51="4E3",F53=10),INDEX(T!$J158:$J170,MATCH(TRUE,INDEX(T!$J158:$J170&gt;=F29,0),)),IF(AND(F51="4E3",F53=11),INDEX(T!$K158:$K170,MATCH(TRUE,INDEX(T!$K158:$K170&gt;=F29,0),)),IF(AND(F51="4E3",F53=12),INDEX(T!$L$158:$L170,MATCH(TRUE,INDEX(T!$L$158:$L170&gt;=F29,0),)),IF(AND(F51="4E4",F53=2),INDEX(T!$B176:$B192,MATCH(TRUE,INDEX(T!$B176:$B192&gt;=F29,0),)),IF(AND(F51="4E4",F53=3),INDEX(T!$C176:$C192,MATCH(TRUE,INDEX(T!$C176:$C192&gt;=F29,0),)),IF(AND(F51="4E4",F53=4),INDEX(T!$D176:$D192,MATCH(TRUE,INDEX(T!$D176:$D192&gt;=F29,0),)),IF(AND(F51="4E4",F53=5),INDEX(T!$E176:$E192,MATCH(TRUE,INDEX(T!$E176:$E192&gt;=F29,0),)),IF(AND(F51="4E4",F53=6),INDEX(T!$F176:$F191,MATCH(TRUE,INDEX(T!$F176:$F191&gt;=F29,0),)),IF(AND(F51="4E4",F53=7),INDEX(T!$G176:$G191,MATCH(TRUE,INDEX(T!$G176:$G191&gt;=F29,0),)),"-")))))))))))))))))))))))))))))))))))),IF(OR(F51="4F1",F51="4F2",F51="4F3"),IF(F29="","",IF(AND(F51="4F1",F53=2),INDEX(T!$B198:$B202,MATCH(TRUE,INDEX(T!$B198:$B202&gt;=F29,0),)),IF(AND(F51="4F1",F53=3),INDEX(T!$C$198:$C211,MATCH(TRUE,INDEX(T!$C$198:$C211&gt;=F29,0),)),IF(AND(F51="4F1",F53=4),INDEX(T!$D203:$D214,MATCH(TRUE,INDEX(T!$D203:$D214&gt;=F29,0),)),IF(AND(F51="4F2",F53=2),INDEX(T!$B220:$B224,MATCH(TRUE,INDEX(T!$B220:$B224&gt;=F29,0),)),IF(AND(F51="4F2",F53=3),INDEX(T!$C$220:$C233,MATCH(TRUE,INDEX(T!$C$220:$C233&gt;=F29,0),)),IF(AND(F51="4F2",F53=4),INDEX(T!$D225:$D236,MATCH(TRUE,INDEX(T!$D225:$D236&gt;=F29,0),)),IF(AND(F51="4F3",F53=2),INDEX(T!$B242:$B248,MATCH(TRUE,INDEX(T!$B242:$B248&gt;=F29,0),)),IF(AND(F51="4F3",F53=3),INDEX(T!$C$242:$C248,MATCH(TRUE,INDEX(T!$C$242:$C248&gt;=F29,0),)),"-"))))))))),""))))</f>
        <v>37</v>
      </c>
      <c r="G75" s="129" cm="1">
        <f t="array" aca="1" ref="G75" ca="1">IF(G29="","",IF(OR(G51="4D1",G51="4D2",G51="4D3",G51="4D4",G51="4D5"),IF(AND(G51="4D1",G53=2),INDEX(T!$B6:$B22,MATCH(TRUE,INDEX(T!$B6:$B22&gt;=G29,0),)),IF(AND(G51="4D1",G53=3),INDEX(T!$C$6:$C22,MATCH(TRUE,INDEX(T!$C$6:$C22&gt;=G29,0),)),IF(AND(G51="4D1",G53=4),INDEX(T!$D6:$D25,MATCH(TRUE,INDEX(T!$D6:$D25&gt;=G29,0),)),IF(AND(G51="4D1",G53=5),INDEX(T!$E6:$E25,MATCH(TRUE,INDEX(T!$E6:$E25&gt;=G29,0),)),IF(AND(G51="4D1",G53=6),INDEX(T!$F6:$F27,MATCH(TRUE,INDEX(T!$F6:$F27&gt;=G29,0),)),IF(AND(G51="4D1",G53=7),INDEX(T!$G6:$G27,MATCH(TRUE,INDEX(T!$G6:$G27&gt;=G29,0),)),IF(AND(G51="4D1",G53=8),INDEX(T!$H13:$H27,MATCH(TRUE,INDEX(T!$H13:$H27&gt;=G29,0),)),IF(AND(G51="4D1",G53=9),INDEX(T!$I13:$I27,MATCH(TRUE,INDEX(T!$I13:$I27&gt;=G29,0),)),IF(AND(G51="4D1",G53=10),INDEX(T!$J13:$J27,MATCH(TRUE,INDEX(T!$J13:$J27&gt;=G29,0),)),IF(AND(G51="4D1",G53=11),INDEX(T!$K13:$K27,MATCH(TRUE,INDEX(T!$K13:$K27&gt;=G29,0),)),IF(AND(G51="4D1",G53=12),INDEX(T!$L$13:$L27,MATCH(TRUE,INDEX(T!$L$13:$L27&gt;=G29,0),)),IF(AND(G51="4D2",G53=2),INDEX(T!$B33:$B49,MATCH(TRUE,INDEX(T!$B33:$B49&gt;=G29,0),)),IF(AND(G51="4D2",G53=3),INDEX(T!$C$33:$C49,MATCH(TRUE,INDEX(T!$C$33:$C49&gt;=G29,0),)),IF(AND(G51="4D2",G53=4),INDEX(T!$D33:$D50,MATCH(TRUE,INDEX(T!$D33:$D50&gt;=G29,0),)),IF(AND(G51="4D2",G53=5),INDEX(T!$E33:$E50,MATCH(TRUE,INDEX(T!$E33:$E50&gt;=G29,0),)),IF(AND(G51="4D2",G53=6),INDEX(T!$F33:$F50,MATCH(TRUE,INDEX(T!$F33:$F50&gt;=G29,0),)),IF(AND(G51="4D2",G53=7),INDEX(T!$G33:$G50,MATCH(TRUE,INDEX(T!$G33:$G50&gt;=G29,0),)),IF(AND(G51="4D2",G53=8),INDEX(T!$H33:$H50,MATCH(TRUE,INDEX(T!$H33:$H50&gt;=G29,0),)),IF(AND(G51="4D2",G53=9),INDEX(T!$I33:$I50,MATCH(TRUE,INDEX(T!$I33:$I50&gt;=G29,0),)),IF(AND(G51="4D3",G53=2),INDEX(T!$B56:$B68,MATCH(TRUE,INDEX(T!$B56:$B68&gt;=G29,0),)),IF(AND(G51="4D3",G53=3),INDEX(T!$C$56:$C68,MATCH(TRUE,INDEX(T!$C$56:$C68&gt;=G29,0),)),IF(AND(G51="4D3",G53=4),INDEX(T!$D56:$D68,MATCH(TRUE,INDEX(T!$D56:$D68&gt;=G29,0),)),IF(AND(G51="4D3",G53=5),INDEX(T!$E56:$E68,MATCH(TRUE,INDEX(T!$E56:$E68&gt;=G29,0),)),IF(AND(G51="4D3",G53=6),INDEX(T!$F56:$F68,MATCH(TRUE,INDEX(T!$F56:$F68&gt;=G29,0),)),IF(AND(G51="4D3",G53=7),INDEX(T!$G56:$G68,MATCH(TRUE,INDEX(T!$G56:$G68&gt;=G29,0),)),IF(AND(G51="4D3",G53=8),INDEX(T!$H56:$H68,MATCH(TRUE,INDEX(T!$H56:$H68&gt;=G29,0),)),IF(AND(G51="4D3",G53=9),INDEX(T!$I56:$I68,MATCH(TRUE,INDEX(T!$I56:$I68&gt;=G29,0),)),IF(AND(G51="4D3",G53=10),INDEX(T!$J56:$J68,MATCH(TRUE,INDEX(T!$J56:$J68&gt;=G29,0),)),IF(AND(G51="4D3",G53=11),INDEX(T!$K56:$K68,MATCH(TRUE,INDEX(T!$K56:$K68&gt;=G29,0),)),IF(AND(G51="4D3",G53=12),INDEX(T!$L$56:$L68,MATCH(TRUE,INDEX(T!$L$56:$L68&gt;=G29,0),)),IF(AND(G51="4D4",G53=2),INDEX(T!$B74:$B90,MATCH(TRUE,INDEX(T!$B74:$B90&gt;=G29,0),)),IF(AND(G51="4D4",G53=3),INDEX(T!$C$74:$C90,MATCH(TRUE,INDEX(T!$C$74:$C90&gt;=G29,0),)),IF(AND(G51="4D4",G53=4),INDEX(T!$D74:$D90,MATCH(TRUE,INDEX(T!$D74:$D90&gt;=G29,0),)),IF(AND(G51="4D4",G53=5),INDEX(T!$E74:$E90,MATCH(TRUE,INDEX(T!$E74:$E90&gt;=G29,0),)),IF(AND(G51="4D4",G53=6),INDEX(T!$F74:$F89,MATCH(TRUE,INDEX(T!$F74:$F89&gt;=G29,0),)),IF(AND(G51="4D4",G53=7),INDEX(T!$G74:$G89,MATCH(TRUE,INDEX(T!$G74:$G89&gt;=G29,0),)),IF(AND(G51="4D5",G53=2),INDEX(T!$B96:$B102,MATCH(TRUE,INDEX(T!$B96:$B102&gt;=G29,0),)),IF(AND(G51="4D5",G53=3),INDEX(T!$C$96:$C102,MATCH(TRUE,INDEX(T!$C$96:$C102&gt;=G29,0),)),IF(AND(G51="4D5",G53=4),INDEX(T!$D96:$D102,MATCH(TRUE,INDEX(T!$D96:$D102&gt;=G29,0),)),IF(AND(G51="4D5",G53=5),INDEX(T!$E96:$E102,MATCH(TRUE,INDEX(T!$E96:$E102&gt;=G29,0),)),IF(AND(G51="4D5",G53=6),INDEX(T!$F96:$F102,MATCH(TRUE,INDEX(T!$F96:$F102&gt;=G29,0),)),IF(AND(G51="4D5",G53=7),INDEX(T!$G96:$G102,MATCH(TRUE,INDEX(T!$G96:$G102&gt;=G29,0),)))))))))))))))))))))))))))))))))))))))))))),IF(OR(G51="4E1",G51="4E2",G51="4E3",G51="4E4"),IF(AND(G51="4E1",G53=2),INDEX(T!$B108:$B124,MATCH(TRUE,INDEX(T!$B108:$B124&gt;=G29,0),)),IF(AND(G51="4E1",G53=3),INDEX(T!$C$108:$C124,MATCH(TRUE,INDEX(T!$C$108:$C124&gt;=G29,0),)),IF(AND(G51="4E1",G53=4),INDEX(T!$D108:$D127,MATCH(TRUE,INDEX(T!$D108:$D127&gt;=G29,0),)),IF(AND(G51="4E1",G53=5),INDEX(T!$E108:$E127,MATCH(TRUE,INDEX(T!$E108:$E127&gt;=G29,0),)),IF(AND(G51="4E1",G53=6),INDEX(T!$F108:$F129,MATCH(TRUE,INDEX(T!$F108:$F129&gt;=G29,0),)),IF(AND(G51="4E1",G53=7),INDEX(T!$G108:$G129,MATCH(TRUE,INDEX(T!$G108:$G129&gt;=G29,0),)),IF(AND(G51="4E1",G53=8),INDEX(T!$H115:$H129,MATCH(TRUE,INDEX(T!$H115:$H129&gt;=G29,0),)),IF(AND(G51="4E1",G53=9),INDEX(T!$I115:$I129,MATCH(TRUE,INDEX(T!$I115:$I129&gt;=G29,0),)),IF(AND(G51="4E1",G53=10),INDEX(T!$J115:$J129,MATCH(TRUE,INDEX(T!$J115:$J129&gt;=G29,0),)),IF(AND(G51="4E1",G53=11),INDEX(T!$K115:$K129,MATCH(TRUE,INDEX(T!$K115:$K129&gt;=G29,0),)),IF(AND(G51="4E1",G53=12),INDEX(T!$L$115:$L129,MATCH(TRUE,INDEX(T!$L$115:$L129&gt;=G29,0),)),IF(AND(G51="4E2",G53=2),INDEX(T!$B134:$B151,MATCH(TRUE,INDEX(T!$B134:$B151&gt;=G29,0),)),IF(AND(G51="4E2",G53=3),INDEX(T!$C$134:$C151,MATCH(TRUE,INDEX(T!$C$134:$C151&gt;=G29,0),)),IF(AND(G51="4E2",G53=4),INDEX(T!$D134:$D152,MATCH(TRUE,INDEX(T!$D134:$D152&gt;=G29,0),)),IF(AND(G51="4E2",G53=5),INDEX(T!$E134:$E152,MATCH(TRUE,INDEX(T!$E134:$E152&gt;=G29,0),)),IF(AND(G51="4E2",G53=6),INDEX(T!$F134:$F152,MATCH(TRUE,INDEX(T!$F134:$F152&gt;=G29,0),)),IF(AND(G51="4E2",G53=7),INDEX(T!$G134:$G152,MATCH(TRUE,INDEX(T!$G134:$G152&gt;=G29,0),)),IF(AND(G51="4E2",G53=8),INDEX(T!$H134:$H152,MATCH(TRUE,INDEX(T!$H134:$H152&gt;=G29,0),)),IF(AND(G51="4E2",G53=9),INDEX(T!$I134:$I152,MATCH(TRUE,INDEX(T!$I134:$I152&gt;=G29,0),)),IF(AND(G51="4E3",G53=2),INDEX(T!$B158:$B170,MATCH(TRUE,INDEX(T!$B158:$B170&gt;=G29,0),)),IF(AND(G51="4E3",G53=3),INDEX(T!$C$158:$C170,MATCH(TRUE,INDEX(T!$C$158:$C170&gt;=G29,0),)),IF(AND(G51="4E3",G53=4),INDEX(T!$D158:$D170,MATCH(TRUE,INDEX(T!$D158:$D170&gt;=G29,0),)),IF(AND(G51="4E3",G53=5),INDEX(T!$E158:$E170,MATCH(TRUE,INDEX(T!$E158:$E170&gt;=G29,0),)),IF(AND(G51="4E3",G53=6),INDEX(T!$F158:$F170,MATCH(TRUE,INDEX(T!$F158:$F170&gt;=G29,0),)),IF(AND(G51="4E3",G53=7),INDEX(T!$G158:$G170,MATCH(TRUE,INDEX(T!$G158:$G170&gt;=G29,0),)),IF(AND(G51="4E3",G53=8),INDEX(T!$H158:$H170,MATCH(TRUE,INDEX(T!$H158:$H170&gt;=G29,0),)),IF(AND(G51="4E3",G53=9),INDEX(T!$I158:$I170,MATCH(TRUE,INDEX(T!$I56:$I68&gt;=G29,0),)),IF(AND(G51="4E3",G53=10),INDEX(T!$J158:$J170,MATCH(TRUE,INDEX(T!$J158:$J170&gt;=G29,0),)),IF(AND(G51="4E3",G53=11),INDEX(T!$K158:$K170,MATCH(TRUE,INDEX(T!$K158:$K170&gt;=G29,0),)),IF(AND(G51="4E3",G53=12),INDEX(T!$L$158:$L170,MATCH(TRUE,INDEX(T!$L$158:$L170&gt;=G29,0),)),IF(AND(G51="4E4",G53=2),INDEX(T!$B176:$B192,MATCH(TRUE,INDEX(T!$B176:$B192&gt;=G29,0),)),IF(AND(G51="4E4",G53=3),INDEX(T!$C176:$C192,MATCH(TRUE,INDEX(T!$C176:$C192&gt;=G29,0),)),IF(AND(G51="4E4",G53=4),INDEX(T!$D176:$D192,MATCH(TRUE,INDEX(T!$D176:$D192&gt;=G29,0),)),IF(AND(G51="4E4",G53=5),INDEX(T!$E176:$E192,MATCH(TRUE,INDEX(T!$E176:$E192&gt;=G29,0),)),IF(AND(G51="4E4",G53=6),INDEX(T!$F176:$F191,MATCH(TRUE,INDEX(T!$F176:$F191&gt;=G29,0),)),IF(AND(G51="4E4",G53=7),INDEX(T!$G176:$G191,MATCH(TRUE,INDEX(T!$G176:$G191&gt;=G29,0),)),"-")))))))))))))))))))))))))))))))))))),IF(OR(G51="4F1",G51="4F2",G51="4F3"),IF(G29="","",IF(AND(G51="4F1",G53=2),INDEX(T!$B198:$B202,MATCH(TRUE,INDEX(T!$B198:$B202&gt;=G29,0),)),IF(AND(G51="4F1",G53=3),INDEX(T!$C$198:$C211,MATCH(TRUE,INDEX(T!$C$198:$C211&gt;=G29,0),)),IF(AND(G51="4F1",G53=4),INDEX(T!$D203:$D214,MATCH(TRUE,INDEX(T!$D203:$D214&gt;=G29,0),)),IF(AND(G51="4F2",G53=2),INDEX(T!$B220:$B224,MATCH(TRUE,INDEX(T!$B220:$B224&gt;=G29,0),)),IF(AND(G51="4F2",G53=3),INDEX(T!$C$220:$C233,MATCH(TRUE,INDEX(T!$C$220:$C233&gt;=G29,0),)),IF(AND(G51="4F2",G53=4),INDEX(T!$D225:$D236,MATCH(TRUE,INDEX(T!$D225:$D236&gt;=G29,0),)),IF(AND(G51="4F3",G53=2),INDEX(T!$B242:$B248,MATCH(TRUE,INDEX(T!$B242:$B248&gt;=G29,0),)),IF(AND(G51="4F3",G53=3),INDEX(T!$C$242:$C248,MATCH(TRUE,INDEX(T!$C$242:$C248&gt;=G29,0),)),"-"))))))))),""))))</f>
        <v>37</v>
      </c>
      <c r="H75" s="129" cm="1">
        <f t="array" aca="1" ref="H75" ca="1">IF(H29="","",IF(OR(H51="4D1",H51="4D2",H51="4D3",H51="4D4",H51="4D5"),IF(AND(H51="4D1",H53=2),INDEX(T!$B6:$B22,MATCH(TRUE,INDEX(T!$B6:$B22&gt;=H29,0),)),IF(AND(H51="4D1",H53=3),INDEX(T!$C$6:$C22,MATCH(TRUE,INDEX(T!$C$6:$C22&gt;=H29,0),)),IF(AND(H51="4D1",H53=4),INDEX(T!$D6:$D25,MATCH(TRUE,INDEX(T!$D6:$D25&gt;=H29,0),)),IF(AND(H51="4D1",H53=5),INDEX(T!$E6:$E25,MATCH(TRUE,INDEX(T!$E6:$E25&gt;=H29,0),)),IF(AND(H51="4D1",H53=6),INDEX(T!$F6:$F27,MATCH(TRUE,INDEX(T!$F6:$F27&gt;=H29,0),)),IF(AND(H51="4D1",H53=7),INDEX(T!$G6:$G27,MATCH(TRUE,INDEX(T!$G6:$G27&gt;=H29,0),)),IF(AND(H51="4D1",H53=8),INDEX(T!$H13:$H27,MATCH(TRUE,INDEX(T!$H13:$H27&gt;=H29,0),)),IF(AND(H51="4D1",H53=9),INDEX(T!$I13:$I27,MATCH(TRUE,INDEX(T!$I13:$I27&gt;=H29,0),)),IF(AND(H51="4D1",H53=10),INDEX(T!$J13:$J27,MATCH(TRUE,INDEX(T!$J13:$J27&gt;=H29,0),)),IF(AND(H51="4D1",H53=11),INDEX(T!$K13:$K27,MATCH(TRUE,INDEX(T!$K13:$K27&gt;=H29,0),)),IF(AND(H51="4D1",H53=12),INDEX(T!$L$13:$L27,MATCH(TRUE,INDEX(T!$L$13:$L27&gt;=H29,0),)),IF(AND(H51="4D2",H53=2),INDEX(T!$B33:$B49,MATCH(TRUE,INDEX(T!$B33:$B49&gt;=H29,0),)),IF(AND(H51="4D2",H53=3),INDEX(T!$C$33:$C49,MATCH(TRUE,INDEX(T!$C$33:$C49&gt;=H29,0),)),IF(AND(H51="4D2",H53=4),INDEX(T!$D33:$D50,MATCH(TRUE,INDEX(T!$D33:$D50&gt;=H29,0),)),IF(AND(H51="4D2",H53=5),INDEX(T!$E33:$E50,MATCH(TRUE,INDEX(T!$E33:$E50&gt;=H29,0),)),IF(AND(H51="4D2",H53=6),INDEX(T!$F33:$F50,MATCH(TRUE,INDEX(T!$F33:$F50&gt;=H29,0),)),IF(AND(H51="4D2",H53=7),INDEX(T!$G33:$G50,MATCH(TRUE,INDEX(T!$G33:$G50&gt;=H29,0),)),IF(AND(H51="4D2",H53=8),INDEX(T!$H33:$H50,MATCH(TRUE,INDEX(T!$H33:$H50&gt;=H29,0),)),IF(AND(H51="4D2",H53=9),INDEX(T!$I33:$I50,MATCH(TRUE,INDEX(T!$I33:$I50&gt;=H29,0),)),IF(AND(H51="4D3",H53=2),INDEX(T!$B56:$B68,MATCH(TRUE,INDEX(T!$B56:$B68&gt;=H29,0),)),IF(AND(H51="4D3",H53=3),INDEX(T!$C$56:$C68,MATCH(TRUE,INDEX(T!$C$56:$C68&gt;=H29,0),)),IF(AND(H51="4D3",H53=4),INDEX(T!$D56:$D68,MATCH(TRUE,INDEX(T!$D56:$D68&gt;=H29,0),)),IF(AND(H51="4D3",H53=5),INDEX(T!$E56:$E68,MATCH(TRUE,INDEX(T!$E56:$E68&gt;=H29,0),)),IF(AND(H51="4D3",H53=6),INDEX(T!$F56:$F68,MATCH(TRUE,INDEX(T!$F56:$F68&gt;=H29,0),)),IF(AND(H51="4D3",H53=7),INDEX(T!$G56:$G68,MATCH(TRUE,INDEX(T!$G56:$G68&gt;=H29,0),)),IF(AND(H51="4D3",H53=8),INDEX(T!$H56:$H68,MATCH(TRUE,INDEX(T!$H56:$H68&gt;=H29,0),)),IF(AND(H51="4D3",H53=9),INDEX(T!$I56:$I68,MATCH(TRUE,INDEX(T!$I56:$I68&gt;=H29,0),)),IF(AND(H51="4D3",H53=10),INDEX(T!$J56:$J68,MATCH(TRUE,INDEX(T!$J56:$J68&gt;=H29,0),)),IF(AND(H51="4D3",H53=11),INDEX(T!$K56:$K68,MATCH(TRUE,INDEX(T!$K56:$K68&gt;=H29,0),)),IF(AND(H51="4D3",H53=12),INDEX(T!$L$56:$L68,MATCH(TRUE,INDEX(T!$L$56:$L68&gt;=H29,0),)),IF(AND(H51="4D4",H53=2),INDEX(T!$B74:$B90,MATCH(TRUE,INDEX(T!$B74:$B90&gt;=H29,0),)),IF(AND(H51="4D4",H53=3),INDEX(T!$C$74:$C90,MATCH(TRUE,INDEX(T!$C$74:$C90&gt;=H29,0),)),IF(AND(H51="4D4",H53=4),INDEX(T!$D74:$D90,MATCH(TRUE,INDEX(T!$D74:$D90&gt;=H29,0),)),IF(AND(H51="4D4",H53=5),INDEX(T!$E74:$E90,MATCH(TRUE,INDEX(T!$E74:$E90&gt;=H29,0),)),IF(AND(H51="4D4",H53=6),INDEX(T!$F74:$F89,MATCH(TRUE,INDEX(T!$F74:$F89&gt;=H29,0),)),IF(AND(H51="4D4",H53=7),INDEX(T!$G74:$G89,MATCH(TRUE,INDEX(T!$G74:$G89&gt;=H29,0),)),IF(AND(H51="4D5",H53=2),INDEX(T!$B96:$B102,MATCH(TRUE,INDEX(T!$B96:$B102&gt;=H29,0),)),IF(AND(H51="4D5",H53=3),INDEX(T!$C$96:$C102,MATCH(TRUE,INDEX(T!$C$96:$C102&gt;=H29,0),)),IF(AND(H51="4D5",H53=4),INDEX(T!$D96:$D102,MATCH(TRUE,INDEX(T!$D96:$D102&gt;=H29,0),)),IF(AND(H51="4D5",H53=5),INDEX(T!$E96:$E102,MATCH(TRUE,INDEX(T!$E96:$E102&gt;=H29,0),)),IF(AND(H51="4D5",H53=6),INDEX(T!$F96:$F102,MATCH(TRUE,INDEX(T!$F96:$F102&gt;=H29,0),)),IF(AND(H51="4D5",H53=7),INDEX(T!$G96:$G102,MATCH(TRUE,INDEX(T!$G96:$G102&gt;=H29,0),)))))))))))))))))))))))))))))))))))))))))))),IF(OR(H51="4E1",H51="4E2",H51="4E3",H51="4E4"),IF(AND(H51="4E1",H53=2),INDEX(T!$B108:$B124,MATCH(TRUE,INDEX(T!$B108:$B124&gt;=H29,0),)),IF(AND(H51="4E1",H53=3),INDEX(T!$C$108:$C124,MATCH(TRUE,INDEX(T!$C$108:$C124&gt;=H29,0),)),IF(AND(H51="4E1",H53=4),INDEX(T!$D108:$D127,MATCH(TRUE,INDEX(T!$D108:$D127&gt;=H29,0),)),IF(AND(H51="4E1",H53=5),INDEX(T!$E108:$E127,MATCH(TRUE,INDEX(T!$E108:$E127&gt;=H29,0),)),IF(AND(H51="4E1",H53=6),INDEX(T!$F108:$F129,MATCH(TRUE,INDEX(T!$F108:$F129&gt;=H29,0),)),IF(AND(H51="4E1",H53=7),INDEX(T!$G108:$G129,MATCH(TRUE,INDEX(T!$G108:$G129&gt;=H29,0),)),IF(AND(H51="4E1",H53=8),INDEX(T!$H115:$H129,MATCH(TRUE,INDEX(T!$H115:$H129&gt;=H29,0),)),IF(AND(H51="4E1",H53=9),INDEX(T!$I115:$I129,MATCH(TRUE,INDEX(T!$I115:$I129&gt;=H29,0),)),IF(AND(H51="4E1",H53=10),INDEX(T!$J115:$J129,MATCH(TRUE,INDEX(T!$J115:$J129&gt;=H29,0),)),IF(AND(H51="4E1",H53=11),INDEX(T!$K115:$K129,MATCH(TRUE,INDEX(T!$K115:$K129&gt;=H29,0),)),IF(AND(H51="4E1",H53=12),INDEX(T!$L$115:$L129,MATCH(TRUE,INDEX(T!$L$115:$L129&gt;=H29,0),)),IF(AND(H51="4E2",H53=2),INDEX(T!$B134:$B151,MATCH(TRUE,INDEX(T!$B134:$B151&gt;=H29,0),)),IF(AND(H51="4E2",H53=3),INDEX(T!$C$134:$C151,MATCH(TRUE,INDEX(T!$C$134:$C151&gt;=H29,0),)),IF(AND(H51="4E2",H53=4),INDEX(T!$D134:$D152,MATCH(TRUE,INDEX(T!$D134:$D152&gt;=H29,0),)),IF(AND(H51="4E2",H53=5),INDEX(T!$E134:$E152,MATCH(TRUE,INDEX(T!$E134:$E152&gt;=H29,0),)),IF(AND(H51="4E2",H53=6),INDEX(T!$F134:$F152,MATCH(TRUE,INDEX(T!$F134:$F152&gt;=H29,0),)),IF(AND(H51="4E2",H53=7),INDEX(T!$G134:$G152,MATCH(TRUE,INDEX(T!$G134:$G152&gt;=H29,0),)),IF(AND(H51="4E2",H53=8),INDEX(T!$H134:$H152,MATCH(TRUE,INDEX(T!$H134:$H152&gt;=H29,0),)),IF(AND(H51="4E2",H53=9),INDEX(T!$I134:$I152,MATCH(TRUE,INDEX(T!$I134:$I152&gt;=H29,0),)),IF(AND(H51="4E3",H53=2),INDEX(T!$B158:$B170,MATCH(TRUE,INDEX(T!$B158:$B170&gt;=H29,0),)),IF(AND(H51="4E3",H53=3),INDEX(T!$C$158:$C170,MATCH(TRUE,INDEX(T!$C$158:$C170&gt;=H29,0),)),IF(AND(H51="4E3",H53=4),INDEX(T!$D158:$D170,MATCH(TRUE,INDEX(T!$D158:$D170&gt;=H29,0),)),IF(AND(H51="4E3",H53=5),INDEX(T!$E158:$E170,MATCH(TRUE,INDEX(T!$E158:$E170&gt;=H29,0),)),IF(AND(H51="4E3",H53=6),INDEX(T!$F158:$F170,MATCH(TRUE,INDEX(T!$F158:$F170&gt;=H29,0),)),IF(AND(H51="4E3",H53=7),INDEX(T!$G158:$G170,MATCH(TRUE,INDEX(T!$G158:$G170&gt;=H29,0),)),IF(AND(H51="4E3",H53=8),INDEX(T!$H158:$H170,MATCH(TRUE,INDEX(T!$H158:$H170&gt;=H29,0),)),IF(AND(H51="4E3",H53=9),INDEX(T!$I158:$I170,MATCH(TRUE,INDEX(T!$I56:$I68&gt;=H29,0),)),IF(AND(H51="4E3",H53=10),INDEX(T!$J158:$J170,MATCH(TRUE,INDEX(T!$J158:$J170&gt;=H29,0),)),IF(AND(H51="4E3",H53=11),INDEX(T!$K158:$K170,MATCH(TRUE,INDEX(T!$K158:$K170&gt;=H29,0),)),IF(AND(H51="4E3",H53=12),INDEX(T!$L$158:$L170,MATCH(TRUE,INDEX(T!$L$158:$L170&gt;=H29,0),)),IF(AND(H51="4E4",H53=2),INDEX(T!$B176:$B192,MATCH(TRUE,INDEX(T!$B176:$B192&gt;=H29,0),)),IF(AND(H51="4E4",H53=3),INDEX(T!$C176:$C192,MATCH(TRUE,INDEX(T!$C176:$C192&gt;=H29,0),)),IF(AND(H51="4E4",H53=4),INDEX(T!$D176:$D192,MATCH(TRUE,INDEX(T!$D176:$D192&gt;=H29,0),)),IF(AND(H51="4E4",H53=5),INDEX(T!$E176:$E192,MATCH(TRUE,INDEX(T!$E176:$E192&gt;=H29,0),)),IF(AND(H51="4E4",H53=6),INDEX(T!$F176:$F191,MATCH(TRUE,INDEX(T!$F176:$F191&gt;=H29,0),)),IF(AND(H51="4E4",H53=7),INDEX(T!$G176:$G191,MATCH(TRUE,INDEX(T!$G176:$G191&gt;=H29,0),)),"-")))))))))))))))))))))))))))))))))))),IF(OR(H51="4F1",H51="4F2",H51="4F3"),IF(H29="","",IF(AND(H51="4F1",H53=2),INDEX(T!$B198:$B202,MATCH(TRUE,INDEX(T!$B198:$B202&gt;=H29,0),)),IF(AND(H51="4F1",H53=3),INDEX(T!$C$198:$C211,MATCH(TRUE,INDEX(T!$C$198:$C211&gt;=H29,0),)),IF(AND(H51="4F1",H53=4),INDEX(T!$D203:$D214,MATCH(TRUE,INDEX(T!$D203:$D214&gt;=H29,0),)),IF(AND(H51="4F2",H53=2),INDEX(T!$B220:$B224,MATCH(TRUE,INDEX(T!$B220:$B224&gt;=H29,0),)),IF(AND(H51="4F2",H53=3),INDEX(T!$C$220:$C233,MATCH(TRUE,INDEX(T!$C$220:$C233&gt;=H29,0),)),IF(AND(H51="4F2",H53=4),INDEX(T!$D225:$D236,MATCH(TRUE,INDEX(T!$D225:$D236&gt;=H29,0),)),IF(AND(H51="4F3",H53=2),INDEX(T!$B242:$B248,MATCH(TRUE,INDEX(T!$B242:$B248&gt;=H29,0),)),IF(AND(H51="4F3",H53=3),INDEX(T!$C$242:$C248,MATCH(TRUE,INDEX(T!$C$242:$C248&gt;=H29,0),)),"-"))))))))),""))))</f>
        <v>37</v>
      </c>
      <c r="I75" s="129" cm="1">
        <f t="array" ref="I75">IF(I29="","",IF(OR(I51="4D1",I51="4D2",I51="4D3",I51="4D4",I51="4D5"),IF(AND(I51="4D1",I53=2),INDEX(T!$B6:$B22,MATCH(TRUE,INDEX(T!$B6:$B22&gt;=I29,0),)),IF(AND(I51="4D1",I53=3),INDEX(T!$C$6:$C22,MATCH(TRUE,INDEX(T!$C$6:$C22&gt;=I29,0),)),IF(AND(I51="4D1",I53=4),INDEX(T!$D6:$D25,MATCH(TRUE,INDEX(T!$D6:$D25&gt;=I29,0),)),IF(AND(I51="4D1",I53=5),INDEX(T!$E6:$E25,MATCH(TRUE,INDEX(T!$E6:$E25&gt;=I29,0),)),IF(AND(I51="4D1",I53=6),INDEX(T!$F6:$F27,MATCH(TRUE,INDEX(T!$F6:$F27&gt;=I29,0),)),IF(AND(I51="4D1",I53=7),INDEX(T!$G6:$G27,MATCH(TRUE,INDEX(T!$G6:$G27&gt;=I29,0),)),IF(AND(I51="4D1",I53=8),INDEX(T!$H13:$H27,MATCH(TRUE,INDEX(T!$H13:$H27&gt;=I29,0),)),IF(AND(I51="4D1",I53=9),INDEX(T!$I13:$I27,MATCH(TRUE,INDEX(T!$I13:$I27&gt;=I29,0),)),IF(AND(I51="4D1",I53=10),INDEX(T!$J13:$J27,MATCH(TRUE,INDEX(T!$J13:$J27&gt;=I29,0),)),IF(AND(I51="4D1",I53=11),INDEX(T!$K13:$K27,MATCH(TRUE,INDEX(T!$K13:$K27&gt;=I29,0),)),IF(AND(I51="4D1",I53=12),INDEX(T!$L$13:$L27,MATCH(TRUE,INDEX(T!$L$13:$L27&gt;=I29,0),)),IF(AND(I51="4D2",I53=2),INDEX(T!$B33:$B49,MATCH(TRUE,INDEX(T!$B33:$B49&gt;=I29,0),)),IF(AND(I51="4D2",I53=3),INDEX(T!$C$33:$C49,MATCH(TRUE,INDEX(T!$C$33:$C49&gt;=I29,0),)),IF(AND(I51="4D2",I53=4),INDEX(T!$D33:$D50,MATCH(TRUE,INDEX(T!$D33:$D50&gt;=I29,0),)),IF(AND(I51="4D2",I53=5),INDEX(T!$E33:$E50,MATCH(TRUE,INDEX(T!$E33:$E50&gt;=I29,0),)),IF(AND(I51="4D2",I53=6),INDEX(T!$F33:$F50,MATCH(TRUE,INDEX(T!$F33:$F50&gt;=I29,0),)),IF(AND(I51="4D2",I53=7),INDEX(T!$G33:$G50,MATCH(TRUE,INDEX(T!$G33:$G50&gt;=I29,0),)),IF(AND(I51="4D2",I53=8),INDEX(T!$H33:$H50,MATCH(TRUE,INDEX(T!$H33:$H50&gt;=I29,0),)),IF(AND(I51="4D2",I53=9),INDEX(T!$I33:$I50,MATCH(TRUE,INDEX(T!$I33:$I50&gt;=I29,0),)),IF(AND(I51="4D3",I53=2),INDEX(T!$B56:$B68,MATCH(TRUE,INDEX(T!$B56:$B68&gt;=I29,0),)),IF(AND(I51="4D3",I53=3),INDEX(T!$C$56:$C68,MATCH(TRUE,INDEX(T!$C$56:$C68&gt;=I29,0),)),IF(AND(I51="4D3",I53=4),INDEX(T!$D56:$D68,MATCH(TRUE,INDEX(T!$D56:$D68&gt;=I29,0),)),IF(AND(I51="4D3",I53=5),INDEX(T!$E56:$E68,MATCH(TRUE,INDEX(T!$E56:$E68&gt;=I29,0),)),IF(AND(I51="4D3",I53=6),INDEX(T!$F56:$F68,MATCH(TRUE,INDEX(T!$F56:$F68&gt;=I29,0),)),IF(AND(I51="4D3",I53=7),INDEX(T!$G56:$G68,MATCH(TRUE,INDEX(T!$G56:$G68&gt;=I29,0),)),IF(AND(I51="4D3",I53=8),INDEX(T!$H56:$H68,MATCH(TRUE,INDEX(T!$H56:$H68&gt;=I29,0),)),IF(AND(I51="4D3",I53=9),INDEX(T!$I56:$I68,MATCH(TRUE,INDEX(T!$I56:$I68&gt;=I29,0),)),IF(AND(I51="4D3",I53=10),INDEX(T!$J56:$J68,MATCH(TRUE,INDEX(T!$J56:$J68&gt;=I29,0),)),IF(AND(I51="4D3",I53=11),INDEX(T!$K56:$K68,MATCH(TRUE,INDEX(T!$K56:$K68&gt;=I29,0),)),IF(AND(I51="4D3",I53=12),INDEX(T!$L$56:$L68,MATCH(TRUE,INDEX(T!$L$56:$L68&gt;=I29,0),)),IF(AND(I51="4D4",I53=2),INDEX(T!$B74:$B90,MATCH(TRUE,INDEX(T!$B74:$B90&gt;=I29,0),)),IF(AND(I51="4D4",I53=3),INDEX(T!$C$74:$C90,MATCH(TRUE,INDEX(T!$C$74:$C90&gt;=I29,0),)),IF(AND(I51="4D4",I53=4),INDEX(T!$D74:$D90,MATCH(TRUE,INDEX(T!$D74:$D90&gt;=I29,0),)),IF(AND(I51="4D4",I53=5),INDEX(T!$E74:$E90,MATCH(TRUE,INDEX(T!$E74:$E90&gt;=I29,0),)),IF(AND(I51="4D4",I53=6),INDEX(T!$F74:$F89,MATCH(TRUE,INDEX(T!$F74:$F89&gt;=I29,0),)),IF(AND(I51="4D4",I53=7),INDEX(T!$G74:$G89,MATCH(TRUE,INDEX(T!$G74:$G89&gt;=I29,0),)),IF(AND(I51="4D5",I53=2),INDEX(T!$B96:$B102,MATCH(TRUE,INDEX(T!$B96:$B102&gt;=I29,0),)),IF(AND(I51="4D5",I53=3),INDEX(T!$C$96:$C102,MATCH(TRUE,INDEX(T!$C$96:$C102&gt;=I29,0),)),IF(AND(I51="4D5",I53=4),INDEX(T!$D96:$D102,MATCH(TRUE,INDEX(T!$D96:$D102&gt;=I29,0),)),IF(AND(I51="4D5",I53=5),INDEX(T!$E96:$E102,MATCH(TRUE,INDEX(T!$E96:$E102&gt;=I29,0),)),IF(AND(I51="4D5",I53=6),INDEX(T!$F96:$F102,MATCH(TRUE,INDEX(T!$F96:$F102&gt;=I29,0),)),IF(AND(I51="4D5",I53=7),INDEX(T!$G96:$G102,MATCH(TRUE,INDEX(T!$G96:$G102&gt;=I29,0),)))))))))))))))))))))))))))))))))))))))))))),IF(OR(I51="4E1",I51="4E2",I51="4E3",I51="4E4"),IF(AND(I51="4E1",I53=2),INDEX(T!$B108:$B124,MATCH(TRUE,INDEX(T!$B108:$B124&gt;=I29,0),)),IF(AND(I51="4E1",I53=3),INDEX(T!$C$108:$C124,MATCH(TRUE,INDEX(T!$C$108:$C124&gt;=I29,0),)),IF(AND(I51="4E1",I53=4),INDEX(T!$D108:$D127,MATCH(TRUE,INDEX(T!$D108:$D127&gt;=I29,0),)),IF(AND(I51="4E1",I53=5),INDEX(T!$E108:$E127,MATCH(TRUE,INDEX(T!$E108:$E127&gt;=I29,0),)),IF(AND(I51="4E1",I53=6),INDEX(T!$F108:$F129,MATCH(TRUE,INDEX(T!$F108:$F129&gt;=I29,0),)),IF(AND(I51="4E1",I53=7),INDEX(T!$G108:$G129,MATCH(TRUE,INDEX(T!$G108:$G129&gt;=I29,0),)),IF(AND(I51="4E1",I53=8),INDEX(T!$H115:$H129,MATCH(TRUE,INDEX(T!$H115:$H129&gt;=I29,0),)),IF(AND(I51="4E1",I53=9),INDEX(T!$I115:$I129,MATCH(TRUE,INDEX(T!$I115:$I129&gt;=I29,0),)),IF(AND(I51="4E1",I53=10),INDEX(T!$J115:$J129,MATCH(TRUE,INDEX(T!$J115:$J129&gt;=I29,0),)),IF(AND(I51="4E1",I53=11),INDEX(T!$K115:$K129,MATCH(TRUE,INDEX(T!$K115:$K129&gt;=I29,0),)),IF(AND(I51="4E1",I53=12),INDEX(T!$L$115:$L129,MATCH(TRUE,INDEX(T!$L$115:$L129&gt;=I29,0),)),IF(AND(I51="4E2",I53=2),INDEX(T!$B134:$B151,MATCH(TRUE,INDEX(T!$B134:$B151&gt;=I29,0),)),IF(AND(I51="4E2",I53=3),INDEX(T!$C$134:$C151,MATCH(TRUE,INDEX(T!$C$134:$C151&gt;=I29,0),)),IF(AND(I51="4E2",I53=4),INDEX(T!$D134:$D152,MATCH(TRUE,INDEX(T!$D134:$D152&gt;=I29,0),)),IF(AND(I51="4E2",I53=5),INDEX(T!$E134:$E152,MATCH(TRUE,INDEX(T!$E134:$E152&gt;=I29,0),)),IF(AND(I51="4E2",I53=6),INDEX(T!$F134:$F152,MATCH(TRUE,INDEX(T!$F134:$F152&gt;=I29,0),)),IF(AND(I51="4E2",I53=7),INDEX(T!$G134:$G152,MATCH(TRUE,INDEX(T!$G134:$G152&gt;=I29,0),)),IF(AND(I51="4E2",I53=8),INDEX(T!$H134:$H152,MATCH(TRUE,INDEX(T!$H134:$H152&gt;=I29,0),)),IF(AND(I51="4E2",I53=9),INDEX(T!$I134:$I152,MATCH(TRUE,INDEX(T!$I134:$I152&gt;=I29,0),)),IF(AND(I51="4E3",I53=2),INDEX(T!$B158:$B170,MATCH(TRUE,INDEX(T!$B158:$B170&gt;=I29,0),)),IF(AND(I51="4E3",I53=3),INDEX(T!$C$158:$C170,MATCH(TRUE,INDEX(T!$C$158:$C170&gt;=I29,0),)),IF(AND(I51="4E3",I53=4),INDEX(T!$D158:$D170,MATCH(TRUE,INDEX(T!$D158:$D170&gt;=I29,0),)),IF(AND(I51="4E3",I53=5),INDEX(T!$E158:$E170,MATCH(TRUE,INDEX(T!$E158:$E170&gt;=I29,0),)),IF(AND(I51="4E3",I53=6),INDEX(T!$F158:$F170,MATCH(TRUE,INDEX(T!$F158:$F170&gt;=I29,0),)),IF(AND(I51="4E3",I53=7),INDEX(T!$G158:$G170,MATCH(TRUE,INDEX(T!$G158:$G170&gt;=I29,0),)),IF(AND(I51="4E3",I53=8),INDEX(T!$H158:$H170,MATCH(TRUE,INDEX(T!$H158:$H170&gt;=I29,0),)),IF(AND(I51="4E3",I53=9),INDEX(T!$I158:$I170,MATCH(TRUE,INDEX(T!$I56:$I68&gt;=I29,0),)),IF(AND(I51="4E3",I53=10),INDEX(T!$J158:$J170,MATCH(TRUE,INDEX(T!$J158:$J170&gt;=I29,0),)),IF(AND(I51="4E3",I53=11),INDEX(T!$K158:$K170,MATCH(TRUE,INDEX(T!$K158:$K170&gt;=I29,0),)),IF(AND(I51="4E3",I53=12),INDEX(T!$L$158:$L170,MATCH(TRUE,INDEX(T!$L$158:$L170&gt;=I29,0),)),IF(AND(I51="4E4",I53=2),INDEX(T!$B176:$B192,MATCH(TRUE,INDEX(T!$B176:$B192&gt;=I29,0),)),IF(AND(I51="4E4",I53=3),INDEX(T!$C176:$C192,MATCH(TRUE,INDEX(T!$C176:$C192&gt;=I29,0),)),IF(AND(I51="4E4",I53=4),INDEX(T!$D176:$D192,MATCH(TRUE,INDEX(T!$D176:$D192&gt;=I29,0),)),IF(AND(I51="4E4",I53=5),INDEX(T!$E176:$E192,MATCH(TRUE,INDEX(T!$E176:$E192&gt;=I29,0),)),IF(AND(I51="4E4",I53=6),INDEX(T!$F176:$F191,MATCH(TRUE,INDEX(T!$F176:$F191&gt;=I29,0),)),IF(AND(I51="4E4",I53=7),INDEX(T!$G176:$G191,MATCH(TRUE,INDEX(T!$G176:$G191&gt;=I29,0),)),"-")))))))))))))))))))))))))))))))))))),IF(OR(I51="4F1",I51="4F2",I51="4F3"),IF(I29="","",IF(AND(I51="4F1",I53=2),INDEX(T!$B198:$B202,MATCH(TRUE,INDEX(T!$B198:$B202&gt;=I29,0),)),IF(AND(I51="4F1",I53=3),INDEX(T!$C$198:$C211,MATCH(TRUE,INDEX(T!$C$198:$C211&gt;=I29,0),)),IF(AND(I51="4F1",I53=4),INDEX(T!$D203:$D214,MATCH(TRUE,INDEX(T!$D203:$D214&gt;=I29,0),)),IF(AND(I51="4F2",I53=2),INDEX(T!$B220:$B224,MATCH(TRUE,INDEX(T!$B220:$B224&gt;=I29,0),)),IF(AND(I51="4F2",I53=3),INDEX(T!$C$220:$C233,MATCH(TRUE,INDEX(T!$C$220:$C233&gt;=I29,0),)),IF(AND(I51="4F2",I53=4),INDEX(T!$D225:$D236,MATCH(TRUE,INDEX(T!$D225:$D236&gt;=I29,0),)),IF(AND(I51="4F3",I53=2),INDEX(T!$B242:$B248,MATCH(TRUE,INDEX(T!$B242:$B248&gt;=I29,0),)),IF(AND(I51="4F3",I53=3),INDEX(T!$C$242:$C248,MATCH(TRUE,INDEX(T!$C$242:$C248&gt;=I29,0),)),"-"))))))))),""))))</f>
        <v>130</v>
      </c>
      <c r="J75" s="129" cm="1">
        <f t="array" ref="J75">IF(J29="","",IF(OR(J51="4D1",J51="4D2",J51="4D3",J51="4D4",J51="4D5"),IF(AND(J51="4D1",J53=2),INDEX(T!$B6:$B22,MATCH(TRUE,INDEX(T!$B6:$B22&gt;=J29,0),)),IF(AND(J51="4D1",J53=3),INDEX(T!$C$6:$C22,MATCH(TRUE,INDEX(T!$C$6:$C22&gt;=J29,0),)),IF(AND(J51="4D1",J53=4),INDEX(T!$D6:$D25,MATCH(TRUE,INDEX(T!$D6:$D25&gt;=J29,0),)),IF(AND(J51="4D1",J53=5),INDEX(T!$E6:$E25,MATCH(TRUE,INDEX(T!$E6:$E25&gt;=J29,0),)),IF(AND(J51="4D1",J53=6),INDEX(T!$F6:$F27,MATCH(TRUE,INDEX(T!$F6:$F27&gt;=J29,0),)),IF(AND(J51="4D1",J53=7),INDEX(T!$G6:$G27,MATCH(TRUE,INDEX(T!$G6:$G27&gt;=J29,0),)),IF(AND(J51="4D1",J53=8),INDEX(T!$H13:$H27,MATCH(TRUE,INDEX(T!$H13:$H27&gt;=J29,0),)),IF(AND(J51="4D1",J53=9),INDEX(T!$I13:$I27,MATCH(TRUE,INDEX(T!$I13:$I27&gt;=J29,0),)),IF(AND(J51="4D1",J53=10),INDEX(T!$J13:$J27,MATCH(TRUE,INDEX(T!$J13:$J27&gt;=J29,0),)),IF(AND(J51="4D1",J53=11),INDEX(T!$K13:$K27,MATCH(TRUE,INDEX(T!$K13:$K27&gt;=J29,0),)),IF(AND(J51="4D1",J53=12),INDEX(T!$L$13:$L27,MATCH(TRUE,INDEX(T!$L$13:$L27&gt;=J29,0),)),IF(AND(J51="4D2",J53=2),INDEX(T!$B33:$B49,MATCH(TRUE,INDEX(T!$B33:$B49&gt;=J29,0),)),IF(AND(J51="4D2",J53=3),INDEX(T!$C$33:$C49,MATCH(TRUE,INDEX(T!$C$33:$C49&gt;=J29,0),)),IF(AND(J51="4D2",J53=4),INDEX(T!$D33:$D50,MATCH(TRUE,INDEX(T!$D33:$D50&gt;=J29,0),)),IF(AND(J51="4D2",J53=5),INDEX(T!$E33:$E50,MATCH(TRUE,INDEX(T!$E33:$E50&gt;=J29,0),)),IF(AND(J51="4D2",J53=6),INDEX(T!$F33:$F50,MATCH(TRUE,INDEX(T!$F33:$F50&gt;=J29,0),)),IF(AND(J51="4D2",J53=7),INDEX(T!$G33:$G50,MATCH(TRUE,INDEX(T!$G33:$G50&gt;=J29,0),)),IF(AND(J51="4D2",J53=8),INDEX(T!$H33:$H50,MATCH(TRUE,INDEX(T!$H33:$H50&gt;=J29,0),)),IF(AND(J51="4D2",J53=9),INDEX(T!$I33:$I50,MATCH(TRUE,INDEX(T!$I33:$I50&gt;=J29,0),)),IF(AND(J51="4D3",J53=2),INDEX(T!$B56:$B68,MATCH(TRUE,INDEX(T!$B56:$B68&gt;=J29,0),)),IF(AND(J51="4D3",J53=3),INDEX(T!$C$56:$C68,MATCH(TRUE,INDEX(T!$C$56:$C68&gt;=J29,0),)),IF(AND(J51="4D3",J53=4),INDEX(T!$D56:$D68,MATCH(TRUE,INDEX(T!$D56:$D68&gt;=J29,0),)),IF(AND(J51="4D3",J53=5),INDEX(T!$E56:$E68,MATCH(TRUE,INDEX(T!$E56:$E68&gt;=J29,0),)),IF(AND(J51="4D3",J53=6),INDEX(T!$F56:$F68,MATCH(TRUE,INDEX(T!$F56:$F68&gt;=J29,0),)),IF(AND(J51="4D3",J53=7),INDEX(T!$G56:$G68,MATCH(TRUE,INDEX(T!$G56:$G68&gt;=J29,0),)),IF(AND(J51="4D3",J53=8),INDEX(T!$H56:$H68,MATCH(TRUE,INDEX(T!$H56:$H68&gt;=J29,0),)),IF(AND(J51="4D3",J53=9),INDEX(T!$I56:$I68,MATCH(TRUE,INDEX(T!$I56:$I68&gt;=J29,0),)),IF(AND(J51="4D3",J53=10),INDEX(T!$J56:$J68,MATCH(TRUE,INDEX(T!$J56:$J68&gt;=J29,0),)),IF(AND(J51="4D3",J53=11),INDEX(T!$K56:$K68,MATCH(TRUE,INDEX(T!$K56:$K68&gt;=J29,0),)),IF(AND(J51="4D3",J53=12),INDEX(T!$L$56:$L68,MATCH(TRUE,INDEX(T!$L$56:$L68&gt;=J29,0),)),IF(AND(J51="4D4",J53=2),INDEX(T!$B74:$B90,MATCH(TRUE,INDEX(T!$B74:$B90&gt;=J29,0),)),IF(AND(J51="4D4",J53=3),INDEX(T!$C$74:$C90,MATCH(TRUE,INDEX(T!$C$74:$C90&gt;=J29,0),)),IF(AND(J51="4D4",J53=4),INDEX(T!$D74:$D90,MATCH(TRUE,INDEX(T!$D74:$D90&gt;=J29,0),)),IF(AND(J51="4D4",J53=5),INDEX(T!$E74:$E90,MATCH(TRUE,INDEX(T!$E74:$E90&gt;=J29,0),)),IF(AND(J51="4D4",J53=6),INDEX(T!$F74:$F89,MATCH(TRUE,INDEX(T!$F74:$F89&gt;=J29,0),)),IF(AND(J51="4D4",J53=7),INDEX(T!$G74:$G89,MATCH(TRUE,INDEX(T!$G74:$G89&gt;=J29,0),)),IF(AND(J51="4D5",J53=2),INDEX(T!$B96:$B102,MATCH(TRUE,INDEX(T!$B96:$B102&gt;=J29,0),)),IF(AND(J51="4D5",J53=3),INDEX(T!$C$96:$C102,MATCH(TRUE,INDEX(T!$C$96:$C102&gt;=J29,0),)),IF(AND(J51="4D5",J53=4),INDEX(T!$D96:$D102,MATCH(TRUE,INDEX(T!$D96:$D102&gt;=J29,0),)),IF(AND(J51="4D5",J53=5),INDEX(T!$E96:$E102,MATCH(TRUE,INDEX(T!$E96:$E102&gt;=J29,0),)),IF(AND(J51="4D5",J53=6),INDEX(T!$F96:$F102,MATCH(TRUE,INDEX(T!$F96:$F102&gt;=J29,0),)),IF(AND(J51="4D5",J53=7),INDEX(T!$G96:$G102,MATCH(TRUE,INDEX(T!$G96:$G102&gt;=J29,0),)))))))))))))))))))))))))))))))))))))))))))),IF(OR(J51="4E1",J51="4E2",J51="4E3",J51="4E4"),IF(AND(J51="4E1",J53=2),INDEX(T!$B108:$B124,MATCH(TRUE,INDEX(T!$B108:$B124&gt;=J29,0),)),IF(AND(J51="4E1",J53=3),INDEX(T!$C$108:$C124,MATCH(TRUE,INDEX(T!$C$108:$C124&gt;=J29,0),)),IF(AND(J51="4E1",J53=4),INDEX(T!$D108:$D127,MATCH(TRUE,INDEX(T!$D108:$D127&gt;=J29,0),)),IF(AND(J51="4E1",J53=5),INDEX(T!$E108:$E127,MATCH(TRUE,INDEX(T!$E108:$E127&gt;=J29,0),)),IF(AND(J51="4E1",J53=6),INDEX(T!$F108:$F129,MATCH(TRUE,INDEX(T!$F108:$F129&gt;=J29,0),)),IF(AND(J51="4E1",J53=7),INDEX(T!$G108:$G129,MATCH(TRUE,INDEX(T!$G108:$G129&gt;=J29,0),)),IF(AND(J51="4E1",J53=8),INDEX(T!$H115:$H129,MATCH(TRUE,INDEX(T!$H115:$H129&gt;=J29,0),)),IF(AND(J51="4E1",J53=9),INDEX(T!$I115:$I129,MATCH(TRUE,INDEX(T!$I115:$I129&gt;=J29,0),)),IF(AND(J51="4E1",J53=10),INDEX(T!$J115:$J129,MATCH(TRUE,INDEX(T!$J115:$J129&gt;=J29,0),)),IF(AND(J51="4E1",J53=11),INDEX(T!$K115:$K129,MATCH(TRUE,INDEX(T!$K115:$K129&gt;=J29,0),)),IF(AND(J51="4E1",J53=12),INDEX(T!$L$115:$L129,MATCH(TRUE,INDEX(T!$L$115:$L129&gt;=J29,0),)),IF(AND(J51="4E2",J53=2),INDEX(T!$B134:$B151,MATCH(TRUE,INDEX(T!$B134:$B151&gt;=J29,0),)),IF(AND(J51="4E2",J53=3),INDEX(T!$C$134:$C151,MATCH(TRUE,INDEX(T!$C$134:$C151&gt;=J29,0),)),IF(AND(J51="4E2",J53=4),INDEX(T!$D134:$D152,MATCH(TRUE,INDEX(T!$D134:$D152&gt;=J29,0),)),IF(AND(J51="4E2",J53=5),INDEX(T!$E134:$E152,MATCH(TRUE,INDEX(T!$E134:$E152&gt;=J29,0),)),IF(AND(J51="4E2",J53=6),INDEX(T!$F134:$F152,MATCH(TRUE,INDEX(T!$F134:$F152&gt;=J29,0),)),IF(AND(J51="4E2",J53=7),INDEX(T!$G134:$G152,MATCH(TRUE,INDEX(T!$G134:$G152&gt;=J29,0),)),IF(AND(J51="4E2",J53=8),INDEX(T!$H134:$H152,MATCH(TRUE,INDEX(T!$H134:$H152&gt;=J29,0),)),IF(AND(J51="4E2",J53=9),INDEX(T!$I134:$I152,MATCH(TRUE,INDEX(T!$I134:$I152&gt;=J29,0),)),IF(AND(J51="4E3",J53=2),INDEX(T!$B158:$B170,MATCH(TRUE,INDEX(T!$B158:$B170&gt;=J29,0),)),IF(AND(J51="4E3",J53=3),INDEX(T!$C$158:$C170,MATCH(TRUE,INDEX(T!$C$158:$C170&gt;=J29,0),)),IF(AND(J51="4E3",J53=4),INDEX(T!$D158:$D170,MATCH(TRUE,INDEX(T!$D158:$D170&gt;=J29,0),)),IF(AND(J51="4E3",J53=5),INDEX(T!$E158:$E170,MATCH(TRUE,INDEX(T!$E158:$E170&gt;=J29,0),)),IF(AND(J51="4E3",J53=6),INDEX(T!$F158:$F170,MATCH(TRUE,INDEX(T!$F158:$F170&gt;=J29,0),)),IF(AND(J51="4E3",J53=7),INDEX(T!$G158:$G170,MATCH(TRUE,INDEX(T!$G158:$G170&gt;=J29,0),)),IF(AND(J51="4E3",J53=8),INDEX(T!$H158:$H170,MATCH(TRUE,INDEX(T!$H158:$H170&gt;=J29,0),)),IF(AND(J51="4E3",J53=9),INDEX(T!$I158:$I170,MATCH(TRUE,INDEX(T!$I56:$I68&gt;=J29,0),)),IF(AND(J51="4E3",J53=10),INDEX(T!$J158:$J170,MATCH(TRUE,INDEX(T!$J158:$J170&gt;=J29,0),)),IF(AND(J51="4E3",J53=11),INDEX(T!$K158:$K170,MATCH(TRUE,INDEX(T!$K158:$K170&gt;=J29,0),)),IF(AND(J51="4E3",J53=12),INDEX(T!$L$158:$L170,MATCH(TRUE,INDEX(T!$L$158:$L170&gt;=J29,0),)),IF(AND(J51="4E4",J53=2),INDEX(T!$B176:$B192,MATCH(TRUE,INDEX(T!$B176:$B192&gt;=J29,0),)),IF(AND(J51="4E4",J53=3),INDEX(T!$C176:$C192,MATCH(TRUE,INDEX(T!$C176:$C192&gt;=J29,0),)),IF(AND(J51="4E4",J53=4),INDEX(T!$D176:$D192,MATCH(TRUE,INDEX(T!$D176:$D192&gt;=J29,0),)),IF(AND(J51="4E4",J53=5),INDEX(T!$E176:$E192,MATCH(TRUE,INDEX(T!$E176:$E192&gt;=J29,0),)),IF(AND(J51="4E4",J53=6),INDEX(T!$F176:$F191,MATCH(TRUE,INDEX(T!$F176:$F191&gt;=J29,0),)),IF(AND(J51="4E4",J53=7),INDEX(T!$G176:$G191,MATCH(TRUE,INDEX(T!$G176:$G191&gt;=J29,0),)),"-")))))))))))))))))))))))))))))))))))),IF(OR(J51="4F1",J51="4F2",J51="4F3"),IF(J29="","",IF(AND(J51="4F1",J53=2),INDEX(T!$B198:$B202,MATCH(TRUE,INDEX(T!$B198:$B202&gt;=J29,0),)),IF(AND(J51="4F1",J53=3),INDEX(T!$C$198:$C211,MATCH(TRUE,INDEX(T!$C$198:$C211&gt;=J29,0),)),IF(AND(J51="4F1",J53=4),INDEX(T!$D203:$D214,MATCH(TRUE,INDEX(T!$D203:$D214&gt;=J29,0),)),IF(AND(J51="4F2",J53=2),INDEX(T!$B220:$B224,MATCH(TRUE,INDEX(T!$B220:$B224&gt;=J29,0),)),IF(AND(J51="4F2",J53=3),INDEX(T!$C$220:$C233,MATCH(TRUE,INDEX(T!$C$220:$C233&gt;=J29,0),)),IF(AND(J51="4F2",J53=4),INDEX(T!$D225:$D236,MATCH(TRUE,INDEX(T!$D225:$D236&gt;=J29,0),)),IF(AND(J51="4F3",J53=2),INDEX(T!$B242:$B248,MATCH(TRUE,INDEX(T!$B242:$B248&gt;=J29,0),)),IF(AND(J51="4F3",J53=3),INDEX(T!$C$242:$C248,MATCH(TRUE,INDEX(T!$C$242:$C248&gt;=J29,0),)),"-"))))))))),""))))</f>
        <v>36</v>
      </c>
      <c r="K75" s="129" cm="1">
        <f t="array" ref="K75">IF(K29="","",IF(OR(K51="4D1",K51="4D2",K51="4D3",K51="4D4",K51="4D5"),IF(AND(K51="4D1",K53=2),INDEX(T!$B6:$B22,MATCH(TRUE,INDEX(T!$B6:$B22&gt;=K29,0),)),IF(AND(K51="4D1",K53=3),INDEX(T!$C$6:$C22,MATCH(TRUE,INDEX(T!$C$6:$C22&gt;=K29,0),)),IF(AND(K51="4D1",K53=4),INDEX(T!$D6:$D25,MATCH(TRUE,INDEX(T!$D6:$D25&gt;=K29,0),)),IF(AND(K51="4D1",K53=5),INDEX(T!$E6:$E25,MATCH(TRUE,INDEX(T!$E6:$E25&gt;=K29,0),)),IF(AND(K51="4D1",K53=6),INDEX(T!$F6:$F27,MATCH(TRUE,INDEX(T!$F6:$F27&gt;=K29,0),)),IF(AND(K51="4D1",K53=7),INDEX(T!$G6:$G27,MATCH(TRUE,INDEX(T!$G6:$G27&gt;=K29,0),)),IF(AND(K51="4D1",K53=8),INDEX(T!$H13:$H27,MATCH(TRUE,INDEX(T!$H13:$H27&gt;=K29,0),)),IF(AND(K51="4D1",K53=9),INDEX(T!$I13:$I27,MATCH(TRUE,INDEX(T!$I13:$I27&gt;=K29,0),)),IF(AND(K51="4D1",K53=10),INDEX(T!$J13:$J27,MATCH(TRUE,INDEX(T!$J13:$J27&gt;=K29,0),)),IF(AND(K51="4D1",K53=11),INDEX(T!$K13:$K27,MATCH(TRUE,INDEX(T!$K13:$K27&gt;=K29,0),)),IF(AND(K51="4D1",K53=12),INDEX(T!$L$13:$L27,MATCH(TRUE,INDEX(T!$L$13:$L27&gt;=K29,0),)),IF(AND(K51="4D2",K53=2),INDEX(T!$B33:$B49,MATCH(TRUE,INDEX(T!$B33:$B49&gt;=K29,0),)),IF(AND(K51="4D2",K53=3),INDEX(T!$C$33:$C49,MATCH(TRUE,INDEX(T!$C$33:$C49&gt;=K29,0),)),IF(AND(K51="4D2",K53=4),INDEX(T!$D33:$D50,MATCH(TRUE,INDEX(T!$D33:$D50&gt;=K29,0),)),IF(AND(K51="4D2",K53=5),INDEX(T!$E33:$E50,MATCH(TRUE,INDEX(T!$E33:$E50&gt;=K29,0),)),IF(AND(K51="4D2",K53=6),INDEX(T!$F33:$F50,MATCH(TRUE,INDEX(T!$F33:$F50&gt;=K29,0),)),IF(AND(K51="4D2",K53=7),INDEX(T!$G33:$G50,MATCH(TRUE,INDEX(T!$G33:$G50&gt;=K29,0),)),IF(AND(K51="4D2",K53=8),INDEX(T!$H33:$H50,MATCH(TRUE,INDEX(T!$H33:$H50&gt;=K29,0),)),IF(AND(K51="4D2",K53=9),INDEX(T!$I33:$I50,MATCH(TRUE,INDEX(T!$I33:$I50&gt;=K29,0),)),IF(AND(K51="4D3",K53=2),INDEX(T!$B56:$B68,MATCH(TRUE,INDEX(T!$B56:$B68&gt;=K29,0),)),IF(AND(K51="4D3",K53=3),INDEX(T!$C$56:$C68,MATCH(TRUE,INDEX(T!$C$56:$C68&gt;=K29,0),)),IF(AND(K51="4D3",K53=4),INDEX(T!$D56:$D68,MATCH(TRUE,INDEX(T!$D56:$D68&gt;=K29,0),)),IF(AND(K51="4D3",K53=5),INDEX(T!$E56:$E68,MATCH(TRUE,INDEX(T!$E56:$E68&gt;=K29,0),)),IF(AND(K51="4D3",K53=6),INDEX(T!$F56:$F68,MATCH(TRUE,INDEX(T!$F56:$F68&gt;=K29,0),)),IF(AND(K51="4D3",K53=7),INDEX(T!$G56:$G68,MATCH(TRUE,INDEX(T!$G56:$G68&gt;=K29,0),)),IF(AND(K51="4D3",K53=8),INDEX(T!$H56:$H68,MATCH(TRUE,INDEX(T!$H56:$H68&gt;=K29,0),)),IF(AND(K51="4D3",K53=9),INDEX(T!$I56:$I68,MATCH(TRUE,INDEX(T!$I56:$I68&gt;=K29,0),)),IF(AND(K51="4D3",K53=10),INDEX(T!$J56:$J68,MATCH(TRUE,INDEX(T!$J56:$J68&gt;=K29,0),)),IF(AND(K51="4D3",K53=11),INDEX(T!$K56:$K68,MATCH(TRUE,INDEX(T!$K56:$K68&gt;=K29,0),)),IF(AND(K51="4D3",K53=12),INDEX(T!$L$56:$L68,MATCH(TRUE,INDEX(T!$L$56:$L68&gt;=K29,0),)),IF(AND(K51="4D4",K53=2),INDEX(T!$B74:$B90,MATCH(TRUE,INDEX(T!$B74:$B90&gt;=K29,0),)),IF(AND(K51="4D4",K53=3),INDEX(T!$C$74:$C90,MATCH(TRUE,INDEX(T!$C$74:$C90&gt;=K29,0),)),IF(AND(K51="4D4",K53=4),INDEX(T!$D74:$D90,MATCH(TRUE,INDEX(T!$D74:$D90&gt;=K29,0),)),IF(AND(K51="4D4",K53=5),INDEX(T!$E74:$E90,MATCH(TRUE,INDEX(T!$E74:$E90&gt;=K29,0),)),IF(AND(K51="4D4",K53=6),INDEX(T!$F74:$F89,MATCH(TRUE,INDEX(T!$F74:$F89&gt;=K29,0),)),IF(AND(K51="4D4",K53=7),INDEX(T!$G74:$G89,MATCH(TRUE,INDEX(T!$G74:$G89&gt;=K29,0),)),IF(AND(K51="4D5",K53=2),INDEX(T!$B96:$B102,MATCH(TRUE,INDEX(T!$B96:$B102&gt;=K29,0),)),IF(AND(K51="4D5",K53=3),INDEX(T!$C$96:$C102,MATCH(TRUE,INDEX(T!$C$96:$C102&gt;=K29,0),)),IF(AND(K51="4D5",K53=4),INDEX(T!$D96:$D102,MATCH(TRUE,INDEX(T!$D96:$D102&gt;=K29,0),)),IF(AND(K51="4D5",K53=5),INDEX(T!$E96:$E102,MATCH(TRUE,INDEX(T!$E96:$E102&gt;=K29,0),)),IF(AND(K51="4D5",K53=6),INDEX(T!$F96:$F102,MATCH(TRUE,INDEX(T!$F96:$F102&gt;=K29,0),)),IF(AND(K51="4D5",K53=7),INDEX(T!$G96:$G102,MATCH(TRUE,INDEX(T!$G96:$G102&gt;=K29,0),)))))))))))))))))))))))))))))))))))))))))))),IF(OR(K51="4E1",K51="4E2",K51="4E3",K51="4E4"),IF(AND(K51="4E1",K53=2),INDEX(T!$B108:$B124,MATCH(TRUE,INDEX(T!$B108:$B124&gt;=K29,0),)),IF(AND(K51="4E1",K53=3),INDEX(T!$C$108:$C124,MATCH(TRUE,INDEX(T!$C$108:$C124&gt;=K29,0),)),IF(AND(K51="4E1",K53=4),INDEX(T!$D108:$D127,MATCH(TRUE,INDEX(T!$D108:$D127&gt;=K29,0),)),IF(AND(K51="4E1",K53=5),INDEX(T!$E108:$E127,MATCH(TRUE,INDEX(T!$E108:$E127&gt;=K29,0),)),IF(AND(K51="4E1",K53=6),INDEX(T!$F108:$F129,MATCH(TRUE,INDEX(T!$F108:$F129&gt;=K29,0),)),IF(AND(K51="4E1",K53=7),INDEX(T!$G108:$G129,MATCH(TRUE,INDEX(T!$G108:$G129&gt;=K29,0),)),IF(AND(K51="4E1",K53=8),INDEX(T!$H115:$H129,MATCH(TRUE,INDEX(T!$H115:$H129&gt;=K29,0),)),IF(AND(K51="4E1",K53=9),INDEX(T!$I115:$I129,MATCH(TRUE,INDEX(T!$I115:$I129&gt;=K29,0),)),IF(AND(K51="4E1",K53=10),INDEX(T!$J115:$J129,MATCH(TRUE,INDEX(T!$J115:$J129&gt;=K29,0),)),IF(AND(K51="4E1",K53=11),INDEX(T!$K115:$K129,MATCH(TRUE,INDEX(T!$K115:$K129&gt;=K29,0),)),IF(AND(K51="4E1",K53=12),INDEX(T!$L$115:$L129,MATCH(TRUE,INDEX(T!$L$115:$L129&gt;=K29,0),)),IF(AND(K51="4E2",K53=2),INDEX(T!$B134:$B151,MATCH(TRUE,INDEX(T!$B134:$B151&gt;=K29,0),)),IF(AND(K51="4E2",K53=3),INDEX(T!$C$134:$C151,MATCH(TRUE,INDEX(T!$C$134:$C151&gt;=K29,0),)),IF(AND(K51="4E2",K53=4),INDEX(T!$D134:$D152,MATCH(TRUE,INDEX(T!$D134:$D152&gt;=K29,0),)),IF(AND(K51="4E2",K53=5),INDEX(T!$E134:$E152,MATCH(TRUE,INDEX(T!$E134:$E152&gt;=K29,0),)),IF(AND(K51="4E2",K53=6),INDEX(T!$F134:$F152,MATCH(TRUE,INDEX(T!$F134:$F152&gt;=K29,0),)),IF(AND(K51="4E2",K53=7),INDEX(T!$G134:$G152,MATCH(TRUE,INDEX(T!$G134:$G152&gt;=K29,0),)),IF(AND(K51="4E2",K53=8),INDEX(T!$H134:$H152,MATCH(TRUE,INDEX(T!$H134:$H152&gt;=K29,0),)),IF(AND(K51="4E2",K53=9),INDEX(T!$I134:$I152,MATCH(TRUE,INDEX(T!$I134:$I152&gt;=K29,0),)),IF(AND(K51="4E3",K53=2),INDEX(T!$B158:$B170,MATCH(TRUE,INDEX(T!$B158:$B170&gt;=K29,0),)),IF(AND(K51="4E3",K53=3),INDEX(T!$C$158:$C170,MATCH(TRUE,INDEX(T!$C$158:$C170&gt;=K29,0),)),IF(AND(K51="4E3",K53=4),INDEX(T!$D158:$D170,MATCH(TRUE,INDEX(T!$D158:$D170&gt;=K29,0),)),IF(AND(K51="4E3",K53=5),INDEX(T!$E158:$E170,MATCH(TRUE,INDEX(T!$E158:$E170&gt;=K29,0),)),IF(AND(K51="4E3",K53=6),INDEX(T!$F158:$F170,MATCH(TRUE,INDEX(T!$F158:$F170&gt;=K29,0),)),IF(AND(K51="4E3",K53=7),INDEX(T!$G158:$G170,MATCH(TRUE,INDEX(T!$G158:$G170&gt;=K29,0),)),IF(AND(K51="4E3",K53=8),INDEX(T!$H158:$H170,MATCH(TRUE,INDEX(T!$H158:$H170&gt;=K29,0),)),IF(AND(K51="4E3",K53=9),INDEX(T!$I158:$I170,MATCH(TRUE,INDEX(T!$I56:$I68&gt;=K29,0),)),IF(AND(K51="4E3",K53=10),INDEX(T!$J158:$J170,MATCH(TRUE,INDEX(T!$J158:$J170&gt;=K29,0),)),IF(AND(K51="4E3",K53=11),INDEX(T!$K158:$K170,MATCH(TRUE,INDEX(T!$K158:$K170&gt;=K29,0),)),IF(AND(K51="4E3",K53=12),INDEX(T!$L$158:$L170,MATCH(TRUE,INDEX(T!$L$158:$L170&gt;=K29,0),)),IF(AND(K51="4E4",K53=2),INDEX(T!$B176:$B192,MATCH(TRUE,INDEX(T!$B176:$B192&gt;=K29,0),)),IF(AND(K51="4E4",K53=3),INDEX(T!$C176:$C192,MATCH(TRUE,INDEX(T!$C176:$C192&gt;=K29,0),)),IF(AND(K51="4E4",K53=4),INDEX(T!$D176:$D192,MATCH(TRUE,INDEX(T!$D176:$D192&gt;=K29,0),)),IF(AND(K51="4E4",K53=5),INDEX(T!$E176:$E192,MATCH(TRUE,INDEX(T!$E176:$E192&gt;=K29,0),)),IF(AND(K51="4E4",K53=6),INDEX(T!$F176:$F191,MATCH(TRUE,INDEX(T!$F176:$F191&gt;=K29,0),)),IF(AND(K51="4E4",K53=7),INDEX(T!$G176:$G191,MATCH(TRUE,INDEX(T!$G176:$G191&gt;=K29,0),)),"-")))))))))))))))))))))))))))))))))))),IF(OR(K51="4F1",K51="4F2",K51="4F3"),IF(K29="","",IF(AND(K51="4F1",K53=2),INDEX(T!$B198:$B202,MATCH(TRUE,INDEX(T!$B198:$B202&gt;=K29,0),)),IF(AND(K51="4F1",K53=3),INDEX(T!$C$198:$C211,MATCH(TRUE,INDEX(T!$C$198:$C211&gt;=K29,0),)),IF(AND(K51="4F1",K53=4),INDEX(T!$D203:$D214,MATCH(TRUE,INDEX(T!$D203:$D214&gt;=K29,0),)),IF(AND(K51="4F2",K53=2),INDEX(T!$B220:$B224,MATCH(TRUE,INDEX(T!$B220:$B224&gt;=K29,0),)),IF(AND(K51="4F2",K53=3),INDEX(T!$C$220:$C233,MATCH(TRUE,INDEX(T!$C$220:$C233&gt;=K29,0),)),IF(AND(K51="4F2",K53=4),INDEX(T!$D225:$D236,MATCH(TRUE,INDEX(T!$D225:$D236&gt;=K29,0),)),IF(AND(K51="4F3",K53=2),INDEX(T!$B242:$B248,MATCH(TRUE,INDEX(T!$B242:$B248&gt;=K29,0),)),IF(AND(K51="4F3",K53=3),INDEX(T!$C$242:$C248,MATCH(TRUE,INDEX(T!$C$242:$C248&gt;=K29,0),)),"-"))))))))),""))))</f>
        <v>20</v>
      </c>
      <c r="L75" s="129" cm="1">
        <f t="array" ref="L75">IF(L29="","",IF(OR(L51="4D1",L51="4D2",L51="4D3",L51="4D4",L51="4D5"),IF(AND(L51="4D1",L53=2),INDEX(T!$B6:$B22,MATCH(TRUE,INDEX(T!$B6:$B22&gt;=L29,0),)),IF(AND(L51="4D1",L53=3),INDEX(T!$C$6:$C22,MATCH(TRUE,INDEX(T!$C$6:$C22&gt;=L29,0),)),IF(AND(L51="4D1",L53=4),INDEX(T!$D6:$D25,MATCH(TRUE,INDEX(T!$D6:$D25&gt;=L29,0),)),IF(AND(L51="4D1",L53=5),INDEX(T!$E6:$E25,MATCH(TRUE,INDEX(T!$E6:$E25&gt;=L29,0),)),IF(AND(L51="4D1",L53=6),INDEX(T!$F6:$F27,MATCH(TRUE,INDEX(T!$F6:$F27&gt;=L29,0),)),IF(AND(L51="4D1",L53=7),INDEX(T!$G6:$G27,MATCH(TRUE,INDEX(T!$G6:$G27&gt;=L29,0),)),IF(AND(L51="4D1",L53=8),INDEX(T!$H13:$H27,MATCH(TRUE,INDEX(T!$H13:$H27&gt;=L29,0),)),IF(AND(L51="4D1",L53=9),INDEX(T!$I13:$I27,MATCH(TRUE,INDEX(T!$I13:$I27&gt;=L29,0),)),IF(AND(L51="4D1",L53=10),INDEX(T!$J13:$J27,MATCH(TRUE,INDEX(T!$J13:$J27&gt;=L29,0),)),IF(AND(L51="4D1",L53=11),INDEX(T!$K13:$K27,MATCH(TRUE,INDEX(T!$K13:$K27&gt;=L29,0),)),IF(AND(L51="4D1",L53=12),INDEX(T!$L$13:$L27,MATCH(TRUE,INDEX(T!$L$13:$L27&gt;=L29,0),)),IF(AND(L51="4D2",L53=2),INDEX(T!$B33:$B49,MATCH(TRUE,INDEX(T!$B33:$B49&gt;=L29,0),)),IF(AND(L51="4D2",L53=3),INDEX(T!$C$33:$C49,MATCH(TRUE,INDEX(T!$C$33:$C49&gt;=L29,0),)),IF(AND(L51="4D2",L53=4),INDEX(T!$D33:$D50,MATCH(TRUE,INDEX(T!$D33:$D50&gt;=L29,0),)),IF(AND(L51="4D2",L53=5),INDEX(T!$E33:$E50,MATCH(TRUE,INDEX(T!$E33:$E50&gt;=L29,0),)),IF(AND(L51="4D2",L53=6),INDEX(T!$F33:$F50,MATCH(TRUE,INDEX(T!$F33:$F50&gt;=L29,0),)),IF(AND(L51="4D2",L53=7),INDEX(T!$G33:$G50,MATCH(TRUE,INDEX(T!$G33:$G50&gt;=L29,0),)),IF(AND(L51="4D2",L53=8),INDEX(T!$H33:$H50,MATCH(TRUE,INDEX(T!$H33:$H50&gt;=L29,0),)),IF(AND(L51="4D2",L53=9),INDEX(T!$I33:$I50,MATCH(TRUE,INDEX(T!$I33:$I50&gt;=L29,0),)),IF(AND(L51="4D3",L53=2),INDEX(T!$B56:$B68,MATCH(TRUE,INDEX(T!$B56:$B68&gt;=L29,0),)),IF(AND(L51="4D3",L53=3),INDEX(T!$C$56:$C68,MATCH(TRUE,INDEX(T!$C$56:$C68&gt;=L29,0),)),IF(AND(L51="4D3",L53=4),INDEX(T!$D56:$D68,MATCH(TRUE,INDEX(T!$D56:$D68&gt;=L29,0),)),IF(AND(L51="4D3",L53=5),INDEX(T!$E56:$E68,MATCH(TRUE,INDEX(T!$E56:$E68&gt;=L29,0),)),IF(AND(L51="4D3",L53=6),INDEX(T!$F56:$F68,MATCH(TRUE,INDEX(T!$F56:$F68&gt;=L29,0),)),IF(AND(L51="4D3",L53=7),INDEX(T!$G56:$G68,MATCH(TRUE,INDEX(T!$G56:$G68&gt;=L29,0),)),IF(AND(L51="4D3",L53=8),INDEX(T!$H56:$H68,MATCH(TRUE,INDEX(T!$H56:$H68&gt;=L29,0),)),IF(AND(L51="4D3",L53=9),INDEX(T!$I56:$I68,MATCH(TRUE,INDEX(T!$I56:$I68&gt;=L29,0),)),IF(AND(L51="4D3",L53=10),INDEX(T!$J56:$J68,MATCH(TRUE,INDEX(T!$J56:$J68&gt;=L29,0),)),IF(AND(L51="4D3",L53=11),INDEX(T!$K56:$K68,MATCH(TRUE,INDEX(T!$K56:$K68&gt;=L29,0),)),IF(AND(L51="4D3",L53=12),INDEX(T!$L$56:$L68,MATCH(TRUE,INDEX(T!$L$56:$L68&gt;=L29,0),)),IF(AND(L51="4D4",L53=2),INDEX(T!$B74:$B90,MATCH(TRUE,INDEX(T!$B74:$B90&gt;=L29,0),)),IF(AND(L51="4D4",L53=3),INDEX(T!$C$74:$C90,MATCH(TRUE,INDEX(T!$C$74:$C90&gt;=L29,0),)),IF(AND(L51="4D4",L53=4),INDEX(T!$D74:$D90,MATCH(TRUE,INDEX(T!$D74:$D90&gt;=L29,0),)),IF(AND(L51="4D4",L53=5),INDEX(T!$E74:$E90,MATCH(TRUE,INDEX(T!$E74:$E90&gt;=L29,0),)),IF(AND(L51="4D4",L53=6),INDEX(T!$F74:$F89,MATCH(TRUE,INDEX(T!$F74:$F89&gt;=L29,0),)),IF(AND(L51="4D4",L53=7),INDEX(T!$G74:$G89,MATCH(TRUE,INDEX(T!$G74:$G89&gt;=L29,0),)),IF(AND(L51="4D5",L53=2),INDEX(T!$B96:$B102,MATCH(TRUE,INDEX(T!$B96:$B102&gt;=L29,0),)),IF(AND(L51="4D5",L53=3),INDEX(T!$C$96:$C102,MATCH(TRUE,INDEX(T!$C$96:$C102&gt;=L29,0),)),IF(AND(L51="4D5",L53=4),INDEX(T!$D96:$D102,MATCH(TRUE,INDEX(T!$D96:$D102&gt;=L29,0),)),IF(AND(L51="4D5",L53=5),INDEX(T!$E96:$E102,MATCH(TRUE,INDEX(T!$E96:$E102&gt;=L29,0),)),IF(AND(L51="4D5",L53=6),INDEX(T!$F96:$F102,MATCH(TRUE,INDEX(T!$F96:$F102&gt;=L29,0),)),IF(AND(L51="4D5",L53=7),INDEX(T!$G96:$G102,MATCH(TRUE,INDEX(T!$G96:$G102&gt;=L29,0),)))))))))))))))))))))))))))))))))))))))))))),IF(OR(L51="4E1",L51="4E2",L51="4E3",L51="4E4"),IF(AND(L51="4E1",L53=2),INDEX(T!$B108:$B124,MATCH(TRUE,INDEX(T!$B108:$B124&gt;=L29,0),)),IF(AND(L51="4E1",L53=3),INDEX(T!$C$108:$C124,MATCH(TRUE,INDEX(T!$C$108:$C124&gt;=L29,0),)),IF(AND(L51="4E1",L53=4),INDEX(T!$D108:$D127,MATCH(TRUE,INDEX(T!$D108:$D127&gt;=L29,0),)),IF(AND(L51="4E1",L53=5),INDEX(T!$E108:$E127,MATCH(TRUE,INDEX(T!$E108:$E127&gt;=L29,0),)),IF(AND(L51="4E1",L53=6),INDEX(T!$F108:$F129,MATCH(TRUE,INDEX(T!$F108:$F129&gt;=L29,0),)),IF(AND(L51="4E1",L53=7),INDEX(T!$G108:$G129,MATCH(TRUE,INDEX(T!$G108:$G129&gt;=L29,0),)),IF(AND(L51="4E1",L53=8),INDEX(T!$H115:$H129,MATCH(TRUE,INDEX(T!$H115:$H129&gt;=L29,0),)),IF(AND(L51="4E1",L53=9),INDEX(T!$I115:$I129,MATCH(TRUE,INDEX(T!$I115:$I129&gt;=L29,0),)),IF(AND(L51="4E1",L53=10),INDEX(T!$J115:$J129,MATCH(TRUE,INDEX(T!$J115:$J129&gt;=L29,0),)),IF(AND(L51="4E1",L53=11),INDEX(T!$K115:$K129,MATCH(TRUE,INDEX(T!$K115:$K129&gt;=L29,0),)),IF(AND(L51="4E1",L53=12),INDEX(T!$L$115:$L129,MATCH(TRUE,INDEX(T!$L$115:$L129&gt;=L29,0),)),IF(AND(L51="4E2",L53=2),INDEX(T!$B134:$B151,MATCH(TRUE,INDEX(T!$B134:$B151&gt;=L29,0),)),IF(AND(L51="4E2",L53=3),INDEX(T!$C$134:$C151,MATCH(TRUE,INDEX(T!$C$134:$C151&gt;=L29,0),)),IF(AND(L51="4E2",L53=4),INDEX(T!$D134:$D152,MATCH(TRUE,INDEX(T!$D134:$D152&gt;=L29,0),)),IF(AND(L51="4E2",L53=5),INDEX(T!$E134:$E152,MATCH(TRUE,INDEX(T!$E134:$E152&gt;=L29,0),)),IF(AND(L51="4E2",L53=6),INDEX(T!$F134:$F152,MATCH(TRUE,INDEX(T!$F134:$F152&gt;=L29,0),)),IF(AND(L51="4E2",L53=7),INDEX(T!$G134:$G152,MATCH(TRUE,INDEX(T!$G134:$G152&gt;=L29,0),)),IF(AND(L51="4E2",L53=8),INDEX(T!$H134:$H152,MATCH(TRUE,INDEX(T!$H134:$H152&gt;=L29,0),)),IF(AND(L51="4E2",L53=9),INDEX(T!$I134:$I152,MATCH(TRUE,INDEX(T!$I134:$I152&gt;=L29,0),)),IF(AND(L51="4E3",L53=2),INDEX(T!$B158:$B170,MATCH(TRUE,INDEX(T!$B158:$B170&gt;=L29,0),)),IF(AND(L51="4E3",L53=3),INDEX(T!$C$158:$C170,MATCH(TRUE,INDEX(T!$C$158:$C170&gt;=L29,0),)),IF(AND(L51="4E3",L53=4),INDEX(T!$D158:$D170,MATCH(TRUE,INDEX(T!$D158:$D170&gt;=L29,0),)),IF(AND(L51="4E3",L53=5),INDEX(T!$E158:$E170,MATCH(TRUE,INDEX(T!$E158:$E170&gt;=L29,0),)),IF(AND(L51="4E3",L53=6),INDEX(T!$F158:$F170,MATCH(TRUE,INDEX(T!$F158:$F170&gt;=L29,0),)),IF(AND(L51="4E3",L53=7),INDEX(T!$G158:$G170,MATCH(TRUE,INDEX(T!$G158:$G170&gt;=L29,0),)),IF(AND(L51="4E3",L53=8),INDEX(T!$H158:$H170,MATCH(TRUE,INDEX(T!$H158:$H170&gt;=L29,0),)),IF(AND(L51="4E3",L53=9),INDEX(T!$I158:$I170,MATCH(TRUE,INDEX(T!$I56:$I68&gt;=L29,0),)),IF(AND(L51="4E3",L53=10),INDEX(T!$J158:$J170,MATCH(TRUE,INDEX(T!$J158:$J170&gt;=L29,0),)),IF(AND(L51="4E3",L53=11),INDEX(T!$K158:$K170,MATCH(TRUE,INDEX(T!$K158:$K170&gt;=L29,0),)),IF(AND(L51="4E3",L53=12),INDEX(T!$L$158:$L170,MATCH(TRUE,INDEX(T!$L$158:$L170&gt;=L29,0),)),IF(AND(L51="4E4",L53=2),INDEX(T!$B176:$B192,MATCH(TRUE,INDEX(T!$B176:$B192&gt;=L29,0),)),IF(AND(L51="4E4",L53=3),INDEX(T!$C176:$C192,MATCH(TRUE,INDEX(T!$C176:$C192&gt;=L29,0),)),IF(AND(L51="4E4",L53=4),INDEX(T!$D176:$D192,MATCH(TRUE,INDEX(T!$D176:$D192&gt;=L29,0),)),IF(AND(L51="4E4",L53=5),INDEX(T!$E176:$E192,MATCH(TRUE,INDEX(T!$E176:$E192&gt;=L29,0),)),IF(AND(L51="4E4",L53=6),INDEX(T!$F176:$F191,MATCH(TRUE,INDEX(T!$F176:$F191&gt;=L29,0),)),IF(AND(L51="4E4",L53=7),INDEX(T!$G176:$G191,MATCH(TRUE,INDEX(T!$G176:$G191&gt;=L29,0),)),"-")))))))))))))))))))))))))))))))))))),IF(OR(L51="4F1",L51="4F2",L51="4F3"),IF(L29="","",IF(AND(L51="4F1",L53=2),INDEX(T!$B198:$B202,MATCH(TRUE,INDEX(T!$B198:$B202&gt;=L29,0),)),IF(AND(L51="4F1",L53=3),INDEX(T!$C$198:$C211,MATCH(TRUE,INDEX(T!$C$198:$C211&gt;=L29,0),)),IF(AND(L51="4F1",L53=4),INDEX(T!$D203:$D214,MATCH(TRUE,INDEX(T!$D203:$D214&gt;=L29,0),)),IF(AND(L51="4F2",L53=2),INDEX(T!$B220:$B224,MATCH(TRUE,INDEX(T!$B220:$B224&gt;=L29,0),)),IF(AND(L51="4F2",L53=3),INDEX(T!$C$220:$C233,MATCH(TRUE,INDEX(T!$C$220:$C233&gt;=L29,0),)),IF(AND(L51="4F2",L53=4),INDEX(T!$D225:$D236,MATCH(TRUE,INDEX(T!$D225:$D236&gt;=L29,0),)),IF(AND(L51="4F3",L53=2),INDEX(T!$B242:$B248,MATCH(TRUE,INDEX(T!$B242:$B248&gt;=L29,0),)),IF(AND(L51="4F3",L53=3),INDEX(T!$C$242:$C248,MATCH(TRUE,INDEX(T!$C$242:$C248&gt;=L29,0),)),"-"))))))))),""))))</f>
        <v>20</v>
      </c>
      <c r="M75" s="129" t="str" cm="1">
        <f t="array" ref="M75">IF(M29="","",IF(OR(M51="4D1",M51="4D2",M51="4D3",M51="4D4",M51="4D5"),IF(AND(M51="4D1",M53=2),INDEX(T!$B6:$B22,MATCH(TRUE,INDEX(T!$B6:$B22&gt;=M29,0),)),IF(AND(M51="4D1",M53=3),INDEX(T!$C$6:$C22,MATCH(TRUE,INDEX(T!$C$6:$C22&gt;=M29,0),)),IF(AND(M51="4D1",M53=4),INDEX(T!$D6:$D25,MATCH(TRUE,INDEX(T!$D6:$D25&gt;=M29,0),)),IF(AND(M51="4D1",M53=5),INDEX(T!$E6:$E25,MATCH(TRUE,INDEX(T!$E6:$E25&gt;=M29,0),)),IF(AND(M51="4D1",M53=6),INDEX(T!$F6:$F27,MATCH(TRUE,INDEX(T!$F6:$F27&gt;=M29,0),)),IF(AND(M51="4D1",M53=7),INDEX(T!$G6:$G27,MATCH(TRUE,INDEX(T!$G6:$G27&gt;=M29,0),)),IF(AND(M51="4D1",M53=8),INDEX(T!$H13:$H27,MATCH(TRUE,INDEX(T!$H13:$H27&gt;=M29,0),)),IF(AND(M51="4D1",M53=9),INDEX(T!$I13:$I27,MATCH(TRUE,INDEX(T!$I13:$I27&gt;=M29,0),)),IF(AND(M51="4D1",M53=10),INDEX(T!$J13:$J27,MATCH(TRUE,INDEX(T!$J13:$J27&gt;=M29,0),)),IF(AND(M51="4D1",M53=11),INDEX(T!$K13:$K27,MATCH(TRUE,INDEX(T!$K13:$K27&gt;=M29,0),)),IF(AND(M51="4D1",M53=12),INDEX(T!$L$13:$L27,MATCH(TRUE,INDEX(T!$L$13:$L27&gt;=M29,0),)),IF(AND(M51="4D2",M53=2),INDEX(T!$B33:$B49,MATCH(TRUE,INDEX(T!$B33:$B49&gt;=M29,0),)),IF(AND(M51="4D2",M53=3),INDEX(T!$C$33:$C49,MATCH(TRUE,INDEX(T!$C$33:$C49&gt;=M29,0),)),IF(AND(M51="4D2",M53=4),INDEX(T!$D33:$D50,MATCH(TRUE,INDEX(T!$D33:$D50&gt;=M29,0),)),IF(AND(M51="4D2",M53=5),INDEX(T!$E33:$E50,MATCH(TRUE,INDEX(T!$E33:$E50&gt;=M29,0),)),IF(AND(M51="4D2",M53=6),INDEX(T!$F33:$F50,MATCH(TRUE,INDEX(T!$F33:$F50&gt;=M29,0),)),IF(AND(M51="4D2",M53=7),INDEX(T!$G33:$G50,MATCH(TRUE,INDEX(T!$G33:$G50&gt;=M29,0),)),IF(AND(M51="4D2",M53=8),INDEX(T!$H33:$H50,MATCH(TRUE,INDEX(T!$H33:$H50&gt;=M29,0),)),IF(AND(M51="4D2",M53=9),INDEX(T!$I33:$I50,MATCH(TRUE,INDEX(T!$I33:$I50&gt;=M29,0),)),IF(AND(M51="4D3",M53=2),INDEX(T!$B56:$B68,MATCH(TRUE,INDEX(T!$B56:$B68&gt;=M29,0),)),IF(AND(M51="4D3",M53=3),INDEX(T!$C$56:$C68,MATCH(TRUE,INDEX(T!$C$56:$C68&gt;=M29,0),)),IF(AND(M51="4D3",M53=4),INDEX(T!$D56:$D68,MATCH(TRUE,INDEX(T!$D56:$D68&gt;=M29,0),)),IF(AND(M51="4D3",M53=5),INDEX(T!$E56:$E68,MATCH(TRUE,INDEX(T!$E56:$E68&gt;=M29,0),)),IF(AND(M51="4D3",M53=6),INDEX(T!$F56:$F68,MATCH(TRUE,INDEX(T!$F56:$F68&gt;=M29,0),)),IF(AND(M51="4D3",M53=7),INDEX(T!$G56:$G68,MATCH(TRUE,INDEX(T!$G56:$G68&gt;=M29,0),)),IF(AND(M51="4D3",M53=8),INDEX(T!$H56:$H68,MATCH(TRUE,INDEX(T!$H56:$H68&gt;=M29,0),)),IF(AND(M51="4D3",M53=9),INDEX(T!$I56:$I68,MATCH(TRUE,INDEX(T!$I56:$I68&gt;=M29,0),)),IF(AND(M51="4D3",M53=10),INDEX(T!$J56:$J68,MATCH(TRUE,INDEX(T!$J56:$J68&gt;=M29,0),)),IF(AND(M51="4D3",M53=11),INDEX(T!$K56:$K68,MATCH(TRUE,INDEX(T!$K56:$K68&gt;=M29,0),)),IF(AND(M51="4D3",M53=12),INDEX(T!$L$56:$L68,MATCH(TRUE,INDEX(T!$L$56:$L68&gt;=M29,0),)),IF(AND(M51="4D4",M53=2),INDEX(T!$B74:$B90,MATCH(TRUE,INDEX(T!$B74:$B90&gt;=M29,0),)),IF(AND(M51="4D4",M53=3),INDEX(T!$C$74:$C90,MATCH(TRUE,INDEX(T!$C$74:$C90&gt;=M29,0),)),IF(AND(M51="4D4",M53=4),INDEX(T!$D74:$D90,MATCH(TRUE,INDEX(T!$D74:$D90&gt;=M29,0),)),IF(AND(M51="4D4",M53=5),INDEX(T!$E74:$E90,MATCH(TRUE,INDEX(T!$E74:$E90&gt;=M29,0),)),IF(AND(M51="4D4",M53=6),INDEX(T!$F74:$F89,MATCH(TRUE,INDEX(T!$F74:$F89&gt;=M29,0),)),IF(AND(M51="4D4",M53=7),INDEX(T!$G74:$G89,MATCH(TRUE,INDEX(T!$G74:$G89&gt;=M29,0),)),IF(AND(M51="4D5",M53=2),INDEX(T!$B96:$B102,MATCH(TRUE,INDEX(T!$B96:$B102&gt;=M29,0),)),IF(AND(M51="4D5",M53=3),INDEX(T!$C$96:$C102,MATCH(TRUE,INDEX(T!$C$96:$C102&gt;=M29,0),)),IF(AND(M51="4D5",M53=4),INDEX(T!$D96:$D102,MATCH(TRUE,INDEX(T!$D96:$D102&gt;=M29,0),)),IF(AND(M51="4D5",M53=5),INDEX(T!$E96:$E102,MATCH(TRUE,INDEX(T!$E96:$E102&gt;=M29,0),)),IF(AND(M51="4D5",M53=6),INDEX(T!$F96:$F102,MATCH(TRUE,INDEX(T!$F96:$F102&gt;=M29,0),)),IF(AND(M51="4D5",M53=7),INDEX(T!$G96:$G102,MATCH(TRUE,INDEX(T!$G96:$G102&gt;=M29,0),)))))))))))))))))))))))))))))))))))))))))))),IF(OR(M51="4E1",M51="4E2",M51="4E3",M51="4E4"),IF(AND(M51="4E1",M53=2),INDEX(T!$B108:$B124,MATCH(TRUE,INDEX(T!$B108:$B124&gt;=M29,0),)),IF(AND(M51="4E1",M53=3),INDEX(T!$C$108:$C124,MATCH(TRUE,INDEX(T!$C$108:$C124&gt;=M29,0),)),IF(AND(M51="4E1",M53=4),INDEX(T!$D108:$D127,MATCH(TRUE,INDEX(T!$D108:$D127&gt;=M29,0),)),IF(AND(M51="4E1",M53=5),INDEX(T!$E108:$E127,MATCH(TRUE,INDEX(T!$E108:$E127&gt;=M29,0),)),IF(AND(M51="4E1",M53=6),INDEX(T!$F108:$F129,MATCH(TRUE,INDEX(T!$F108:$F129&gt;=M29,0),)),IF(AND(M51="4E1",M53=7),INDEX(T!$G108:$G129,MATCH(TRUE,INDEX(T!$G108:$G129&gt;=M29,0),)),IF(AND(M51="4E1",M53=8),INDEX(T!$H115:$H129,MATCH(TRUE,INDEX(T!$H115:$H129&gt;=M29,0),)),IF(AND(M51="4E1",M53=9),INDEX(T!$I115:$I129,MATCH(TRUE,INDEX(T!$I115:$I129&gt;=M29,0),)),IF(AND(M51="4E1",M53=10),INDEX(T!$J115:$J129,MATCH(TRUE,INDEX(T!$J115:$J129&gt;=M29,0),)),IF(AND(M51="4E1",M53=11),INDEX(T!$K115:$K129,MATCH(TRUE,INDEX(T!$K115:$K129&gt;=M29,0),)),IF(AND(M51="4E1",M53=12),INDEX(T!$L$115:$L129,MATCH(TRUE,INDEX(T!$L$115:$L129&gt;=M29,0),)),IF(AND(M51="4E2",M53=2),INDEX(T!$B134:$B151,MATCH(TRUE,INDEX(T!$B134:$B151&gt;=M29,0),)),IF(AND(M51="4E2",M53=3),INDEX(T!$C$134:$C151,MATCH(TRUE,INDEX(T!$C$134:$C151&gt;=M29,0),)),IF(AND(M51="4E2",M53=4),INDEX(T!$D134:$D152,MATCH(TRUE,INDEX(T!$D134:$D152&gt;=M29,0),)),IF(AND(M51="4E2",M53=5),INDEX(T!$E134:$E152,MATCH(TRUE,INDEX(T!$E134:$E152&gt;=M29,0),)),IF(AND(M51="4E2",M53=6),INDEX(T!$F134:$F152,MATCH(TRUE,INDEX(T!$F134:$F152&gt;=M29,0),)),IF(AND(M51="4E2",M53=7),INDEX(T!$G134:$G152,MATCH(TRUE,INDEX(T!$G134:$G152&gt;=M29,0),)),IF(AND(M51="4E2",M53=8),INDEX(T!$H134:$H152,MATCH(TRUE,INDEX(T!$H134:$H152&gt;=M29,0),)),IF(AND(M51="4E2",M53=9),INDEX(T!$I134:$I152,MATCH(TRUE,INDEX(T!$I134:$I152&gt;=M29,0),)),IF(AND(M51="4E3",M53=2),INDEX(T!$B158:$B170,MATCH(TRUE,INDEX(T!$B158:$B170&gt;=M29,0),)),IF(AND(M51="4E3",M53=3),INDEX(T!$C$158:$C170,MATCH(TRUE,INDEX(T!$C$158:$C170&gt;=M29,0),)),IF(AND(M51="4E3",M53=4),INDEX(T!$D158:$D170,MATCH(TRUE,INDEX(T!$D158:$D170&gt;=M29,0),)),IF(AND(M51="4E3",M53=5),INDEX(T!$E158:$E170,MATCH(TRUE,INDEX(T!$E158:$E170&gt;=M29,0),)),IF(AND(M51="4E3",M53=6),INDEX(T!$F158:$F170,MATCH(TRUE,INDEX(T!$F158:$F170&gt;=M29,0),)),IF(AND(M51="4E3",M53=7),INDEX(T!$G158:$G170,MATCH(TRUE,INDEX(T!$G158:$G170&gt;=M29,0),)),IF(AND(M51="4E3",M53=8),INDEX(T!$H158:$H170,MATCH(TRUE,INDEX(T!$H158:$H170&gt;=M29,0),)),IF(AND(M51="4E3",M53=9),INDEX(T!$I158:$I170,MATCH(TRUE,INDEX(T!$I56:$I68&gt;=M29,0),)),IF(AND(M51="4E3",M53=10),INDEX(T!$J158:$J170,MATCH(TRUE,INDEX(T!$J158:$J170&gt;=M29,0),)),IF(AND(M51="4E3",M53=11),INDEX(T!$K158:$K170,MATCH(TRUE,INDEX(T!$K158:$K170&gt;=M29,0),)),IF(AND(M51="4E3",M53=12),INDEX(T!$L$158:$L170,MATCH(TRUE,INDEX(T!$L$158:$L170&gt;=M29,0),)),IF(AND(M51="4E4",M53=2),INDEX(T!$B176:$B192,MATCH(TRUE,INDEX(T!$B176:$B192&gt;=M29,0),)),IF(AND(M51="4E4",M53=3),INDEX(T!$C176:$C192,MATCH(TRUE,INDEX(T!$C176:$C192&gt;=M29,0),)),IF(AND(M51="4E4",M53=4),INDEX(T!$D176:$D192,MATCH(TRUE,INDEX(T!$D176:$D192&gt;=M29,0),)),IF(AND(M51="4E4",M53=5),INDEX(T!$E176:$E192,MATCH(TRUE,INDEX(T!$E176:$E192&gt;=M29,0),)),IF(AND(M51="4E4",M53=6),INDEX(T!$F176:$F191,MATCH(TRUE,INDEX(T!$F176:$F191&gt;=M29,0),)),IF(AND(M51="4E4",M53=7),INDEX(T!$G176:$G191,MATCH(TRUE,INDEX(T!$G176:$G191&gt;=M29,0),)),"-")))))))))))))))))))))))))))))))))))),IF(OR(M51="4F1",M51="4F2",M51="4F3"),IF(M29="","",IF(AND(M51="4F1",M53=2),INDEX(T!$B198:$B202,MATCH(TRUE,INDEX(T!$B198:$B202&gt;=M29,0),)),IF(AND(M51="4F1",M53=3),INDEX(T!$C$198:$C211,MATCH(TRUE,INDEX(T!$C$198:$C211&gt;=M29,0),)),IF(AND(M51="4F1",M53=4),INDEX(T!$D203:$D214,MATCH(TRUE,INDEX(T!$D203:$D214&gt;=M29,0),)),IF(AND(M51="4F2",M53=2),INDEX(T!$B220:$B224,MATCH(TRUE,INDEX(T!$B220:$B224&gt;=M29,0),)),IF(AND(M51="4F2",M53=3),INDEX(T!$C$220:$C233,MATCH(TRUE,INDEX(T!$C$220:$C233&gt;=M29,0),)),IF(AND(M51="4F2",M53=4),INDEX(T!$D225:$D236,MATCH(TRUE,INDEX(T!$D225:$D236&gt;=M29,0),)),IF(AND(M51="4F3",M53=2),INDEX(T!$B242:$B248,MATCH(TRUE,INDEX(T!$B242:$B248&gt;=M29,0),)),IF(AND(M51="4F3",M53=3),INDEX(T!$C$242:$C248,MATCH(TRUE,INDEX(T!$C$242:$C248&gt;=M29,0),)),"-"))))))))),""))))</f>
        <v/>
      </c>
      <c r="N75" s="129" cm="1">
        <f t="array" ref="N75">IF(N29="","",IF(OR(N51="4D1",N51="4D2",N51="4D3",N51="4D4",N51="4D5"),IF(AND(N51="4D1",N53=2),INDEX(T!$B6:$B22,MATCH(TRUE,INDEX(T!$B6:$B22&gt;=N29,0),)),IF(AND(N51="4D1",N53=3),INDEX(T!$C$6:$C22,MATCH(TRUE,INDEX(T!$C$6:$C22&gt;=N29,0),)),IF(AND(N51="4D1",N53=4),INDEX(T!$D6:$D25,MATCH(TRUE,INDEX(T!$D6:$D25&gt;=N29,0),)),IF(AND(N51="4D1",N53=5),INDEX(T!$E6:$E25,MATCH(TRUE,INDEX(T!$E6:$E25&gt;=N29,0),)),IF(AND(N51="4D1",N53=6),INDEX(T!$F6:$F27,MATCH(TRUE,INDEX(T!$F6:$F27&gt;=N29,0),)),IF(AND(N51="4D1",N53=7),INDEX(T!$G6:$G27,MATCH(TRUE,INDEX(T!$G6:$G27&gt;=N29,0),)),IF(AND(N51="4D1",N53=8),INDEX(T!$H13:$H27,MATCH(TRUE,INDEX(T!$H13:$H27&gt;=N29,0),)),IF(AND(N51="4D1",N53=9),INDEX(T!$I13:$I27,MATCH(TRUE,INDEX(T!$I13:$I27&gt;=N29,0),)),IF(AND(N51="4D1",N53=10),INDEX(T!$J13:$J27,MATCH(TRUE,INDEX(T!$J13:$J27&gt;=N29,0),)),IF(AND(N51="4D1",N53=11),INDEX(T!$K13:$K27,MATCH(TRUE,INDEX(T!$K13:$K27&gt;=N29,0),)),IF(AND(N51="4D1",N53=12),INDEX(T!$L$13:$L27,MATCH(TRUE,INDEX(T!$L$13:$L27&gt;=N29,0),)),IF(AND(N51="4D2",N53=2),INDEX(T!$B33:$B49,MATCH(TRUE,INDEX(T!$B33:$B49&gt;=N29,0),)),IF(AND(N51="4D2",N53=3),INDEX(T!$C$33:$C49,MATCH(TRUE,INDEX(T!$C$33:$C49&gt;=N29,0),)),IF(AND(N51="4D2",N53=4),INDEX(T!$D33:$D50,MATCH(TRUE,INDEX(T!$D33:$D50&gt;=N29,0),)),IF(AND(N51="4D2",N53=5),INDEX(T!$E33:$E50,MATCH(TRUE,INDEX(T!$E33:$E50&gt;=N29,0),)),IF(AND(N51="4D2",N53=6),INDEX(T!$F33:$F50,MATCH(TRUE,INDEX(T!$F33:$F50&gt;=N29,0),)),IF(AND(N51="4D2",N53=7),INDEX(T!$G33:$G50,MATCH(TRUE,INDEX(T!$G33:$G50&gt;=N29,0),)),IF(AND(N51="4D2",N53=8),INDEX(T!$H33:$H50,MATCH(TRUE,INDEX(T!$H33:$H50&gt;=N29,0),)),IF(AND(N51="4D2",N53=9),INDEX(T!$I33:$I50,MATCH(TRUE,INDEX(T!$I33:$I50&gt;=N29,0),)),IF(AND(N51="4D3",N53=2),INDEX(T!$B56:$B68,MATCH(TRUE,INDEX(T!$B56:$B68&gt;=N29,0),)),IF(AND(N51="4D3",N53=3),INDEX(T!$C$56:$C68,MATCH(TRUE,INDEX(T!$C$56:$C68&gt;=N29,0),)),IF(AND(N51="4D3",N53=4),INDEX(T!$D56:$D68,MATCH(TRUE,INDEX(T!$D56:$D68&gt;=N29,0),)),IF(AND(N51="4D3",N53=5),INDEX(T!$E56:$E68,MATCH(TRUE,INDEX(T!$E56:$E68&gt;=N29,0),)),IF(AND(N51="4D3",N53=6),INDEX(T!$F56:$F68,MATCH(TRUE,INDEX(T!$F56:$F68&gt;=N29,0),)),IF(AND(N51="4D3",N53=7),INDEX(T!$G56:$G68,MATCH(TRUE,INDEX(T!$G56:$G68&gt;=N29,0),)),IF(AND(N51="4D3",N53=8),INDEX(T!$H56:$H68,MATCH(TRUE,INDEX(T!$H56:$H68&gt;=N29,0),)),IF(AND(N51="4D3",N53=9),INDEX(T!$I56:$I68,MATCH(TRUE,INDEX(T!$I56:$I68&gt;=N29,0),)),IF(AND(N51="4D3",N53=10),INDEX(T!$J56:$J68,MATCH(TRUE,INDEX(T!$J56:$J68&gt;=N29,0),)),IF(AND(N51="4D3",N53=11),INDEX(T!$K56:$K68,MATCH(TRUE,INDEX(T!$K56:$K68&gt;=N29,0),)),IF(AND(N51="4D3",N53=12),INDEX(T!$L$56:$L68,MATCH(TRUE,INDEX(T!$L$56:$L68&gt;=N29,0),)),IF(AND(N51="4D4",N53=2),INDEX(T!$B74:$B90,MATCH(TRUE,INDEX(T!$B74:$B90&gt;=N29,0),)),IF(AND(N51="4D4",N53=3),INDEX(T!$C$74:$C90,MATCH(TRUE,INDEX(T!$C$74:$C90&gt;=N29,0),)),IF(AND(N51="4D4",N53=4),INDEX(T!$D74:$D90,MATCH(TRUE,INDEX(T!$D74:$D90&gt;=N29,0),)),IF(AND(N51="4D4",N53=5),INDEX(T!$E74:$E90,MATCH(TRUE,INDEX(T!$E74:$E90&gt;=N29,0),)),IF(AND(N51="4D4",N53=6),INDEX(T!$F74:$F89,MATCH(TRUE,INDEX(T!$F74:$F89&gt;=N29,0),)),IF(AND(N51="4D4",N53=7),INDEX(T!$G74:$G89,MATCH(TRUE,INDEX(T!$G74:$G89&gt;=N29,0),)),IF(AND(N51="4D5",N53=2),INDEX(T!$B96:$B102,MATCH(TRUE,INDEX(T!$B96:$B102&gt;=N29,0),)),IF(AND(N51="4D5",N53=3),INDEX(T!$C$96:$C102,MATCH(TRUE,INDEX(T!$C$96:$C102&gt;=N29,0),)),IF(AND(N51="4D5",N53=4),INDEX(T!$D96:$D102,MATCH(TRUE,INDEX(T!$D96:$D102&gt;=N29,0),)),IF(AND(N51="4D5",N53=5),INDEX(T!$E96:$E102,MATCH(TRUE,INDEX(T!$E96:$E102&gt;=N29,0),)),IF(AND(N51="4D5",N53=6),INDEX(T!$F96:$F102,MATCH(TRUE,INDEX(T!$F96:$F102&gt;=N29,0),)),IF(AND(N51="4D5",N53=7),INDEX(T!$G96:$G102,MATCH(TRUE,INDEX(T!$G96:$G102&gt;=N29,0),)))))))))))))))))))))))))))))))))))))))))))),IF(OR(N51="4E1",N51="4E2",N51="4E3",N51="4E4"),IF(AND(N51="4E1",N53=2),INDEX(T!$B108:$B124,MATCH(TRUE,INDEX(T!$B108:$B124&gt;=N29,0),)),IF(AND(N51="4E1",N53=3),INDEX(T!$C$108:$C124,MATCH(TRUE,INDEX(T!$C$108:$C124&gt;=N29,0),)),IF(AND(N51="4E1",N53=4),INDEX(T!$D108:$D127,MATCH(TRUE,INDEX(T!$D108:$D127&gt;=N29,0),)),IF(AND(N51="4E1",N53=5),INDEX(T!$E108:$E127,MATCH(TRUE,INDEX(T!$E108:$E127&gt;=N29,0),)),IF(AND(N51="4E1",N53=6),INDEX(T!$F108:$F129,MATCH(TRUE,INDEX(T!$F108:$F129&gt;=N29,0),)),IF(AND(N51="4E1",N53=7),INDEX(T!$G108:$G129,MATCH(TRUE,INDEX(T!$G108:$G129&gt;=N29,0),)),IF(AND(N51="4E1",N53=8),INDEX(T!$H115:$H129,MATCH(TRUE,INDEX(T!$H115:$H129&gt;=N29,0),)),IF(AND(N51="4E1",N53=9),INDEX(T!$I115:$I129,MATCH(TRUE,INDEX(T!$I115:$I129&gt;=N29,0),)),IF(AND(N51="4E1",N53=10),INDEX(T!$J115:$J129,MATCH(TRUE,INDEX(T!$J115:$J129&gt;=N29,0),)),IF(AND(N51="4E1",N53=11),INDEX(T!$K115:$K129,MATCH(TRUE,INDEX(T!$K115:$K129&gt;=N29,0),)),IF(AND(N51="4E1",N53=12),INDEX(T!$L$115:$L129,MATCH(TRUE,INDEX(T!$L$115:$L129&gt;=N29,0),)),IF(AND(N51="4E2",N53=2),INDEX(T!$B134:$B151,MATCH(TRUE,INDEX(T!$B134:$B151&gt;=N29,0),)),IF(AND(N51="4E2",N53=3),INDEX(T!$C$134:$C151,MATCH(TRUE,INDEX(T!$C$134:$C151&gt;=N29,0),)),IF(AND(N51="4E2",N53=4),INDEX(T!$D134:$D152,MATCH(TRUE,INDEX(T!$D134:$D152&gt;=N29,0),)),IF(AND(N51="4E2",N53=5),INDEX(T!$E134:$E152,MATCH(TRUE,INDEX(T!$E134:$E152&gt;=N29,0),)),IF(AND(N51="4E2",N53=6),INDEX(T!$F134:$F152,MATCH(TRUE,INDEX(T!$F134:$F152&gt;=N29,0),)),IF(AND(N51="4E2",N53=7),INDEX(T!$G134:$G152,MATCH(TRUE,INDEX(T!$G134:$G152&gt;=N29,0),)),IF(AND(N51="4E2",N53=8),INDEX(T!$H134:$H152,MATCH(TRUE,INDEX(T!$H134:$H152&gt;=N29,0),)),IF(AND(N51="4E2",N53=9),INDEX(T!$I134:$I152,MATCH(TRUE,INDEX(T!$I134:$I152&gt;=N29,0),)),IF(AND(N51="4E3",N53=2),INDEX(T!$B158:$B170,MATCH(TRUE,INDEX(T!$B158:$B170&gt;=N29,0),)),IF(AND(N51="4E3",N53=3),INDEX(T!$C$158:$C170,MATCH(TRUE,INDEX(T!$C$158:$C170&gt;=N29,0),)),IF(AND(N51="4E3",N53=4),INDEX(T!$D158:$D170,MATCH(TRUE,INDEX(T!$D158:$D170&gt;=N29,0),)),IF(AND(N51="4E3",N53=5),INDEX(T!$E158:$E170,MATCH(TRUE,INDEX(T!$E158:$E170&gt;=N29,0),)),IF(AND(N51="4E3",N53=6),INDEX(T!$F158:$F170,MATCH(TRUE,INDEX(T!$F158:$F170&gt;=N29,0),)),IF(AND(N51="4E3",N53=7),INDEX(T!$G158:$G170,MATCH(TRUE,INDEX(T!$G158:$G170&gt;=N29,0),)),IF(AND(N51="4E3",N53=8),INDEX(T!$H158:$H170,MATCH(TRUE,INDEX(T!$H158:$H170&gt;=N29,0),)),IF(AND(N51="4E3",N53=9),INDEX(T!$I158:$I170,MATCH(TRUE,INDEX(T!$I56:$I68&gt;=N29,0),)),IF(AND(N51="4E3",N53=10),INDEX(T!$J158:$J170,MATCH(TRUE,INDEX(T!$J158:$J170&gt;=N29,0),)),IF(AND(N51="4E3",N53=11),INDEX(T!$K158:$K170,MATCH(TRUE,INDEX(T!$K158:$K170&gt;=N29,0),)),IF(AND(N51="4E3",N53=12),INDEX(T!$L$158:$L170,MATCH(TRUE,INDEX(T!$L$158:$L170&gt;=N29,0),)),IF(AND(N51="4E4",N53=2),INDEX(T!$B176:$B192,MATCH(TRUE,INDEX(T!$B176:$B192&gt;=N29,0),)),IF(AND(N51="4E4",N53=3),INDEX(T!$C176:$C192,MATCH(TRUE,INDEX(T!$C176:$C192&gt;=N29,0),)),IF(AND(N51="4E4",N53=4),INDEX(T!$D176:$D192,MATCH(TRUE,INDEX(T!$D176:$D192&gt;=N29,0),)),IF(AND(N51="4E4",N53=5),INDEX(T!$E176:$E192,MATCH(TRUE,INDEX(T!$E176:$E192&gt;=N29,0),)),IF(AND(N51="4E4",N53=6),INDEX(T!$F176:$F191,MATCH(TRUE,INDEX(T!$F176:$F191&gt;=N29,0),)),IF(AND(N51="4E4",N53=7),INDEX(T!$G176:$G191,MATCH(TRUE,INDEX(T!$G176:$G191&gt;=N29,0),)),"-")))))))))))))))))))))))))))))))))))),IF(OR(N51="4F1",N51="4F2",N51="4F3"),IF(N29="","",IF(AND(N51="4F1",N53=2),INDEX(T!$B198:$B202,MATCH(TRUE,INDEX(T!$B198:$B202&gt;=N29,0),)),IF(AND(N51="4F1",N53=3),INDEX(T!$C$198:$C211,MATCH(TRUE,INDEX(T!$C$198:$C211&gt;=N29,0),)),IF(AND(N51="4F1",N53=4),INDEX(T!$D203:$D214,MATCH(TRUE,INDEX(T!$D203:$D214&gt;=N29,0),)),IF(AND(N51="4F2",N53=2),INDEX(T!$B220:$B224,MATCH(TRUE,INDEX(T!$B220:$B224&gt;=N29,0),)),IF(AND(N51="4F2",N53=3),INDEX(T!$C$220:$C233,MATCH(TRUE,INDEX(T!$C$220:$C233&gt;=N29,0),)),IF(AND(N51="4F2",N53=4),INDEX(T!$D225:$D236,MATCH(TRUE,INDEX(T!$D225:$D236&gt;=N29,0),)),IF(AND(N51="4F3",N53=2),INDEX(T!$B242:$B248,MATCH(TRUE,INDEX(T!$B242:$B248&gt;=N29,0),)),IF(AND(N51="4F3",N53=3),INDEX(T!$C$242:$C248,MATCH(TRUE,INDEX(T!$C$242:$C248&gt;=N29,0),)),"-"))))))))),""))))</f>
        <v>396</v>
      </c>
      <c r="O75" s="128" t="str">
        <f>IF(N75&lt;&gt;"","A","")</f>
        <v>A</v>
      </c>
    </row>
    <row r="76" spans="1:43" s="124" customFormat="1" ht="16">
      <c r="A76" s="392"/>
      <c r="B76" s="395"/>
      <c r="C76" s="152"/>
      <c r="D76" s="152" t="str" cm="1">
        <f t="array" ref="D76">IF(D27="","",IF(OR(D51="4G1",D51="4G2"),IF(AND(D51="4G1",D53=2,D59="500V"),INDEX(T!$B255:$B258,MATCH(TRUE,INDEX(T!$B255:$B258&gt;=D29,0),)),IF(AND(D51="4G1",D53=3,D59="500V"),INDEX(T!$C$255:$C258,MATCH(TRUE,INDEX(T!$C$255:$C258&gt;=D29,0),)),IF(AND(D51="4G1",D53=4,D59="500V"),INDEX(T!$D255:$D258,MATCH(TRUE,INDEX(T!$D255:$D258&gt;=D29,0),)),IF(AND(D51="4G1",D53=5,D59="500V"),INDEX(T!$E255:$E258,MATCH(TRUE,INDEX(T!$E255:$E258&gt;=D29,0),)),IF(AND(D51="4G1",D53=6,D59="500V"),INDEX(T!$F255:$F258,MATCH(TRUE,INDEX(T!$F255:$F258&gt;=D29,0),)),IF(AND(D51="4G1",D53=7,D59="500V"),INDEX(T!$G255:$G258,MATCH(TRUE,INDEX(T!$G255:$G258&gt;=D29,0),)),IF(AND(D51="4G1",D53=8,D59="500V"),INDEX(T!$H255:$H258,MATCH(TRUE,INDEX(T!$H255:$H258&gt;=D29,0),)),IF(AND(D51="4G1",D53=9,D59="500V"),INDEX(T!$I255:$I258,MATCH(TRUE,INDEX(T!$I255:$I258&gt;=D29,0),)),IF(AND(D51="4G1",D53=2,D59="750V"),INDEX(T!$B260:$B275,MATCH(TRUE,INDEX(T!$B260:$B275&gt;=D29,0),)),IF(AND(D51="4G1",D53=3,D59="750V"),INDEX(T!$C$260:$C275,MATCH(TRUE,INDEX(T!$C$260:$C275&gt;=D29,0),)),IF(AND(D51="4G1",D53=4,D59="750V"),INDEX(T!$D260:$D275,MATCH(TRUE,INDEX(T!$D260:$D275&gt;=D29,0),)),IF(AND(D51="4G1",D53=5,D59="750V"),INDEX(T!$E260:$E275,MATCH(TRUE,INDEX(T!$E260:$E275&gt;=D29,0),)),IF(AND(D51="4G1",D53=6,D59="750V"),INDEX(T!$F260:$F275,MATCH(TRUE,INDEX(T!$F260:$F275&gt;=D29,0),)),IF(AND(D51="4G1",D53=7,D59="750V"),INDEX(T!$G260:$G275,MATCH(TRUE,INDEX(T!$G260:$G275&gt;=D29,0),)),IF(AND(D51="4G1",D53=8,D59="750V"),INDEX(T!$H260:$H275,MATCH(TRUE,INDEX(T!$H260:$H275&gt;=D29,0),)),IF(AND(D51="4G1",D53=9,D59="750V"),INDEX(T!$I260:$I275,MATCH(TRUE,INDEX(T!$I260:$I275&gt;=D29,0),)),IF(AND(D51="4G2",D53=2,D59="500V"),INDEX(T!$B282:$B285,MATCH(TRUE,INDEX(T!$B282:$B285&gt;=D29,0),)),IF(AND(D51="4G2",D53=3,D59="500V"),INDEX(T!$C$282:$C285,MATCH(TRUE,INDEX(T!$C$282:$C285&gt;=D29,0),)),IF(AND(D51="4G2",D53=4,D59="500V"),INDEX(T!$D282:$D285,MATCH(TRUE,INDEX(T!$D282:$D285&gt;=D29,0),)),IF(AND(D51="4G2",D53=5,D59="500V"),INDEX(T!$E282:$E285,MATCH(TRUE,INDEX(T!$E282:$E285&gt;=D29,0),)),IF(AND(D51="4G2",D53=6,D59="500V"),INDEX(T!$F282:$F285,MATCH(TRUE,INDEX(T!$F282:$F285&gt;=D29,0),)),IF(AND(D51="4G2",D53=7,D59="500V"),INDEX(T!$G282:$G285,MATCH(TRUE,INDEX(T!$G282:$G285&gt;=D29,0),)),IF(AND(D51="4G2",D53=8,D59="500V"),INDEX(T!$H282:$H285,MATCH(TRUE,INDEX(T!$H282:$H285&gt;=D29,0),)),IF(AND(D51="4G2",D53=9,D59="500V"),INDEX(T!$I282:$I285,MATCH(TRUE,INDEX(T!$I282:$I285&gt;=D29,0),)),IF(AND(D51="4G2",D53=2,D59="750V"),INDEX(T!$B287:$B302,MATCH(TRUE,INDEX(T!$B287:$B302&gt;=D29,0),)),IF(AND(D51="4G2",D53=3,D59="750V"),INDEX(T!$C$287:$C302,MATCH(TRUE,INDEX(T!$C$287:$C302&gt;=D29,0),)),IF(AND(D51="4G2",D53=4,D59="750V"),INDEX(T!$D287:$D302,MATCH(TRUE,INDEX(T!$D287:$D302&gt;=D29,0),)),IF(AND(D51="4G2",D53=5,D59="750V"),INDEX(T!$E287:$E302,MATCH(TRUE,INDEX(T!$E287:$E302&gt;=D29,0),)),IF(AND(D51="4G2",D53=6,D59="750V"),INDEX(T!$F287:$F302,MATCH(TRUE,INDEX(T!$F287:$F302&gt;=D29,0),)),IF(AND(D51="4G2",D53=7,D59="750V"),INDEX(T!$G287:$G302,MATCH(TRUE,INDEX(T!$G287:$G302&gt;=D29,0),)),IF(AND(D51="4G2",D53=8,D59="750V"),INDEX(T!$H287:$H302,MATCH(TRUE,INDEX(T!$H287:$H302&gt;=D29,0),)),IF(AND(D51="4G2",D53=9,D59="750V"),INDEX(T!$I287:$I302,MATCH(TRUE,INDEX(T!$I287:$I302&gt;=D29,0),)))))))))))))))))))))))))))))))))),""))</f>
        <v/>
      </c>
      <c r="E76" s="152" t="str" cm="1">
        <f t="array" aca="1" ref="E76" ca="1">IF(E27="","",IF(OR(E51="4G1",E51="4G2"),IF(AND(E51="4G1",E53=2,E59="500V"),INDEX(T!$B255:$B258,MATCH(TRUE,INDEX(T!$B255:$B258&gt;=E29,0),)),IF(AND(E51="4G1",E53=3,E59="500V"),INDEX(T!$C$255:$C258,MATCH(TRUE,INDEX(T!$C$255:$C258&gt;=E29,0),)),IF(AND(E51="4G1",E53=4,E59="500V"),INDEX(T!$D255:$D258,MATCH(TRUE,INDEX(T!$D255:$D258&gt;=E29,0),)),IF(AND(E51="4G1",E53=5,E59="500V"),INDEX(T!$E255:$E258,MATCH(TRUE,INDEX(T!$E255:$E258&gt;=E29,0),)),IF(AND(E51="4G1",E53=6,E59="500V"),INDEX(T!$F255:$F258,MATCH(TRUE,INDEX(T!$F255:$F258&gt;=E29,0),)),IF(AND(E51="4G1",E53=7,E59="500V"),INDEX(T!$G255:$G258,MATCH(TRUE,INDEX(T!$G255:$G258&gt;=E29,0),)),IF(AND(E51="4G1",E53=8,E59="500V"),INDEX(T!$H255:$H258,MATCH(TRUE,INDEX(T!$H255:$H258&gt;=E29,0),)),IF(AND(E51="4G1",E53=9,E59="500V"),INDEX(T!$I255:$I258,MATCH(TRUE,INDEX(T!$I255:$I258&gt;=E29,0),)),IF(AND(E51="4G1",E53=2,E59="750V"),INDEX(T!$B260:$B275,MATCH(TRUE,INDEX(T!$B260:$B275&gt;=E29,0),)),IF(AND(E51="4G1",E53=3,E59="750V"),INDEX(T!$C$260:$C275,MATCH(TRUE,INDEX(T!$C$260:$C275&gt;=E29,0),)),IF(AND(E51="4G1",E53=4,E59="750V"),INDEX(T!$D260:$D275,MATCH(TRUE,INDEX(T!$D260:$D275&gt;=E29,0),)),IF(AND(E51="4G1",E53=5,E59="750V"),INDEX(T!$E260:$E275,MATCH(TRUE,INDEX(T!$E260:$E275&gt;=E29,0),)),IF(AND(E51="4G1",E53=6,E59="750V"),INDEX(T!$F260:$F275,MATCH(TRUE,INDEX(T!$F260:$F275&gt;=E29,0),)),IF(AND(E51="4G1",E53=7,E59="750V"),INDEX(T!$G260:$G275,MATCH(TRUE,INDEX(T!$G260:$G275&gt;=E29,0),)),IF(AND(E51="4G1",E53=8,E59="750V"),INDEX(T!$H260:$H275,MATCH(TRUE,INDEX(T!$H260:$H275&gt;=E29,0),)),IF(AND(E51="4G1",E53=9,E59="750V"),INDEX(T!$I260:$I275,MATCH(TRUE,INDEX(T!$I260:$I275&gt;=E29,0),)),IF(AND(E51="4G2",E53=2,E59="500V"),INDEX(T!$B282:$B285,MATCH(TRUE,INDEX(T!$B282:$B285&gt;=E29,0),)),IF(AND(E51="4G2",E53=3,E59="500V"),INDEX(T!$C$282:$C285,MATCH(TRUE,INDEX(T!$C$282:$C285&gt;=E29,0),)),IF(AND(E51="4G2",E53=4,E59="500V"),INDEX(T!$D282:$D285,MATCH(TRUE,INDEX(T!$D282:$D285&gt;=E29,0),)),IF(AND(E51="4G2",E53=5,E59="500V"),INDEX(T!$E282:$E285,MATCH(TRUE,INDEX(T!$E282:$E285&gt;=E29,0),)),IF(AND(E51="4G2",E53=6,E59="500V"),INDEX(T!$F282:$F285,MATCH(TRUE,INDEX(T!$F282:$F285&gt;=E29,0),)),IF(AND(E51="4G2",E53=7,E59="500V"),INDEX(T!$G282:$G285,MATCH(TRUE,INDEX(T!$G282:$G285&gt;=E29,0),)),IF(AND(E51="4G2",E53=8,E59="500V"),INDEX(T!$H282:$H285,MATCH(TRUE,INDEX(T!$H282:$H285&gt;=E29,0),)),IF(AND(E51="4G2",E53=9,E59="500V"),INDEX(T!$I282:$I285,MATCH(TRUE,INDEX(T!$I282:$I285&gt;=E29,0),)),IF(AND(E51="4G2",E53=2,E59="750V"),INDEX(T!$B287:$B302,MATCH(TRUE,INDEX(T!$B287:$B302&gt;=E29,0),)),IF(AND(E51="4G2",E53=3,E59="750V"),INDEX(T!$C$287:$C302,MATCH(TRUE,INDEX(T!$C$287:$C302&gt;=E29,0),)),IF(AND(E51="4G2",E53=4,E59="750V"),INDEX(T!$D287:$D302,MATCH(TRUE,INDEX(T!$D287:$D302&gt;=E29,0),)),IF(AND(E51="4G2",E53=5,E59="750V"),INDEX(T!$E287:$E302,MATCH(TRUE,INDEX(T!$E287:$E302&gt;=E29,0),)),IF(AND(E51="4G2",E53=6,E59="750V"),INDEX(T!$F287:$F302,MATCH(TRUE,INDEX(T!$F287:$F302&gt;=E29,0),)),IF(AND(E51="4G2",E53=7,E59="750V"),INDEX(T!$G287:$G302,MATCH(TRUE,INDEX(T!$G287:$G302&gt;=E29,0),)),IF(AND(E51="4G2",E53=8,E59="750V"),INDEX(T!$H287:$H302,MATCH(TRUE,INDEX(T!$H287:$H302&gt;=E29,0),)),IF(AND(E51="4G2",E53=9,E59="750V"),INDEX(T!$I287:$I302,MATCH(TRUE,INDEX(T!$I287:$I302&gt;=E29,0),)))))))))))))))))))))))))))))))))),""))</f>
        <v/>
      </c>
      <c r="F76" s="152" t="str" cm="1">
        <f t="array" aca="1" ref="F76" ca="1">IF(F27="","",IF(OR(F51="4G1",F51="4G2"),IF(AND(F51="4G1",F53=2,F59="500V"),INDEX(T!$B255:$B258,MATCH(TRUE,INDEX(T!$B255:$B258&gt;=F29,0),)),IF(AND(F51="4G1",F53=3,F59="500V"),INDEX(T!$C$255:$C258,MATCH(TRUE,INDEX(T!$C$255:$C258&gt;=F29,0),)),IF(AND(F51="4G1",F53=4,F59="500V"),INDEX(T!$D255:$D258,MATCH(TRUE,INDEX(T!$D255:$D258&gt;=F29,0),)),IF(AND(F51="4G1",F53=5,F59="500V"),INDEX(T!$E255:$E258,MATCH(TRUE,INDEX(T!$E255:$E258&gt;=F29,0),)),IF(AND(F51="4G1",F53=6,F59="500V"),INDEX(T!$F255:$F258,MATCH(TRUE,INDEX(T!$F255:$F258&gt;=F29,0),)),IF(AND(F51="4G1",F53=7,F59="500V"),INDEX(T!$G255:$G258,MATCH(TRUE,INDEX(T!$G255:$G258&gt;=F29,0),)),IF(AND(F51="4G1",F53=8,F59="500V"),INDEX(T!$H255:$H258,MATCH(TRUE,INDEX(T!$H255:$H258&gt;=F29,0),)),IF(AND(F51="4G1",F53=9,F59="500V"),INDEX(T!$I255:$I258,MATCH(TRUE,INDEX(T!$I255:$I258&gt;=F29,0),)),IF(AND(F51="4G1",F53=2,F59="750V"),INDEX(T!$B260:$B275,MATCH(TRUE,INDEX(T!$B260:$B275&gt;=F29,0),)),IF(AND(F51="4G1",F53=3,F59="750V"),INDEX(T!$C$260:$C275,MATCH(TRUE,INDEX(T!$C$260:$C275&gt;=F29,0),)),IF(AND(F51="4G1",F53=4,F59="750V"),INDEX(T!$D260:$D275,MATCH(TRUE,INDEX(T!$D260:$D275&gt;=F29,0),)),IF(AND(F51="4G1",F53=5,F59="750V"),INDEX(T!$E260:$E275,MATCH(TRUE,INDEX(T!$E260:$E275&gt;=F29,0),)),IF(AND(F51="4G1",F53=6,F59="750V"),INDEX(T!$F260:$F275,MATCH(TRUE,INDEX(T!$F260:$F275&gt;=F29,0),)),IF(AND(F51="4G1",F53=7,F59="750V"),INDEX(T!$G260:$G275,MATCH(TRUE,INDEX(T!$G260:$G275&gt;=F29,0),)),IF(AND(F51="4G1",F53=8,F59="750V"),INDEX(T!$H260:$H275,MATCH(TRUE,INDEX(T!$H260:$H275&gt;=F29,0),)),IF(AND(F51="4G1",F53=9,F59="750V"),INDEX(T!$I260:$I275,MATCH(TRUE,INDEX(T!$I260:$I275&gt;=F29,0),)),IF(AND(F51="4G2",F53=2,F59="500V"),INDEX(T!$B282:$B285,MATCH(TRUE,INDEX(T!$B282:$B285&gt;=F29,0),)),IF(AND(F51="4G2",F53=3,F59="500V"),INDEX(T!$C$282:$C285,MATCH(TRUE,INDEX(T!$C$282:$C285&gt;=F29,0),)),IF(AND(F51="4G2",F53=4,F59="500V"),INDEX(T!$D282:$D285,MATCH(TRUE,INDEX(T!$D282:$D285&gt;=F29,0),)),IF(AND(F51="4G2",F53=5,F59="500V"),INDEX(T!$E282:$E285,MATCH(TRUE,INDEX(T!$E282:$E285&gt;=F29,0),)),IF(AND(F51="4G2",F53=6,F59="500V"),INDEX(T!$F282:$F285,MATCH(TRUE,INDEX(T!$F282:$F285&gt;=F29,0),)),IF(AND(F51="4G2",F53=7,F59="500V"),INDEX(T!$G282:$G285,MATCH(TRUE,INDEX(T!$G282:$G285&gt;=F29,0),)),IF(AND(F51="4G2",F53=8,F59="500V"),INDEX(T!$H282:$H285,MATCH(TRUE,INDEX(T!$H282:$H285&gt;=F29,0),)),IF(AND(F51="4G2",F53=9,F59="500V"),INDEX(T!$I282:$I285,MATCH(TRUE,INDEX(T!$I282:$I285&gt;=F29,0),)),IF(AND(F51="4G2",F53=2,F59="750V"),INDEX(T!$B287:$B302,MATCH(TRUE,INDEX(T!$B287:$B302&gt;=F29,0),)),IF(AND(F51="4G2",F53=3,F59="750V"),INDEX(T!$C$287:$C302,MATCH(TRUE,INDEX(T!$C$287:$C302&gt;=F29,0),)),IF(AND(F51="4G2",F53=4,F59="750V"),INDEX(T!$D287:$D302,MATCH(TRUE,INDEX(T!$D287:$D302&gt;=F29,0),)),IF(AND(F51="4G2",F53=5,F59="750V"),INDEX(T!$E287:$E302,MATCH(TRUE,INDEX(T!$E287:$E302&gt;=F29,0),)),IF(AND(F51="4G2",F53=6,F59="750V"),INDEX(T!$F287:$F302,MATCH(TRUE,INDEX(T!$F287:$F302&gt;=F29,0),)),IF(AND(F51="4G2",F53=7,F59="750V"),INDEX(T!$G287:$G302,MATCH(TRUE,INDEX(T!$G287:$G302&gt;=F29,0),)),IF(AND(F51="4G2",F53=8,F59="750V"),INDEX(T!$H287:$H302,MATCH(TRUE,INDEX(T!$H287:$H302&gt;=F29,0),)),IF(AND(F51="4G2",F53=9,F59="750V"),INDEX(T!$I287:$I302,MATCH(TRUE,INDEX(T!$I287:$I302&gt;=F29,0),)))))))))))))))))))))))))))))))))),""))</f>
        <v/>
      </c>
      <c r="G76" s="152" t="str" cm="1">
        <f t="array" aca="1" ref="G76" ca="1">IF(G27="","",IF(OR(G51="4G1",G51="4G2"),IF(AND(G51="4G1",G53=2,G59="500V"),INDEX(T!$B255:$B258,MATCH(TRUE,INDEX(T!$B255:$B258&gt;=G29,0),)),IF(AND(G51="4G1",G53=3,G59="500V"),INDEX(T!$C$255:$C258,MATCH(TRUE,INDEX(T!$C$255:$C258&gt;=G29,0),)),IF(AND(G51="4G1",G53=4,G59="500V"),INDEX(T!$D255:$D258,MATCH(TRUE,INDEX(T!$D255:$D258&gt;=G29,0),)),IF(AND(G51="4G1",G53=5,G59="500V"),INDEX(T!$E255:$E258,MATCH(TRUE,INDEX(T!$E255:$E258&gt;=G29,0),)),IF(AND(G51="4G1",G53=6,G59="500V"),INDEX(T!$F255:$F258,MATCH(TRUE,INDEX(T!$F255:$F258&gt;=G29,0),)),IF(AND(G51="4G1",G53=7,G59="500V"),INDEX(T!$G255:$G258,MATCH(TRUE,INDEX(T!$G255:$G258&gt;=G29,0),)),IF(AND(G51="4G1",G53=8,G59="500V"),INDEX(T!$H255:$H258,MATCH(TRUE,INDEX(T!$H255:$H258&gt;=G29,0),)),IF(AND(G51="4G1",G53=9,G59="500V"),INDEX(T!$I255:$I258,MATCH(TRUE,INDEX(T!$I255:$I258&gt;=G29,0),)),IF(AND(G51="4G1",G53=2,G59="750V"),INDEX(T!$B260:$B275,MATCH(TRUE,INDEX(T!$B260:$B275&gt;=G29,0),)),IF(AND(G51="4G1",G53=3,G59="750V"),INDEX(T!$C$260:$C275,MATCH(TRUE,INDEX(T!$C$260:$C275&gt;=G29,0),)),IF(AND(G51="4G1",G53=4,G59="750V"),INDEX(T!$D260:$D275,MATCH(TRUE,INDEX(T!$D260:$D275&gt;=G29,0),)),IF(AND(G51="4G1",G53=5,G59="750V"),INDEX(T!$E260:$E275,MATCH(TRUE,INDEX(T!$E260:$E275&gt;=G29,0),)),IF(AND(G51="4G1",G53=6,G59="750V"),INDEX(T!$F260:$F275,MATCH(TRUE,INDEX(T!$F260:$F275&gt;=G29,0),)),IF(AND(G51="4G1",G53=7,G59="750V"),INDEX(T!$G260:$G275,MATCH(TRUE,INDEX(T!$G260:$G275&gt;=G29,0),)),IF(AND(G51="4G1",G53=8,G59="750V"),INDEX(T!$H260:$H275,MATCH(TRUE,INDEX(T!$H260:$H275&gt;=G29,0),)),IF(AND(G51="4G1",G53=9,G59="750V"),INDEX(T!$I260:$I275,MATCH(TRUE,INDEX(T!$I260:$I275&gt;=G29,0),)),IF(AND(G51="4G2",G53=2,G59="500V"),INDEX(T!$B282:$B285,MATCH(TRUE,INDEX(T!$B282:$B285&gt;=G29,0),)),IF(AND(G51="4G2",G53=3,G59="500V"),INDEX(T!$C$282:$C285,MATCH(TRUE,INDEX(T!$C$282:$C285&gt;=G29,0),)),IF(AND(G51="4G2",G53=4,G59="500V"),INDEX(T!$D282:$D285,MATCH(TRUE,INDEX(T!$D282:$D285&gt;=G29,0),)),IF(AND(G51="4G2",G53=5,G59="500V"),INDEX(T!$E282:$E285,MATCH(TRUE,INDEX(T!$E282:$E285&gt;=G29,0),)),IF(AND(G51="4G2",G53=6,G59="500V"),INDEX(T!$F282:$F285,MATCH(TRUE,INDEX(T!$F282:$F285&gt;=G29,0),)),IF(AND(G51="4G2",G53=7,G59="500V"),INDEX(T!$G282:$G285,MATCH(TRUE,INDEX(T!$G282:$G285&gt;=G29,0),)),IF(AND(G51="4G2",G53=8,G59="500V"),INDEX(T!$H282:$H285,MATCH(TRUE,INDEX(T!$H282:$H285&gt;=G29,0),)),IF(AND(G51="4G2",G53=9,G59="500V"),INDEX(T!$I282:$I285,MATCH(TRUE,INDEX(T!$I282:$I285&gt;=G29,0),)),IF(AND(G51="4G2",G53=2,G59="750V"),INDEX(T!$B287:$B302,MATCH(TRUE,INDEX(T!$B287:$B302&gt;=G29,0),)),IF(AND(G51="4G2",G53=3,G59="750V"),INDEX(T!$C$287:$C302,MATCH(TRUE,INDEX(T!$C$287:$C302&gt;=G29,0),)),IF(AND(G51="4G2",G53=4,G59="750V"),INDEX(T!$D287:$D302,MATCH(TRUE,INDEX(T!$D287:$D302&gt;=G29,0),)),IF(AND(G51="4G2",G53=5,G59="750V"),INDEX(T!$E287:$E302,MATCH(TRUE,INDEX(T!$E287:$E302&gt;=G29,0),)),IF(AND(G51="4G2",G53=6,G59="750V"),INDEX(T!$F287:$F302,MATCH(TRUE,INDEX(T!$F287:$F302&gt;=G29,0),)),IF(AND(G51="4G2",G53=7,G59="750V"),INDEX(T!$G287:$G302,MATCH(TRUE,INDEX(T!$G287:$G302&gt;=G29,0),)),IF(AND(G51="4G2",G53=8,G59="750V"),INDEX(T!$H287:$H302,MATCH(TRUE,INDEX(T!$H287:$H302&gt;=G29,0),)),IF(AND(G51="4G2",G53=9,G59="750V"),INDEX(T!$I287:$I302,MATCH(TRUE,INDEX(T!$I287:$I302&gt;=G29,0),)))))))))))))))))))))))))))))))))),""))</f>
        <v/>
      </c>
      <c r="H76" s="152" t="str" cm="1">
        <f t="array" aca="1" ref="H76" ca="1">IF(H27="","",IF(OR(H51="4G1",H51="4G2"),IF(AND(H51="4G1",H53=2,H59="500V"),INDEX(T!$B255:$B258,MATCH(TRUE,INDEX(T!$B255:$B258&gt;=H29,0),)),IF(AND(H51="4G1",H53=3,H59="500V"),INDEX(T!$C$255:$C258,MATCH(TRUE,INDEX(T!$C$255:$C258&gt;=H29,0),)),IF(AND(H51="4G1",H53=4,H59="500V"),INDEX(T!$D255:$D258,MATCH(TRUE,INDEX(T!$D255:$D258&gt;=H29,0),)),IF(AND(H51="4G1",H53=5,H59="500V"),INDEX(T!$E255:$E258,MATCH(TRUE,INDEX(T!$E255:$E258&gt;=H29,0),)),IF(AND(H51="4G1",H53=6,H59="500V"),INDEX(T!$F255:$F258,MATCH(TRUE,INDEX(T!$F255:$F258&gt;=H29,0),)),IF(AND(H51="4G1",H53=7,H59="500V"),INDEX(T!$G255:$G258,MATCH(TRUE,INDEX(T!$G255:$G258&gt;=H29,0),)),IF(AND(H51="4G1",H53=8,H59="500V"),INDEX(T!$H255:$H258,MATCH(TRUE,INDEX(T!$H255:$H258&gt;=H29,0),)),IF(AND(H51="4G1",H53=9,H59="500V"),INDEX(T!$I255:$I258,MATCH(TRUE,INDEX(T!$I255:$I258&gt;=H29,0),)),IF(AND(H51="4G1",H53=2,H59="750V"),INDEX(T!$B260:$B275,MATCH(TRUE,INDEX(T!$B260:$B275&gt;=H29,0),)),IF(AND(H51="4G1",H53=3,H59="750V"),INDEX(T!$C$260:$C275,MATCH(TRUE,INDEX(T!$C$260:$C275&gt;=H29,0),)),IF(AND(H51="4G1",H53=4,H59="750V"),INDEX(T!$D260:$D275,MATCH(TRUE,INDEX(T!$D260:$D275&gt;=H29,0),)),IF(AND(H51="4G1",H53=5,H59="750V"),INDEX(T!$E260:$E275,MATCH(TRUE,INDEX(T!$E260:$E275&gt;=H29,0),)),IF(AND(H51="4G1",H53=6,H59="750V"),INDEX(T!$F260:$F275,MATCH(TRUE,INDEX(T!$F260:$F275&gt;=H29,0),)),IF(AND(H51="4G1",H53=7,H59="750V"),INDEX(T!$G260:$G275,MATCH(TRUE,INDEX(T!$G260:$G275&gt;=H29,0),)),IF(AND(H51="4G1",H53=8,H59="750V"),INDEX(T!$H260:$H275,MATCH(TRUE,INDEX(T!$H260:$H275&gt;=H29,0),)),IF(AND(H51="4G1",H53=9,H59="750V"),INDEX(T!$I260:$I275,MATCH(TRUE,INDEX(T!$I260:$I275&gt;=H29,0),)),IF(AND(H51="4G2",H53=2,H59="500V"),INDEX(T!$B282:$B285,MATCH(TRUE,INDEX(T!$B282:$B285&gt;=H29,0),)),IF(AND(H51="4G2",H53=3,H59="500V"),INDEX(T!$C$282:$C285,MATCH(TRUE,INDEX(T!$C$282:$C285&gt;=H29,0),)),IF(AND(H51="4G2",H53=4,H59="500V"),INDEX(T!$D282:$D285,MATCH(TRUE,INDEX(T!$D282:$D285&gt;=H29,0),)),IF(AND(H51="4G2",H53=5,H59="500V"),INDEX(T!$E282:$E285,MATCH(TRUE,INDEX(T!$E282:$E285&gt;=H29,0),)),IF(AND(H51="4G2",H53=6,H59="500V"),INDEX(T!$F282:$F285,MATCH(TRUE,INDEX(T!$F282:$F285&gt;=H29,0),)),IF(AND(H51="4G2",H53=7,H59="500V"),INDEX(T!$G282:$G285,MATCH(TRUE,INDEX(T!$G282:$G285&gt;=H29,0),)),IF(AND(H51="4G2",H53=8,H59="500V"),INDEX(T!$H282:$H285,MATCH(TRUE,INDEX(T!$H282:$H285&gt;=H29,0),)),IF(AND(H51="4G2",H53=9,H59="500V"),INDEX(T!$I282:$I285,MATCH(TRUE,INDEX(T!$I282:$I285&gt;=H29,0),)),IF(AND(H51="4G2",H53=2,H59="750V"),INDEX(T!$B287:$B302,MATCH(TRUE,INDEX(T!$B287:$B302&gt;=H29,0),)),IF(AND(H51="4G2",H53=3,H59="750V"),INDEX(T!$C$287:$C302,MATCH(TRUE,INDEX(T!$C$287:$C302&gt;=H29,0),)),IF(AND(H51="4G2",H53=4,H59="750V"),INDEX(T!$D287:$D302,MATCH(TRUE,INDEX(T!$D287:$D302&gt;=H29,0),)),IF(AND(H51="4G2",H53=5,H59="750V"),INDEX(T!$E287:$E302,MATCH(TRUE,INDEX(T!$E287:$E302&gt;=H29,0),)),IF(AND(H51="4G2",H53=6,H59="750V"),INDEX(T!$F287:$F302,MATCH(TRUE,INDEX(T!$F287:$F302&gt;=H29,0),)),IF(AND(H51="4G2",H53=7,H59="750V"),INDEX(T!$G287:$G302,MATCH(TRUE,INDEX(T!$G287:$G302&gt;=H29,0),)),IF(AND(H51="4G2",H53=8,H59="750V"),INDEX(T!$H287:$H302,MATCH(TRUE,INDEX(T!$H287:$H302&gt;=H29,0),)),IF(AND(H51="4G2",H53=9,H59="750V"),INDEX(T!$I287:$I302,MATCH(TRUE,INDEX(T!$I287:$I302&gt;=H29,0),)))))))))))))))))))))))))))))))))),""))</f>
        <v/>
      </c>
      <c r="I76" s="152" t="str" cm="1">
        <f t="array" ref="I76">IF(I27="","",IF(OR(I51="4G1",I51="4G2"),IF(AND(I51="4G1",I53=2,I59="500V"),INDEX(T!$B255:$B258,MATCH(TRUE,INDEX(T!$B255:$B258&gt;=I29,0),)),IF(AND(I51="4G1",I53=3,I59="500V"),INDEX(T!$C$255:$C258,MATCH(TRUE,INDEX(T!$C$255:$C258&gt;=I29,0),)),IF(AND(I51="4G1",I53=4,I59="500V"),INDEX(T!$D255:$D258,MATCH(TRUE,INDEX(T!$D255:$D258&gt;=I29,0),)),IF(AND(I51="4G1",I53=5,I59="500V"),INDEX(T!$E255:$E258,MATCH(TRUE,INDEX(T!$E255:$E258&gt;=I29,0),)),IF(AND(I51="4G1",I53=6,I59="500V"),INDEX(T!$F255:$F258,MATCH(TRUE,INDEX(T!$F255:$F258&gt;=I29,0),)),IF(AND(I51="4G1",I53=7,I59="500V"),INDEX(T!$G255:$G258,MATCH(TRUE,INDEX(T!$G255:$G258&gt;=I29,0),)),IF(AND(I51="4G1",I53=8,I59="500V"),INDEX(T!$H255:$H258,MATCH(TRUE,INDEX(T!$H255:$H258&gt;=I29,0),)),IF(AND(I51="4G1",I53=9,I59="500V"),INDEX(T!$I255:$I258,MATCH(TRUE,INDEX(T!$I255:$I258&gt;=I29,0),)),IF(AND(I51="4G1",I53=2,I59="750V"),INDEX(T!$B260:$B275,MATCH(TRUE,INDEX(T!$B260:$B275&gt;=I29,0),)),IF(AND(I51="4G1",I53=3,I59="750V"),INDEX(T!$C$260:$C275,MATCH(TRUE,INDEX(T!$C$260:$C275&gt;=I29,0),)),IF(AND(I51="4G1",I53=4,I59="750V"),INDEX(T!$D260:$D275,MATCH(TRUE,INDEX(T!$D260:$D275&gt;=I29,0),)),IF(AND(I51="4G1",I53=5,I59="750V"),INDEX(T!$E260:$E275,MATCH(TRUE,INDEX(T!$E260:$E275&gt;=I29,0),)),IF(AND(I51="4G1",I53=6,I59="750V"),INDEX(T!$F260:$F275,MATCH(TRUE,INDEX(T!$F260:$F275&gt;=I29,0),)),IF(AND(I51="4G1",I53=7,I59="750V"),INDEX(T!$G260:$G275,MATCH(TRUE,INDEX(T!$G260:$G275&gt;=I29,0),)),IF(AND(I51="4G1",I53=8,I59="750V"),INDEX(T!$H260:$H275,MATCH(TRUE,INDEX(T!$H260:$H275&gt;=I29,0),)),IF(AND(I51="4G1",I53=9,I59="750V"),INDEX(T!$I260:$I275,MATCH(TRUE,INDEX(T!$I260:$I275&gt;=I29,0),)),IF(AND(I51="4G2",I53=2,I59="500V"),INDEX(T!$B282:$B285,MATCH(TRUE,INDEX(T!$B282:$B285&gt;=I29,0),)),IF(AND(I51="4G2",I53=3,I59="500V"),INDEX(T!$C$282:$C285,MATCH(TRUE,INDEX(T!$C$282:$C285&gt;=I29,0),)),IF(AND(I51="4G2",I53=4,I59="500V"),INDEX(T!$D282:$D285,MATCH(TRUE,INDEX(T!$D282:$D285&gt;=I29,0),)),IF(AND(I51="4G2",I53=5,I59="500V"),INDEX(T!$E282:$E285,MATCH(TRUE,INDEX(T!$E282:$E285&gt;=I29,0),)),IF(AND(I51="4G2",I53=6,I59="500V"),INDEX(T!$F282:$F285,MATCH(TRUE,INDEX(T!$F282:$F285&gt;=I29,0),)),IF(AND(I51="4G2",I53=7,I59="500V"),INDEX(T!$G282:$G285,MATCH(TRUE,INDEX(T!$G282:$G285&gt;=I29,0),)),IF(AND(I51="4G2",I53=8,I59="500V"),INDEX(T!$H282:$H285,MATCH(TRUE,INDEX(T!$H282:$H285&gt;=I29,0),)),IF(AND(I51="4G2",I53=9,I59="500V"),INDEX(T!$I282:$I285,MATCH(TRUE,INDEX(T!$I282:$I285&gt;=I29,0),)),IF(AND(I51="4G2",I53=2,I59="750V"),INDEX(T!$B287:$B302,MATCH(TRUE,INDEX(T!$B287:$B302&gt;=I29,0),)),IF(AND(I51="4G2",I53=3,I59="750V"),INDEX(T!$C$287:$C302,MATCH(TRUE,INDEX(T!$C$287:$C302&gt;=I29,0),)),IF(AND(I51="4G2",I53=4,I59="750V"),INDEX(T!$D287:$D302,MATCH(TRUE,INDEX(T!$D287:$D302&gt;=I29,0),)),IF(AND(I51="4G2",I53=5,I59="750V"),INDEX(T!$E287:$E302,MATCH(TRUE,INDEX(T!$E287:$E302&gt;=I29,0),)),IF(AND(I51="4G2",I53=6,I59="750V"),INDEX(T!$F287:$F302,MATCH(TRUE,INDEX(T!$F287:$F302&gt;=I29,0),)),IF(AND(I51="4G2",I53=7,I59="750V"),INDEX(T!$G287:$G302,MATCH(TRUE,INDEX(T!$G287:$G302&gt;=I29,0),)),IF(AND(I51="4G2",I53=8,I59="750V"),INDEX(T!$H287:$H302,MATCH(TRUE,INDEX(T!$H287:$H302&gt;=I29,0),)),IF(AND(I51="4G2",I53=9,I59="750V"),INDEX(T!$I287:$I302,MATCH(TRUE,INDEX(T!$I287:$I302&gt;=I29,0),)))))))))))))))))))))))))))))))))),""))</f>
        <v/>
      </c>
      <c r="J76" s="152" t="str" cm="1">
        <f t="array" ref="J76">IF(J27="","",IF(OR(J51="4G1",J51="4G2"),IF(AND(J51="4G1",J53=2,J59="500V"),INDEX(T!$B255:$B258,MATCH(TRUE,INDEX(T!$B255:$B258&gt;=J29,0),)),IF(AND(J51="4G1",J53=3,J59="500V"),INDEX(T!$C$255:$C258,MATCH(TRUE,INDEX(T!$C$255:$C258&gt;=J29,0),)),IF(AND(J51="4G1",J53=4,J59="500V"),INDEX(T!$D255:$D258,MATCH(TRUE,INDEX(T!$D255:$D258&gt;=J29,0),)),IF(AND(J51="4G1",J53=5,J59="500V"),INDEX(T!$E255:$E258,MATCH(TRUE,INDEX(T!$E255:$E258&gt;=J29,0),)),IF(AND(J51="4G1",J53=6,J59="500V"),INDEX(T!$F255:$F258,MATCH(TRUE,INDEX(T!$F255:$F258&gt;=J29,0),)),IF(AND(J51="4G1",J53=7,J59="500V"),INDEX(T!$G255:$G258,MATCH(TRUE,INDEX(T!$G255:$G258&gt;=J29,0),)),IF(AND(J51="4G1",J53=8,J59="500V"),INDEX(T!$H255:$H258,MATCH(TRUE,INDEX(T!$H255:$H258&gt;=J29,0),)),IF(AND(J51="4G1",J53=9,J59="500V"),INDEX(T!$I255:$I258,MATCH(TRUE,INDEX(T!$I255:$I258&gt;=J29,0),)),IF(AND(J51="4G1",J53=2,J59="750V"),INDEX(T!$B260:$B275,MATCH(TRUE,INDEX(T!$B260:$B275&gt;=J29,0),)),IF(AND(J51="4G1",J53=3,J59="750V"),INDEX(T!$C$260:$C275,MATCH(TRUE,INDEX(T!$C$260:$C275&gt;=J29,0),)),IF(AND(J51="4G1",J53=4,J59="750V"),INDEX(T!$D260:$D275,MATCH(TRUE,INDEX(T!$D260:$D275&gt;=J29,0),)),IF(AND(J51="4G1",J53=5,J59="750V"),INDEX(T!$E260:$E275,MATCH(TRUE,INDEX(T!$E260:$E275&gt;=J29,0),)),IF(AND(J51="4G1",J53=6,J59="750V"),INDEX(T!$F260:$F275,MATCH(TRUE,INDEX(T!$F260:$F275&gt;=J29,0),)),IF(AND(J51="4G1",J53=7,J59="750V"),INDEX(T!$G260:$G275,MATCH(TRUE,INDEX(T!$G260:$G275&gt;=J29,0),)),IF(AND(J51="4G1",J53=8,J59="750V"),INDEX(T!$H260:$H275,MATCH(TRUE,INDEX(T!$H260:$H275&gt;=J29,0),)),IF(AND(J51="4G1",J53=9,J59="750V"),INDEX(T!$I260:$I275,MATCH(TRUE,INDEX(T!$I260:$I275&gt;=J29,0),)),IF(AND(J51="4G2",J53=2,J59="500V"),INDEX(T!$B282:$B285,MATCH(TRUE,INDEX(T!$B282:$B285&gt;=J29,0),)),IF(AND(J51="4G2",J53=3,J59="500V"),INDEX(T!$C$282:$C285,MATCH(TRUE,INDEX(T!$C$282:$C285&gt;=J29,0),)),IF(AND(J51="4G2",J53=4,J59="500V"),INDEX(T!$D282:$D285,MATCH(TRUE,INDEX(T!$D282:$D285&gt;=J29,0),)),IF(AND(J51="4G2",J53=5,J59="500V"),INDEX(T!$E282:$E285,MATCH(TRUE,INDEX(T!$E282:$E285&gt;=J29,0),)),IF(AND(J51="4G2",J53=6,J59="500V"),INDEX(T!$F282:$F285,MATCH(TRUE,INDEX(T!$F282:$F285&gt;=J29,0),)),IF(AND(J51="4G2",J53=7,J59="500V"),INDEX(T!$G282:$G285,MATCH(TRUE,INDEX(T!$G282:$G285&gt;=J29,0),)),IF(AND(J51="4G2",J53=8,J59="500V"),INDEX(T!$H282:$H285,MATCH(TRUE,INDEX(T!$H282:$H285&gt;=J29,0),)),IF(AND(J51="4G2",J53=9,J59="500V"),INDEX(T!$I282:$I285,MATCH(TRUE,INDEX(T!$I282:$I285&gt;=J29,0),)),IF(AND(J51="4G2",J53=2,J59="750V"),INDEX(T!$B287:$B302,MATCH(TRUE,INDEX(T!$B287:$B302&gt;=J29,0),)),IF(AND(J51="4G2",J53=3,J59="750V"),INDEX(T!$C$287:$C302,MATCH(TRUE,INDEX(T!$C$287:$C302&gt;=J29,0),)),IF(AND(J51="4G2",J53=4,J59="750V"),INDEX(T!$D287:$D302,MATCH(TRUE,INDEX(T!$D287:$D302&gt;=J29,0),)),IF(AND(J51="4G2",J53=5,J59="750V"),INDEX(T!$E287:$E302,MATCH(TRUE,INDEX(T!$E287:$E302&gt;=J29,0),)),IF(AND(J51="4G2",J53=6,J59="750V"),INDEX(T!$F287:$F302,MATCH(TRUE,INDEX(T!$F287:$F302&gt;=J29,0),)),IF(AND(J51="4G2",J53=7,J59="750V"),INDEX(T!$G287:$G302,MATCH(TRUE,INDEX(T!$G287:$G302&gt;=J29,0),)),IF(AND(J51="4G2",J53=8,J59="750V"),INDEX(T!$H287:$H302,MATCH(TRUE,INDEX(T!$H287:$H302&gt;=J29,0),)),IF(AND(J51="4G2",J53=9,J59="750V"),INDEX(T!$I287:$I302,MATCH(TRUE,INDEX(T!$I287:$I302&gt;=J29,0),)))))))))))))))))))))))))))))))))),""))</f>
        <v/>
      </c>
      <c r="K76" s="152" t="str" cm="1">
        <f t="array" ref="K76">IF(K27="","",IF(OR(K51="4G1",K51="4G2"),IF(AND(K51="4G1",K53=2,K59="500V"),INDEX(T!$B255:$B258,MATCH(TRUE,INDEX(T!$B255:$B258&gt;=K29,0),)),IF(AND(K51="4G1",K53=3,K59="500V"),INDEX(T!$C$255:$C258,MATCH(TRUE,INDEX(T!$C$255:$C258&gt;=K29,0),)),IF(AND(K51="4G1",K53=4,K59="500V"),INDEX(T!$D255:$D258,MATCH(TRUE,INDEX(T!$D255:$D258&gt;=K29,0),)),IF(AND(K51="4G1",K53=5,K59="500V"),INDEX(T!$E255:$E258,MATCH(TRUE,INDEX(T!$E255:$E258&gt;=K29,0),)),IF(AND(K51="4G1",K53=6,K59="500V"),INDEX(T!$F255:$F258,MATCH(TRUE,INDEX(T!$F255:$F258&gt;=K29,0),)),IF(AND(K51="4G1",K53=7,K59="500V"),INDEX(T!$G255:$G258,MATCH(TRUE,INDEX(T!$G255:$G258&gt;=K29,0),)),IF(AND(K51="4G1",K53=8,K59="500V"),INDEX(T!$H255:$H258,MATCH(TRUE,INDEX(T!$H255:$H258&gt;=K29,0),)),IF(AND(K51="4G1",K53=9,K59="500V"),INDEX(T!$I255:$I258,MATCH(TRUE,INDEX(T!$I255:$I258&gt;=K29,0),)),IF(AND(K51="4G1",K53=2,K59="750V"),INDEX(T!$B260:$B275,MATCH(TRUE,INDEX(T!$B260:$B275&gt;=K29,0),)),IF(AND(K51="4G1",K53=3,K59="750V"),INDEX(T!$C$260:$C275,MATCH(TRUE,INDEX(T!$C$260:$C275&gt;=K29,0),)),IF(AND(K51="4G1",K53=4,K59="750V"),INDEX(T!$D260:$D275,MATCH(TRUE,INDEX(T!$D260:$D275&gt;=K29,0),)),IF(AND(K51="4G1",K53=5,K59="750V"),INDEX(T!$E260:$E275,MATCH(TRUE,INDEX(T!$E260:$E275&gt;=K29,0),)),IF(AND(K51="4G1",K53=6,K59="750V"),INDEX(T!$F260:$F275,MATCH(TRUE,INDEX(T!$F260:$F275&gt;=K29,0),)),IF(AND(K51="4G1",K53=7,K59="750V"),INDEX(T!$G260:$G275,MATCH(TRUE,INDEX(T!$G260:$G275&gt;=K29,0),)),IF(AND(K51="4G1",K53=8,K59="750V"),INDEX(T!$H260:$H275,MATCH(TRUE,INDEX(T!$H260:$H275&gt;=K29,0),)),IF(AND(K51="4G1",K53=9,K59="750V"),INDEX(T!$I260:$I275,MATCH(TRUE,INDEX(T!$I260:$I275&gt;=K29,0),)),IF(AND(K51="4G2",K53=2,K59="500V"),INDEX(T!$B282:$B285,MATCH(TRUE,INDEX(T!$B282:$B285&gt;=K29,0),)),IF(AND(K51="4G2",K53=3,K59="500V"),INDEX(T!$C$282:$C285,MATCH(TRUE,INDEX(T!$C$282:$C285&gt;=K29,0),)),IF(AND(K51="4G2",K53=4,K59="500V"),INDEX(T!$D282:$D285,MATCH(TRUE,INDEX(T!$D282:$D285&gt;=K29,0),)),IF(AND(K51="4G2",K53=5,K59="500V"),INDEX(T!$E282:$E285,MATCH(TRUE,INDEX(T!$E282:$E285&gt;=K29,0),)),IF(AND(K51="4G2",K53=6,K59="500V"),INDEX(T!$F282:$F285,MATCH(TRUE,INDEX(T!$F282:$F285&gt;=K29,0),)),IF(AND(K51="4G2",K53=7,K59="500V"),INDEX(T!$G282:$G285,MATCH(TRUE,INDEX(T!$G282:$G285&gt;=K29,0),)),IF(AND(K51="4G2",K53=8,K59="500V"),INDEX(T!$H282:$H285,MATCH(TRUE,INDEX(T!$H282:$H285&gt;=K29,0),)),IF(AND(K51="4G2",K53=9,K59="500V"),INDEX(T!$I282:$I285,MATCH(TRUE,INDEX(T!$I282:$I285&gt;=K29,0),)),IF(AND(K51="4G2",K53=2,K59="750V"),INDEX(T!$B287:$B302,MATCH(TRUE,INDEX(T!$B287:$B302&gt;=K29,0),)),IF(AND(K51="4G2",K53=3,K59="750V"),INDEX(T!$C$287:$C302,MATCH(TRUE,INDEX(T!$C$287:$C302&gt;=K29,0),)),IF(AND(K51="4G2",K53=4,K59="750V"),INDEX(T!$D287:$D302,MATCH(TRUE,INDEX(T!$D287:$D302&gt;=K29,0),)),IF(AND(K51="4G2",K53=5,K59="750V"),INDEX(T!$E287:$E302,MATCH(TRUE,INDEX(T!$E287:$E302&gt;=K29,0),)),IF(AND(K51="4G2",K53=6,K59="750V"),INDEX(T!$F287:$F302,MATCH(TRUE,INDEX(T!$F287:$F302&gt;=K29,0),)),IF(AND(K51="4G2",K53=7,K59="750V"),INDEX(T!$G287:$G302,MATCH(TRUE,INDEX(T!$G287:$G302&gt;=K29,0),)),IF(AND(K51="4G2",K53=8,K59="750V"),INDEX(T!$H287:$H302,MATCH(TRUE,INDEX(T!$H287:$H302&gt;=K29,0),)),IF(AND(K51="4G2",K53=9,K59="750V"),INDEX(T!$I287:$I302,MATCH(TRUE,INDEX(T!$I287:$I302&gt;=K29,0),)))))))))))))))))))))))))))))))))),""))</f>
        <v/>
      </c>
      <c r="L76" s="152" t="str" cm="1">
        <f t="array" ref="L76">IF(L27="","",IF(OR(L51="4G1",L51="4G2"),IF(AND(L51="4G1",L53=2,L59="500V"),INDEX(T!$B255:$B258,MATCH(TRUE,INDEX(T!$B255:$B258&gt;=L29,0),)),IF(AND(L51="4G1",L53=3,L59="500V"),INDEX(T!$C$255:$C258,MATCH(TRUE,INDEX(T!$C$255:$C258&gt;=L29,0),)),IF(AND(L51="4G1",L53=4,L59="500V"),INDEX(T!$D255:$D258,MATCH(TRUE,INDEX(T!$D255:$D258&gt;=L29,0),)),IF(AND(L51="4G1",L53=5,L59="500V"),INDEX(T!$E255:$E258,MATCH(TRUE,INDEX(T!$E255:$E258&gt;=L29,0),)),IF(AND(L51="4G1",L53=6,L59="500V"),INDEX(T!$F255:$F258,MATCH(TRUE,INDEX(T!$F255:$F258&gt;=L29,0),)),IF(AND(L51="4G1",L53=7,L59="500V"),INDEX(T!$G255:$G258,MATCH(TRUE,INDEX(T!$G255:$G258&gt;=L29,0),)),IF(AND(L51="4G1",L53=8,L59="500V"),INDEX(T!$H255:$H258,MATCH(TRUE,INDEX(T!$H255:$H258&gt;=L29,0),)),IF(AND(L51="4G1",L53=9,L59="500V"),INDEX(T!$I255:$I258,MATCH(TRUE,INDEX(T!$I255:$I258&gt;=L29,0),)),IF(AND(L51="4G1",L53=2,L59="750V"),INDEX(T!$B260:$B275,MATCH(TRUE,INDEX(T!$B260:$B275&gt;=L29,0),)),IF(AND(L51="4G1",L53=3,L59="750V"),INDEX(T!$C$260:$C275,MATCH(TRUE,INDEX(T!$C$260:$C275&gt;=L29,0),)),IF(AND(L51="4G1",L53=4,L59="750V"),INDEX(T!$D260:$D275,MATCH(TRUE,INDEX(T!$D260:$D275&gt;=L29,0),)),IF(AND(L51="4G1",L53=5,L59="750V"),INDEX(T!$E260:$E275,MATCH(TRUE,INDEX(T!$E260:$E275&gt;=L29,0),)),IF(AND(L51="4G1",L53=6,L59="750V"),INDEX(T!$F260:$F275,MATCH(TRUE,INDEX(T!$F260:$F275&gt;=L29,0),)),IF(AND(L51="4G1",L53=7,L59="750V"),INDEX(T!$G260:$G275,MATCH(TRUE,INDEX(T!$G260:$G275&gt;=L29,0),)),IF(AND(L51="4G1",L53=8,L59="750V"),INDEX(T!$H260:$H275,MATCH(TRUE,INDEX(T!$H260:$H275&gt;=L29,0),)),IF(AND(L51="4G1",L53=9,L59="750V"),INDEX(T!$I260:$I275,MATCH(TRUE,INDEX(T!$I260:$I275&gt;=L29,0),)),IF(AND(L51="4G2",L53=2,L59="500V"),INDEX(T!$B282:$B285,MATCH(TRUE,INDEX(T!$B282:$B285&gt;=L29,0),)),IF(AND(L51="4G2",L53=3,L59="500V"),INDEX(T!$C$282:$C285,MATCH(TRUE,INDEX(T!$C$282:$C285&gt;=L29,0),)),IF(AND(L51="4G2",L53=4,L59="500V"),INDEX(T!$D282:$D285,MATCH(TRUE,INDEX(T!$D282:$D285&gt;=L29,0),)),IF(AND(L51="4G2",L53=5,L59="500V"),INDEX(T!$E282:$E285,MATCH(TRUE,INDEX(T!$E282:$E285&gt;=L29,0),)),IF(AND(L51="4G2",L53=6,L59="500V"),INDEX(T!$F282:$F285,MATCH(TRUE,INDEX(T!$F282:$F285&gt;=L29,0),)),IF(AND(L51="4G2",L53=7,L59="500V"),INDEX(T!$G282:$G285,MATCH(TRUE,INDEX(T!$G282:$G285&gt;=L29,0),)),IF(AND(L51="4G2",L53=8,L59="500V"),INDEX(T!$H282:$H285,MATCH(TRUE,INDEX(T!$H282:$H285&gt;=L29,0),)),IF(AND(L51="4G2",L53=9,L59="500V"),INDEX(T!$I282:$I285,MATCH(TRUE,INDEX(T!$I282:$I285&gt;=L29,0),)),IF(AND(L51="4G2",L53=2,L59="750V"),INDEX(T!$B287:$B302,MATCH(TRUE,INDEX(T!$B287:$B302&gt;=L29,0),)),IF(AND(L51="4G2",L53=3,L59="750V"),INDEX(T!$C$287:$C302,MATCH(TRUE,INDEX(T!$C$287:$C302&gt;=L29,0),)),IF(AND(L51="4G2",L53=4,L59="750V"),INDEX(T!$D287:$D302,MATCH(TRUE,INDEX(T!$D287:$D302&gt;=L29,0),)),IF(AND(L51="4G2",L53=5,L59="750V"),INDEX(T!$E287:$E302,MATCH(TRUE,INDEX(T!$E287:$E302&gt;=L29,0),)),IF(AND(L51="4G2",L53=6,L59="750V"),INDEX(T!$F287:$F302,MATCH(TRUE,INDEX(T!$F287:$F302&gt;=L29,0),)),IF(AND(L51="4G2",L53=7,L59="750V"),INDEX(T!$G287:$G302,MATCH(TRUE,INDEX(T!$G287:$G302&gt;=L29,0),)),IF(AND(L51="4G2",L53=8,L59="750V"),INDEX(T!$H287:$H302,MATCH(TRUE,INDEX(T!$H287:$H302&gt;=L29,0),)),IF(AND(L51="4G2",L53=9,L59="750V"),INDEX(T!$I287:$I302,MATCH(TRUE,INDEX(T!$I287:$I302&gt;=L29,0),)))))))))))))))))))))))))))))))))),""))</f>
        <v/>
      </c>
      <c r="M76" s="152" t="str" cm="1">
        <f t="array" ref="M76">IF(M27="","",IF(OR(M51="4G1",M51="4G2"),IF(AND(M51="4G1",M53=2,M59="500V"),INDEX(T!$B255:$B258,MATCH(TRUE,INDEX(T!$B255:$B258&gt;=M29,0),)),IF(AND(M51="4G1",M53=3,M59="500V"),INDEX(T!$C$255:$C258,MATCH(TRUE,INDEX(T!$C$255:$C258&gt;=M29,0),)),IF(AND(M51="4G1",M53=4,M59="500V"),INDEX(T!$D255:$D258,MATCH(TRUE,INDEX(T!$D255:$D258&gt;=M29,0),)),IF(AND(M51="4G1",M53=5,M59="500V"),INDEX(T!$E255:$E258,MATCH(TRUE,INDEX(T!$E255:$E258&gt;=M29,0),)),IF(AND(M51="4G1",M53=6,M59="500V"),INDEX(T!$F255:$F258,MATCH(TRUE,INDEX(T!$F255:$F258&gt;=M29,0),)),IF(AND(M51="4G1",M53=7,M59="500V"),INDEX(T!$G255:$G258,MATCH(TRUE,INDEX(T!$G255:$G258&gt;=M29,0),)),IF(AND(M51="4G1",M53=8,M59="500V"),INDEX(T!$H255:$H258,MATCH(TRUE,INDEX(T!$H255:$H258&gt;=M29,0),)),IF(AND(M51="4G1",M53=9,M59="500V"),INDEX(T!$I255:$I258,MATCH(TRUE,INDEX(T!$I255:$I258&gt;=M29,0),)),IF(AND(M51="4G1",M53=2,M59="750V"),INDEX(T!$B260:$B275,MATCH(TRUE,INDEX(T!$B260:$B275&gt;=M29,0),)),IF(AND(M51="4G1",M53=3,M59="750V"),INDEX(T!$C$260:$C275,MATCH(TRUE,INDEX(T!$C$260:$C275&gt;=M29,0),)),IF(AND(M51="4G1",M53=4,M59="750V"),INDEX(T!$D260:$D275,MATCH(TRUE,INDEX(T!$D260:$D275&gt;=M29,0),)),IF(AND(M51="4G1",M53=5,M59="750V"),INDEX(T!$E260:$E275,MATCH(TRUE,INDEX(T!$E260:$E275&gt;=M29,0),)),IF(AND(M51="4G1",M53=6,M59="750V"),INDEX(T!$F260:$F275,MATCH(TRUE,INDEX(T!$F260:$F275&gt;=M29,0),)),IF(AND(M51="4G1",M53=7,M59="750V"),INDEX(T!$G260:$G275,MATCH(TRUE,INDEX(T!$G260:$G275&gt;=M29,0),)),IF(AND(M51="4G1",M53=8,M59="750V"),INDEX(T!$H260:$H275,MATCH(TRUE,INDEX(T!$H260:$H275&gt;=M29,0),)),IF(AND(M51="4G1",M53=9,M59="750V"),INDEX(T!$I260:$I275,MATCH(TRUE,INDEX(T!$I260:$I275&gt;=M29,0),)),IF(AND(M51="4G2",M53=2,M59="500V"),INDEX(T!$B282:$B285,MATCH(TRUE,INDEX(T!$B282:$B285&gt;=M29,0),)),IF(AND(M51="4G2",M53=3,M59="500V"),INDEX(T!$C$282:$C285,MATCH(TRUE,INDEX(T!$C$282:$C285&gt;=M29,0),)),IF(AND(M51="4G2",M53=4,M59="500V"),INDEX(T!$D282:$D285,MATCH(TRUE,INDEX(T!$D282:$D285&gt;=M29,0),)),IF(AND(M51="4G2",M53=5,M59="500V"),INDEX(T!$E282:$E285,MATCH(TRUE,INDEX(T!$E282:$E285&gt;=M29,0),)),IF(AND(M51="4G2",M53=6,M59="500V"),INDEX(T!$F282:$F285,MATCH(TRUE,INDEX(T!$F282:$F285&gt;=M29,0),)),IF(AND(M51="4G2",M53=7,M59="500V"),INDEX(T!$G282:$G285,MATCH(TRUE,INDEX(T!$G282:$G285&gt;=M29,0),)),IF(AND(M51="4G2",M53=8,M59="500V"),INDEX(T!$H282:$H285,MATCH(TRUE,INDEX(T!$H282:$H285&gt;=M29,0),)),IF(AND(M51="4G2",M53=9,M59="500V"),INDEX(T!$I282:$I285,MATCH(TRUE,INDEX(T!$I282:$I285&gt;=M29,0),)),IF(AND(M51="4G2",M53=2,M59="750V"),INDEX(T!$B287:$B302,MATCH(TRUE,INDEX(T!$B287:$B302&gt;=M29,0),)),IF(AND(M51="4G2",M53=3,M59="750V"),INDEX(T!$C$287:$C302,MATCH(TRUE,INDEX(T!$C$287:$C302&gt;=M29,0),)),IF(AND(M51="4G2",M53=4,M59="750V"),INDEX(T!$D287:$D302,MATCH(TRUE,INDEX(T!$D287:$D302&gt;=M29,0),)),IF(AND(M51="4G2",M53=5,M59="750V"),INDEX(T!$E287:$E302,MATCH(TRUE,INDEX(T!$E287:$E302&gt;=M29,0),)),IF(AND(M51="4G2",M53=6,M59="750V"),INDEX(T!$F287:$F302,MATCH(TRUE,INDEX(T!$F287:$F302&gt;=M29,0),)),IF(AND(M51="4G2",M53=7,M59="750V"),INDEX(T!$G287:$G302,MATCH(TRUE,INDEX(T!$G287:$G302&gt;=M29,0),)),IF(AND(M51="4G2",M53=8,M59="750V"),INDEX(T!$H287:$H302,MATCH(TRUE,INDEX(T!$H287:$H302&gt;=M29,0),)),IF(AND(M51="4G2",M53=9,M59="750V"),INDEX(T!$I287:$I302,MATCH(TRUE,INDEX(T!$I287:$I302&gt;=M29,0),)))))))))))))))))))))))))))))))))),""))</f>
        <v/>
      </c>
      <c r="N76" s="152" t="str" cm="1">
        <f t="array" ref="N76">IF(N27="","",IF(OR(N51="4G1",N51="4G2"),IF(AND(N51="4G1",N53=2,N59="500V"),INDEX(T!$B255:$B258,MATCH(TRUE,INDEX(T!$B255:$B258&gt;=N29,0),)),IF(AND(N51="4G1",N53=3,N59="500V"),INDEX(T!$C$255:$C258,MATCH(TRUE,INDEX(T!$C$255:$C258&gt;=N29,0),)),IF(AND(N51="4G1",N53=4,N59="500V"),INDEX(T!$D255:$D258,MATCH(TRUE,INDEX(T!$D255:$D258&gt;=N29,0),)),IF(AND(N51="4G1",N53=5,N59="500V"),INDEX(T!$E255:$E258,MATCH(TRUE,INDEX(T!$E255:$E258&gt;=N29,0),)),IF(AND(N51="4G1",N53=6,N59="500V"),INDEX(T!$F255:$F258,MATCH(TRUE,INDEX(T!$F255:$F258&gt;=N29,0),)),IF(AND(N51="4G1",N53=7,N59="500V"),INDEX(T!$G255:$G258,MATCH(TRUE,INDEX(T!$G255:$G258&gt;=N29,0),)),IF(AND(N51="4G1",N53=8,N59="500V"),INDEX(T!$H255:$H258,MATCH(TRUE,INDEX(T!$H255:$H258&gt;=N29,0),)),IF(AND(N51="4G1",N53=9,N59="500V"),INDEX(T!$I255:$I258,MATCH(TRUE,INDEX(T!$I255:$I258&gt;=N29,0),)),IF(AND(N51="4G1",N53=2,N59="750V"),INDEX(T!$B260:$B275,MATCH(TRUE,INDEX(T!$B260:$B275&gt;=N29,0),)),IF(AND(N51="4G1",N53=3,N59="750V"),INDEX(T!$C$260:$C275,MATCH(TRUE,INDEX(T!$C$260:$C275&gt;=N29,0),)),IF(AND(N51="4G1",N53=4,N59="750V"),INDEX(T!$D260:$D275,MATCH(TRUE,INDEX(T!$D260:$D275&gt;=N29,0),)),IF(AND(N51="4G1",N53=5,N59="750V"),INDEX(T!$E260:$E275,MATCH(TRUE,INDEX(T!$E260:$E275&gt;=N29,0),)),IF(AND(N51="4G1",N53=6,N59="750V"),INDEX(T!$F260:$F275,MATCH(TRUE,INDEX(T!$F260:$F275&gt;=N29,0),)),IF(AND(N51="4G1",N53=7,N59="750V"),INDEX(T!$G260:$G275,MATCH(TRUE,INDEX(T!$G260:$G275&gt;=N29,0),)),IF(AND(N51="4G1",N53=8,N59="750V"),INDEX(T!$H260:$H275,MATCH(TRUE,INDEX(T!$H260:$H275&gt;=N29,0),)),IF(AND(N51="4G1",N53=9,N59="750V"),INDEX(T!$I260:$I275,MATCH(TRUE,INDEX(T!$I260:$I275&gt;=N29,0),)),IF(AND(N51="4G2",N53=2,N59="500V"),INDEX(T!$B282:$B285,MATCH(TRUE,INDEX(T!$B282:$B285&gt;=N29,0),)),IF(AND(N51="4G2",N53=3,N59="500V"),INDEX(T!$C$282:$C285,MATCH(TRUE,INDEX(T!$C$282:$C285&gt;=N29,0),)),IF(AND(N51="4G2",N53=4,N59="500V"),INDEX(T!$D282:$D285,MATCH(TRUE,INDEX(T!$D282:$D285&gt;=N29,0),)),IF(AND(N51="4G2",N53=5,N59="500V"),INDEX(T!$E282:$E285,MATCH(TRUE,INDEX(T!$E282:$E285&gt;=N29,0),)),IF(AND(N51="4G2",N53=6,N59="500V"),INDEX(T!$F282:$F285,MATCH(TRUE,INDEX(T!$F282:$F285&gt;=N29,0),)),IF(AND(N51="4G2",N53=7,N59="500V"),INDEX(T!$G282:$G285,MATCH(TRUE,INDEX(T!$G282:$G285&gt;=N29,0),)),IF(AND(N51="4G2",N53=8,N59="500V"),INDEX(T!$H282:$H285,MATCH(TRUE,INDEX(T!$H282:$H285&gt;=N29,0),)),IF(AND(N51="4G2",N53=9,N59="500V"),INDEX(T!$I282:$I285,MATCH(TRUE,INDEX(T!$I282:$I285&gt;=N29,0),)),IF(AND(N51="4G2",N53=2,N59="750V"),INDEX(T!$B287:$B302,MATCH(TRUE,INDEX(T!$B287:$B302&gt;=N29,0),)),IF(AND(N51="4G2",N53=3,N59="750V"),INDEX(T!$C$287:$C302,MATCH(TRUE,INDEX(T!$C$287:$C302&gt;=N29,0),)),IF(AND(N51="4G2",N53=4,N59="750V"),INDEX(T!$D287:$D302,MATCH(TRUE,INDEX(T!$D287:$D302&gt;=N29,0),)),IF(AND(N51="4G2",N53=5,N59="750V"),INDEX(T!$E287:$E302,MATCH(TRUE,INDEX(T!$E287:$E302&gt;=N29,0),)),IF(AND(N51="4G2",N53=6,N59="750V"),INDEX(T!$F287:$F302,MATCH(TRUE,INDEX(T!$F287:$F302&gt;=N29,0),)),IF(AND(N51="4G2",N53=7,N59="750V"),INDEX(T!$G287:$G302,MATCH(TRUE,INDEX(T!$G287:$G302&gt;=N29,0),)),IF(AND(N51="4G2",N53=8,N59="750V"),INDEX(T!$H287:$H302,MATCH(TRUE,INDEX(T!$H287:$H302&gt;=N29,0),)),IF(AND(N51="4G2",N53=9,N59="750V"),INDEX(T!$I287:$I302,MATCH(TRUE,INDEX(T!$I287:$I302&gt;=N29,0),)))))))))))))))))))))))))))))))))),""))</f>
        <v/>
      </c>
      <c r="O76" s="143" t="str">
        <f>IF(N76&lt;&gt;"","A","")</f>
        <v/>
      </c>
    </row>
    <row r="77" spans="1:43" s="124" customFormat="1" ht="16">
      <c r="A77" s="393"/>
      <c r="B77" s="396"/>
      <c r="C77" s="136"/>
      <c r="D77" s="136" t="str" cm="1">
        <f t="array" ref="D77">IF(D27="","",IF(OR(D51="4H1",D51="4H2",D51="4H3",D51="4H4"),IF(AND(D51="4H1",D53=2),INDEX(T!$B308:$B315,MATCH(TRUE,INDEX(T!$B308:$B315&gt;=D29,0),)),IF(AND(D51="4H1",D53=3),INDEX(T!$C$308:$C315,MATCH(TRUE,INDEX(T!$C$308:$C315&gt;=D29,0),)),IF(AND(D51="4H1",D53=4),INDEX(T!$D308:$D318,MATCH(TRUE,INDEX(T!$D308:$D318&gt;=D29,0),)),IF(AND(D51="4H1",D53=5),INDEX(T!$E308:$E318,MATCH(TRUE,INDEX(T!$E308:$E318&gt;=D29,0),)),IF(AND(D51="4H1",D53=6),INDEX(T!$F308:$F321,MATCH(TRUE,INDEX(T!$F308:$F321&gt;=D29,0),)),IF(AND(D51="4H1",D53=7),INDEX(T!$G308:$G321,MATCH(TRUE,INDEX(T!$G308:$G321&gt;=D29,0),)),IF(AND(D51="4H1",D53=8),INDEX(T!$H308:$H321,MATCH(TRUE,INDEX(T!$H308:$H321&gt;=D29,0),)),IF(AND(D51="4H1",D53=9),INDEX(T!$I305:$I321,MATCH(TRUE,INDEX(T!$I308:$I321&gt;=D29,0),)),IF(AND(D51="4H1",D53=10),INDEX(T!$J308:$J321,MATCH(TRUE,INDEX(T!$J308:$J321&gt;=D29,0),)),IF(AND(D51="4H1",D53=11),INDEX(T!$K308:$K321,MATCH(TRUE,INDEX(T!$K308:$K321&gt;=D29,0),)),IF(AND(D51="4H1",D53=12),INDEX(T!$L$308:$L321,MATCH(TRUE,INDEX(T!$L$308:$L321&gt;=D29,0),)),IF(AND(D51="4H2",D53=2),INDEX(T!$B327:$B332,MATCH(TRUE,INDEX(T!$B327:$B332&gt;=D29,0),)),IF(AND(D51="4H2",D53=3),INDEX(T!$C$327:$C337,MATCH(TRUE,INDEX(T!$C$327:$C337&gt;=D29,0),)),IF(AND(D51="4H2",D53=4),INDEX(T!$D327:$D332,MATCH(TRUE,INDEX(T!$D327:$D332&gt;=D29,0),)),IF(AND(D51="4H2",D53=5),INDEX(T!$E327:$E337,MATCH(TRUE,INDEX(T!$E327:$E337&gt;=D29,0),)),IF(AND(D51="4H2",D53=6),INDEX(T!$F327:$F332,MATCH(TRUE,INDEX(T!$F327:$F332&gt;=D29,0),)),IF(AND(D51="4H2",D53=7),INDEX(T!$G327:$G337,MATCH(TRUE,INDEX(T!$G327:$G337&gt;=D29,0),)),IF(AND(D51="4H2",D53=8),INDEX(T!$H327:$H332,MATCH(TRUE,INDEX(T!$H327:$H332&gt;=D29,0),)),IF(AND(D51="4H2",D53=9),INDEX(T!$I327:$I337,MATCH(TRUE,INDEX(T!$I327:$I337&gt;=D29,0),)),IF(AND(D51="4H3",D53=2),INDEX(T!$B343:$B356,MATCH(TRUE,INDEX(T!$B343:$B356&gt;=D29,0),)),IF(AND(D51="4H3",D53=3),INDEX(T!$C$343:$C356,MATCH(TRUE,INDEX(T!$C$343:$C356&gt;=D29,0),)),IF(AND(D51="4H3",D53=4),INDEX(T!$D343:$D356,MATCH(TRUE,INDEX(T!$D343:$D356&gt;=D29,0),)),IF(AND(D51="4H3",D53=5),(INDEX(T!$E343:$E356,MATCH(TRUE,INDEX(T!$E343:$E356&gt;=D29,0),)),IF(AND(D51="4H3",D53=6),INDEX(T!$F343:$F356,MATCH(TRUE,INDEX(T!$F343:$F356&gt;=D29,0),)),IF(AND(D51="4H3",D53=7),INDEX(T!$G343:$G356,MATCH(TRUE,INDEX(T!$G343:$G356&gt;=D29,0),)),IF(AND(D51="4H3",D53=8),INDEX(T!$H343:$H356,MATCH(TRUE,INDEX(T!$H343:$H356&gt;=D29,0),)),IF(AND(D51="4H3",D53=9),INDEX(T!$I343:$I356,MATCH(TRUE,INDEX(T!$I343:$I356&gt;=D29,0),)),IF(AND(D51="4H3",D53=10),INDEX(T!$J343:$J356,MATCH(TRUE,INDEX(T!$J343:$J356&gt;=D29,0),)),IF(AND(D51="4H3",D53=11),INDEX(T!$K343:$K356,MATCH(TRUE,INDEX(T!$K343:$K356&gt;=D29,0),)),IF(AND(D51="4H3",D53=12),INDEX(T!$L$343:$L356,MATCH(TRUE,INDEX(T!$L$343:$L356&gt;=D29,0),)),IF(AND(D51="4H4",D53=2),INDEX(T!$B362:$B367,MATCH(TRUE,INDEX(T!$B362:$B367&gt;=D29,0),)),IF(AND(D51="4H4",D53=3),INDEX(T!$C$362:$C372,MATCH(TRUE,INDEX(T!$C$362:$C372&gt;=D29,0),)),IF(AND(D51="4H4",D53=4),INDEX(T!$D362:$D367,MATCH(TRUE,INDEX(T!$D362:$D367&gt;=D29,0),)),IF(AND(D51="4H4",D53=5),INDEX(T!$E362:$E372,MATCH(TRUE,INDEX(T!$E362:$E372&gt;=D29,0),)),IF(AND(D51="4H4",D53=6),INDEX(T!$F363:$F367,MATCH(TRUE,INDEX(T!$F363:$F367&gt;=D29,0),)),IF(AND(D51="4H4",D53=7),INDEX(T!$G363:$G372,MATCH(TRUE,INDEX(T!$G363:$G372&gt;=D29,0),))))))))))))))))))))))))))))))))))))))),IF(OR(D51="4J1",D51="4J2",D51="4J3",D51="4J4"),IF(AND(D51="4J1",D53=2),INDEX(T!$B378:$B385,MATCH(TRUE,INDEX(T!$B378:$B385&gt;=D29,0),)),IF(AND(D51="4J1",D53=3),INDEX(T!$C$378:$C385,MATCH(TRUE,INDEX(T!$C$378:$C385&gt;=D29,0),)),IF(AND(D51="4J1",D53=4),INDEX(T!$D378:$D385,MATCH(TRUE,INDEX(T!$D378:$D385&gt;=D29,0),)),IF(AND(D51="4J1",D53=5),INDEX(T!$E378:$E385,MATCH(TRUE,INDEX(T!$E378:$E385&gt;=D29,0),)),IF(AND(D51="4J1",D53=6),INDEX(T!$F378:$F391,MATCH(TRUE,INDEX(T!$F378:$F391&gt;=D29,0),)),IF(AND(D51="4J1",D53=7),INDEX(T!$G378:$G391,MATCH(TRUE,INDEX(T!$G378:$G391&gt;=D29,0),)),IF(AND(D51="4J1",D53=8),INDEX(T!$H378:$H391,MATCH(TRUE,INDEX(T!$H378:$H391&gt;=D29,0),)),IF(AND(D51="4J1",D53=9),INDEX(T!$I378:$I391,MATCH(TRUE,INDEX(T!$I378:$I391&gt;=D29,0),)),IF(AND(D51="4J1",D53=10),INDEX(T!$J378:$J391,MATCH(TRUE,INDEX(T!$J378:$J391&gt;=D29,0),)),IF(AND(D51="4J1",D53=11),INDEX(T!$K378:$K391,MATCH(TRUE,INDEX(T!$K378:$K391&gt;=D29,0),)),IF(AND(D51="4J1",D53=12),INDEX(T!$L$378:$L391,MATCH(TRUE,INDEX(T!$L$378:$L391&gt;=D29,0),)),IF(AND(D51="4J2",D53=2),INDEX(T!$B397:$B402,MATCH(TRUE,INDEX(T!$B397:$B402&gt;=D29,0),)),IF(AND(D51="4J2",D53=3),INDEX(T!$C$397:$C407,MATCH(TRUE,INDEX(T!$C$397:$C407&gt;=D29,0),)),IF(AND(D51="4J2",D53=4),INDEX(T!$D397:$D$402,MATCH(TRUE,INDEX(T!$D397:$D$402&gt;=D29,0),)),IF(AND(D51="4J2",D53=5),INDEX(T!$E397:$E407,MATCH(TRUE,INDEX(T!$E397:$E407&gt;=D29,0),)),IF(AND(D51="4J2",D53=6),INDEX(T!$F397:$F402,MATCH(TRUE,INDEX(T!$F397:$F402&gt;=D29,0),)),IF(AND(D51="4J2",D53=7),INDEX(T!$G397:$G407,MATCH(TRUE,INDEX(T!$G397:$G407&gt;=D29,0),)),IF(AND(D51="4J2",D53=8),INDEX(T!$H397:$H402,MATCH(TRUE,INDEX(T!$H397:$H402&gt;=D29,0),)),IF(AND(D51="4J2",D53=9),INDEX(T!$I397:$I407,MATCH(TRUE,INDEX(T!$I397:$I407&gt;=D29,0),)),IF(AND(D51="4J3",D53=2),INDEX(T!$B413:$B426,MATCH(TRUE,INDEX(T!$B413:$B426&gt;=D29,0),)),IF(AND(D51="4J3",D53=3),INDEX(T!$C$413:$C426,MATCH(TRUE,INDEX(T!$C$413:$C426&gt;=D29,0),)),IF(AND(D51="4J3",D53=4),INDEX(T!$D413:$D426,MATCH(TRUE,INDEX(T!$D413:$D426&gt;=D29,0),)),IF(AND(D51="4J3",D53=5),INDEX(T!$E413:$E426,MATCH(TRUE,INDEX(T!$E413:$E426&gt;=D29,0),)),IF(AND(D51="4J3",D53=6),INDEX(T!$F413:$F426,MATCH(TRUE,INDEX(T!$F413:$F426&gt;=D29,0),)),IF(AND(D51="4J3",D53=7),INDEX(T!$G413:$G426,MATCH(TRUE,INDEX(T!$G413:$G426&gt;=D29,0),)),IF(AND(D51="4J3",D53=8),INDEX(T!$H413:$H426,MATCH(TRUE,INDEX(T!$H413:$H426&gt;=D29,0),)),IF(AND(D51="4J3",D53=9),INDEX(T!$I413:$I426,MATCH(TRUE,INDEX(T!$I413:$I426&gt;=D29,0),)),IF(AND(D51="4J3",D53=10),INDEX(T!$J413:$J426,MATCH(TRUE,INDEX(T!$J413:$J426&gt;=D29,0),)),IF(AND(D51="4J3",D53=11),INDEX(T!$K413:$K426,MATCH(TRUE,INDEX(T!$K413:$K426&gt;=D29,0),)),IF(AND(D51="4J3",D53=12),INDEX(T!$L$413:$L426,MATCH(TRUE,INDEX(T!$L$413:$L426&gt;=D29,0),)),IF(AND(D51="4J4",D53=2),INDEX(T!$B432:$B437,MATCH(TRUE,INDEX(T!$B432:$B437&gt;=D29,0),)),IF(AND(D51="4J4",D53=3),INDEX(T!$C$432:$C442,MATCH(TRUE,INDEX(T!$C$432:$C442&gt;=D29,0),)),IF(AND(D51="4J4",D53=4),INDEX(T!$D872:$D877,MATCH(TRUE,INDEX(T!$D872:$D877&gt;=D29,0),)),IF(AND(D51="4J4",D53=5),INDEX(T!$E432:$E442,MATCH(TRUE,INDEX(T!$E432:$E442&gt;=D29,0),)),IF(AND(D51="4J4",D53=6),INDEX(T!$F432:$F437,MATCH(TRUE,INDEX(T!$F432:$F437&gt;=D29,0),)),IF(AND(D51="4J4",D53=7),INDEX(T!$G432:$G442,MATCH(TRUE,INDEX(T!$G432:$G442&gt;=D29,0),)))))))))))))))))))))))))))))))))))))),"")))</f>
        <v/>
      </c>
      <c r="E77" s="136" t="str" cm="1">
        <f t="array" aca="1" ref="E77" ca="1">IF(E27="","",IF(OR(E51="4H1",E51="4H2",E51="4H3",E51="4H4"),IF(AND(E51="4H1",E53=2),INDEX(T!$B308:$B315,MATCH(TRUE,INDEX(T!$B308:$B315&gt;=E29,0),)),IF(AND(E51="4H1",E53=3),INDEX(T!$C$308:$C315,MATCH(TRUE,INDEX(T!$C$308:$C315&gt;=E29,0),)),IF(AND(E51="4H1",E53=4),INDEX(T!$D308:$D318,MATCH(TRUE,INDEX(T!$D308:$D318&gt;=E29,0),)),IF(AND(E51="4H1",E53=5),INDEX(T!$E308:$E318,MATCH(TRUE,INDEX(T!$E308:$E318&gt;=E29,0),)),IF(AND(E51="4H1",E53=6),INDEX(T!$F308:$F321,MATCH(TRUE,INDEX(T!$F308:$F321&gt;=E29,0),)),IF(AND(E51="4H1",E53=7),INDEX(T!$G308:$G321,MATCH(TRUE,INDEX(T!$G308:$G321&gt;=E29,0),)),IF(AND(E51="4H1",E53=8),INDEX(T!$H308:$H321,MATCH(TRUE,INDEX(T!$H308:$H321&gt;=E29,0),)),IF(AND(E51="4H1",E53=9),INDEX(T!$I305:$I321,MATCH(TRUE,INDEX(T!$I308:$I321&gt;=E29,0),)),IF(AND(E51="4H1",E53=10),INDEX(T!$J308:$J321,MATCH(TRUE,INDEX(T!$J308:$J321&gt;=E29,0),)),IF(AND(E51="4H1",E53=11),INDEX(T!$K308:$K321,MATCH(TRUE,INDEX(T!$K308:$K321&gt;=E29,0),)),IF(AND(E51="4H1",E53=12),INDEX(T!$L$308:$L321,MATCH(TRUE,INDEX(T!$L$308:$L321&gt;=E29,0),)),IF(AND(E51="4H2",E53=2),INDEX(T!$B327:$B332,MATCH(TRUE,INDEX(T!$B327:$B332&gt;=E29,0),)),IF(AND(E51="4H2",E53=3),INDEX(T!$C$327:$C337,MATCH(TRUE,INDEX(T!$C$327:$C337&gt;=E29,0),)),IF(AND(E51="4H2",E53=4),INDEX(T!$D327:$D332,MATCH(TRUE,INDEX(T!$D327:$D332&gt;=E29,0),)),IF(AND(E51="4H2",E53=5),INDEX(T!$E327:$E337,MATCH(TRUE,INDEX(T!$E327:$E337&gt;=E29,0),)),IF(AND(E51="4H2",E53=6),INDEX(T!$F327:$F332,MATCH(TRUE,INDEX(T!$F327:$F332&gt;=E29,0),)),IF(AND(E51="4H2",E53=7),INDEX(T!$G327:$G337,MATCH(TRUE,INDEX(T!$G327:$G337&gt;=E29,0),)),IF(AND(E51="4H2",E53=8),INDEX(T!$H327:$H332,MATCH(TRUE,INDEX(T!$H327:$H332&gt;=E29,0),)),IF(AND(E51="4H2",E53=9),INDEX(T!$I327:$I337,MATCH(TRUE,INDEX(T!$I327:$I337&gt;=E29,0),)),IF(AND(E51="4H3",E53=2),INDEX(T!$B343:$B356,MATCH(TRUE,INDEX(T!$B343:$B356&gt;=E29,0),)),IF(AND(E51="4H3",E53=3),INDEX(T!$C$343:$C356,MATCH(TRUE,INDEX(T!$C$343:$C356&gt;=E29,0),)),IF(AND(E51="4H3",E53=4),INDEX(T!$D343:$D356,MATCH(TRUE,INDEX(T!$D343:$D356&gt;=E29,0),)),IF(AND(E51="4H3",E53=5),(INDEX(T!$E343:$E356,MATCH(TRUE,INDEX(T!$E343:$E356&gt;=E29,0),)),IF(AND(E51="4H3",E53=6),INDEX(T!$F343:$F356,MATCH(TRUE,INDEX(T!$F343:$F356&gt;=E29,0),)),IF(AND(E51="4H3",E53=7),INDEX(T!$G343:$G356,MATCH(TRUE,INDEX(T!$G343:$G356&gt;=E29,0),)),IF(AND(E51="4H3",E53=8),INDEX(T!$H343:$H356,MATCH(TRUE,INDEX(T!$H343:$H356&gt;=E29,0),)),IF(AND(E51="4H3",E53=9),INDEX(T!$I343:$I356,MATCH(TRUE,INDEX(T!$I343:$I356&gt;=E29,0),)),IF(AND(E51="4H3",E53=10),INDEX(T!$J343:$J356,MATCH(TRUE,INDEX(T!$J343:$J356&gt;=E29,0),)),IF(AND(E51="4H3",E53=11),INDEX(T!$K343:$K356,MATCH(TRUE,INDEX(T!$K343:$K356&gt;=E29,0),)),IF(AND(E51="4H3",E53=12),INDEX(T!$L$343:$L356,MATCH(TRUE,INDEX(T!$L$343:$L356&gt;=E29,0),)),IF(AND(E51="4H4",E53=2),INDEX(T!$B362:$B367,MATCH(TRUE,INDEX(T!$B362:$B367&gt;=E29,0),)),IF(AND(E51="4H4",E53=3),INDEX(T!$C$362:$C372,MATCH(TRUE,INDEX(T!$C$362:$C372&gt;=E29,0),)),IF(AND(E51="4H4",E53=4),INDEX(T!$D362:$D367,MATCH(TRUE,INDEX(T!$D362:$D367&gt;=E29,0),)),IF(AND(E51="4H4",E53=5),INDEX(T!$E362:$E372,MATCH(TRUE,INDEX(T!$E362:$E372&gt;=E29,0),)),IF(AND(E51="4H4",E53=6),INDEX(T!$F363:$F367,MATCH(TRUE,INDEX(T!$F363:$F367&gt;=E29,0),)),IF(AND(E51="4H4",E53=7),INDEX(T!$G363:$G372,MATCH(TRUE,INDEX(T!$G363:$G372&gt;=E29,0),))))))))))))))))))))))))))))))))))))))),IF(OR(E51="4J1",E51="4J2",E51="4J3",E51="4J4"),IF(AND(E51="4J1",E53=2),INDEX(T!$B378:$B385,MATCH(TRUE,INDEX(T!$B378:$B385&gt;=E29,0),)),IF(AND(E51="4J1",E53=3),INDEX(T!$C$378:$C385,MATCH(TRUE,INDEX(T!$C$378:$C385&gt;=E29,0),)),IF(AND(E51="4J1",E53=4),INDEX(T!$D378:$D385,MATCH(TRUE,INDEX(T!$D378:$D385&gt;=E29,0),)),IF(AND(E51="4J1",E53=5),INDEX(T!$E378:$E385,MATCH(TRUE,INDEX(T!$E378:$E385&gt;=E29,0),)),IF(AND(E51="4J1",E53=6),INDEX(T!$F378:$F391,MATCH(TRUE,INDEX(T!$F378:$F391&gt;=E29,0),)),IF(AND(E51="4J1",E53=7),INDEX(T!$G378:$G391,MATCH(TRUE,INDEX(T!$G378:$G391&gt;=E29,0),)),IF(AND(E51="4J1",E53=8),INDEX(T!$H378:$H391,MATCH(TRUE,INDEX(T!$H378:$H391&gt;=E29,0),)),IF(AND(E51="4J1",E53=9),INDEX(T!$I378:$I391,MATCH(TRUE,INDEX(T!$I378:$I391&gt;=E29,0),)),IF(AND(E51="4J1",E53=10),INDEX(T!$J378:$J391,MATCH(TRUE,INDEX(T!$J378:$J391&gt;=E29,0),)),IF(AND(E51="4J1",E53=11),INDEX(T!$K378:$K391,MATCH(TRUE,INDEX(T!$K378:$K391&gt;=E29,0),)),IF(AND(E51="4J1",E53=12),INDEX(T!$L$378:$L391,MATCH(TRUE,INDEX(T!$L$378:$L391&gt;=E29,0),)),IF(AND(E51="4J2",E53=2),INDEX(T!$B397:$B402,MATCH(TRUE,INDEX(T!$B397:$B402&gt;=E29,0),)),IF(AND(E51="4J2",E53=3),INDEX(T!$C$397:$C407,MATCH(TRUE,INDEX(T!$C$397:$C407&gt;=E29,0),)),IF(AND(E51="4J2",E53=4),INDEX(T!$D397:$D$402,MATCH(TRUE,INDEX(T!$D397:$D$402&gt;=E29,0),)),IF(AND(E51="4J2",E53=5),INDEX(T!$E397:$E407,MATCH(TRUE,INDEX(T!$E397:$E407&gt;=E29,0),)),IF(AND(E51="4J2",E53=6),INDEX(T!$F397:$F402,MATCH(TRUE,INDEX(T!$F397:$F402&gt;=E29,0),)),IF(AND(E51="4J2",E53=7),INDEX(T!$G397:$G407,MATCH(TRUE,INDEX(T!$G397:$G407&gt;=E29,0),)),IF(AND(E51="4J2",E53=8),INDEX(T!$H397:$H402,MATCH(TRUE,INDEX(T!$H397:$H402&gt;=E29,0),)),IF(AND(E51="4J2",E53=9),INDEX(T!$I397:$I407,MATCH(TRUE,INDEX(T!$I397:$I407&gt;=E29,0),)),IF(AND(E51="4J3",E53=2),INDEX(T!$B413:$B426,MATCH(TRUE,INDEX(T!$B413:$B426&gt;=E29,0),)),IF(AND(E51="4J3",E53=3),INDEX(T!$C$413:$C426,MATCH(TRUE,INDEX(T!$C$413:$C426&gt;=E29,0),)),IF(AND(E51="4J3",E53=4),INDEX(T!$D413:$D426,MATCH(TRUE,INDEX(T!$D413:$D426&gt;=E29,0),)),IF(AND(E51="4J3",E53=5),INDEX(T!$E413:$E426,MATCH(TRUE,INDEX(T!$E413:$E426&gt;=E29,0),)),IF(AND(E51="4J3",E53=6),INDEX(T!$F413:$F426,MATCH(TRUE,INDEX(T!$F413:$F426&gt;=E29,0),)),IF(AND(E51="4J3",E53=7),INDEX(T!$G413:$G426,MATCH(TRUE,INDEX(T!$G413:$G426&gt;=E29,0),)),IF(AND(E51="4J3",E53=8),INDEX(T!$H413:$H426,MATCH(TRUE,INDEX(T!$H413:$H426&gt;=E29,0),)),IF(AND(E51="4J3",E53=9),INDEX(T!$I413:$I426,MATCH(TRUE,INDEX(T!$I413:$I426&gt;=E29,0),)),IF(AND(E51="4J3",E53=10),INDEX(T!$J413:$J426,MATCH(TRUE,INDEX(T!$J413:$J426&gt;=E29,0),)),IF(AND(E51="4J3",E53=11),INDEX(T!$K413:$K426,MATCH(TRUE,INDEX(T!$K413:$K426&gt;=E29,0),)),IF(AND(E51="4J3",E53=12),INDEX(T!$L$413:$L426,MATCH(TRUE,INDEX(T!$L$413:$L426&gt;=E29,0),)),IF(AND(E51="4J4",E53=2),INDEX(T!$B432:$B437,MATCH(TRUE,INDEX(T!$B432:$B437&gt;=E29,0),)),IF(AND(E51="4J4",E53=3),INDEX(T!$C$432:$C442,MATCH(TRUE,INDEX(T!$C$432:$C442&gt;=E29,0),)),IF(AND(E51="4J4",E53=4),INDEX(T!$D872:$D877,MATCH(TRUE,INDEX(T!$D872:$D877&gt;=E29,0),)),IF(AND(E51="4J4",E53=5),INDEX(T!$E432:$E442,MATCH(TRUE,INDEX(T!$E432:$E442&gt;=E29,0),)),IF(AND(E51="4J4",E53=6),INDEX(T!$F432:$F437,MATCH(TRUE,INDEX(T!$F432:$F437&gt;=E29,0),)),IF(AND(E51="4J4",E53=7),INDEX(T!$G432:$G442,MATCH(TRUE,INDEX(T!$G432:$G442&gt;=E29,0),)))))))))))))))))))))))))))))))))))))),"")))</f>
        <v/>
      </c>
      <c r="F77" s="136" t="str" cm="1">
        <f t="array" aca="1" ref="F77" ca="1">IF(F27="","",IF(OR(F51="4H1",F51="4H2",F51="4H3",F51="4H4"),IF(AND(F51="4H1",F53=2),INDEX(T!$B308:$B315,MATCH(TRUE,INDEX(T!$B308:$B315&gt;=F29,0),)),IF(AND(F51="4H1",F53=3),INDEX(T!$C$308:$C315,MATCH(TRUE,INDEX(T!$C$308:$C315&gt;=F29,0),)),IF(AND(F51="4H1",F53=4),INDEX(T!$D308:$D318,MATCH(TRUE,INDEX(T!$D308:$D318&gt;=F29,0),)),IF(AND(F51="4H1",F53=5),INDEX(T!$E308:$E318,MATCH(TRUE,INDEX(T!$E308:$E318&gt;=F29,0),)),IF(AND(F51="4H1",F53=6),INDEX(T!$F308:$F321,MATCH(TRUE,INDEX(T!$F308:$F321&gt;=F29,0),)),IF(AND(F51="4H1",F53=7),INDEX(T!$G308:$G321,MATCH(TRUE,INDEX(T!$G308:$G321&gt;=F29,0),)),IF(AND(F51="4H1",F53=8),INDEX(T!$H308:$H321,MATCH(TRUE,INDEX(T!$H308:$H321&gt;=F29,0),)),IF(AND(F51="4H1",F53=9),INDEX(T!$I305:$I321,MATCH(TRUE,INDEX(T!$I308:$I321&gt;=F29,0),)),IF(AND(F51="4H1",F53=10),INDEX(T!$J308:$J321,MATCH(TRUE,INDEX(T!$J308:$J321&gt;=F29,0),)),IF(AND(F51="4H1",F53=11),INDEX(T!$K308:$K321,MATCH(TRUE,INDEX(T!$K308:$K321&gt;=F29,0),)),IF(AND(F51="4H1",F53=12),INDEX(T!$L$308:$L321,MATCH(TRUE,INDEX(T!$L$308:$L321&gt;=F29,0),)),IF(AND(F51="4H2",F53=2),INDEX(T!$B327:$B332,MATCH(TRUE,INDEX(T!$B327:$B332&gt;=F29,0),)),IF(AND(F51="4H2",F53=3),INDEX(T!$C$327:$C337,MATCH(TRUE,INDEX(T!$C$327:$C337&gt;=F29,0),)),IF(AND(F51="4H2",F53=4),INDEX(T!$D327:$D332,MATCH(TRUE,INDEX(T!$D327:$D332&gt;=F29,0),)),IF(AND(F51="4H2",F53=5),INDEX(T!$E327:$E337,MATCH(TRUE,INDEX(T!$E327:$E337&gt;=F29,0),)),IF(AND(F51="4H2",F53=6),INDEX(T!$F327:$F332,MATCH(TRUE,INDEX(T!$F327:$F332&gt;=F29,0),)),IF(AND(F51="4H2",F53=7),INDEX(T!$G327:$G337,MATCH(TRUE,INDEX(T!$G327:$G337&gt;=F29,0),)),IF(AND(F51="4H2",F53=8),INDEX(T!$H327:$H332,MATCH(TRUE,INDEX(T!$H327:$H332&gt;=F29,0),)),IF(AND(F51="4H2",F53=9),INDEX(T!$I327:$I337,MATCH(TRUE,INDEX(T!$I327:$I337&gt;=F29,0),)),IF(AND(F51="4H3",F53=2),INDEX(T!$B343:$B356,MATCH(TRUE,INDEX(T!$B343:$B356&gt;=F29,0),)),IF(AND(F51="4H3",F53=3),INDEX(T!$C$343:$C356,MATCH(TRUE,INDEX(T!$C$343:$C356&gt;=F29,0),)),IF(AND(F51="4H3",F53=4),INDEX(T!$D343:$D356,MATCH(TRUE,INDEX(T!$D343:$D356&gt;=F29,0),)),IF(AND(F51="4H3",F53=5),(INDEX(T!$E343:$E356,MATCH(TRUE,INDEX(T!$E343:$E356&gt;=F29,0),)),IF(AND(F51="4H3",F53=6),INDEX(T!$F343:$F356,MATCH(TRUE,INDEX(T!$F343:$F356&gt;=F29,0),)),IF(AND(F51="4H3",F53=7),INDEX(T!$G343:$G356,MATCH(TRUE,INDEX(T!$G343:$G356&gt;=F29,0),)),IF(AND(F51="4H3",F53=8),INDEX(T!$H343:$H356,MATCH(TRUE,INDEX(T!$H343:$H356&gt;=F29,0),)),IF(AND(F51="4H3",F53=9),INDEX(T!$I343:$I356,MATCH(TRUE,INDEX(T!$I343:$I356&gt;=F29,0),)),IF(AND(F51="4H3",F53=10),INDEX(T!$J343:$J356,MATCH(TRUE,INDEX(T!$J343:$J356&gt;=F29,0),)),IF(AND(F51="4H3",F53=11),INDEX(T!$K343:$K356,MATCH(TRUE,INDEX(T!$K343:$K356&gt;=F29,0),)),IF(AND(F51="4H3",F53=12),INDEX(T!$L$343:$L356,MATCH(TRUE,INDEX(T!$L$343:$L356&gt;=F29,0),)),IF(AND(F51="4H4",F53=2),INDEX(T!$B362:$B367,MATCH(TRUE,INDEX(T!$B362:$B367&gt;=F29,0),)),IF(AND(F51="4H4",F53=3),INDEX(T!$C$362:$C372,MATCH(TRUE,INDEX(T!$C$362:$C372&gt;=F29,0),)),IF(AND(F51="4H4",F53=4),INDEX(T!$D362:$D367,MATCH(TRUE,INDEX(T!$D362:$D367&gt;=F29,0),)),IF(AND(F51="4H4",F53=5),INDEX(T!$E362:$E372,MATCH(TRUE,INDEX(T!$E362:$E372&gt;=F29,0),)),IF(AND(F51="4H4",F53=6),INDEX(T!$F363:$F367,MATCH(TRUE,INDEX(T!$F363:$F367&gt;=F29,0),)),IF(AND(F51="4H4",F53=7),INDEX(T!$G363:$G372,MATCH(TRUE,INDEX(T!$G363:$G372&gt;=F29,0),))))))))))))))))))))))))))))))))))))))),IF(OR(F51="4J1",F51="4J2",F51="4J3",F51="4J4"),IF(AND(F51="4J1",F53=2),INDEX(T!$B378:$B385,MATCH(TRUE,INDEX(T!$B378:$B385&gt;=F29,0),)),IF(AND(F51="4J1",F53=3),INDEX(T!$C$378:$C385,MATCH(TRUE,INDEX(T!$C$378:$C385&gt;=F29,0),)),IF(AND(F51="4J1",F53=4),INDEX(T!$D378:$D385,MATCH(TRUE,INDEX(T!$D378:$D385&gt;=F29,0),)),IF(AND(F51="4J1",F53=5),INDEX(T!$E378:$E385,MATCH(TRUE,INDEX(T!$E378:$E385&gt;=F29,0),)),IF(AND(F51="4J1",F53=6),INDEX(T!$F378:$F391,MATCH(TRUE,INDEX(T!$F378:$F391&gt;=F29,0),)),IF(AND(F51="4J1",F53=7),INDEX(T!$G378:$G391,MATCH(TRUE,INDEX(T!$G378:$G391&gt;=F29,0),)),IF(AND(F51="4J1",F53=8),INDEX(T!$H378:$H391,MATCH(TRUE,INDEX(T!$H378:$H391&gt;=F29,0),)),IF(AND(F51="4J1",F53=9),INDEX(T!$I378:$I391,MATCH(TRUE,INDEX(T!$I378:$I391&gt;=F29,0),)),IF(AND(F51="4J1",F53=10),INDEX(T!$J378:$J391,MATCH(TRUE,INDEX(T!$J378:$J391&gt;=F29,0),)),IF(AND(F51="4J1",F53=11),INDEX(T!$K378:$K391,MATCH(TRUE,INDEX(T!$K378:$K391&gt;=F29,0),)),IF(AND(F51="4J1",F53=12),INDEX(T!$L$378:$L391,MATCH(TRUE,INDEX(T!$L$378:$L391&gt;=F29,0),)),IF(AND(F51="4J2",F53=2),INDEX(T!$B397:$B402,MATCH(TRUE,INDEX(T!$B397:$B402&gt;=F29,0),)),IF(AND(F51="4J2",F53=3),INDEX(T!$C$397:$C407,MATCH(TRUE,INDEX(T!$C$397:$C407&gt;=F29,0),)),IF(AND(F51="4J2",F53=4),INDEX(T!$D397:$D$402,MATCH(TRUE,INDEX(T!$D397:$D$402&gt;=F29,0),)),IF(AND(F51="4J2",F53=5),INDEX(T!$E397:$E407,MATCH(TRUE,INDEX(T!$E397:$E407&gt;=F29,0),)),IF(AND(F51="4J2",F53=6),INDEX(T!$F397:$F402,MATCH(TRUE,INDEX(T!$F397:$F402&gt;=F29,0),)),IF(AND(F51="4J2",F53=7),INDEX(T!$G397:$G407,MATCH(TRUE,INDEX(T!$G397:$G407&gt;=F29,0),)),IF(AND(F51="4J2",F53=8),INDEX(T!$H397:$H402,MATCH(TRUE,INDEX(T!$H397:$H402&gt;=F29,0),)),IF(AND(F51="4J2",F53=9),INDEX(T!$I397:$I407,MATCH(TRUE,INDEX(T!$I397:$I407&gt;=F29,0),)),IF(AND(F51="4J3",F53=2),INDEX(T!$B413:$B426,MATCH(TRUE,INDEX(T!$B413:$B426&gt;=F29,0),)),IF(AND(F51="4J3",F53=3),INDEX(T!$C$413:$C426,MATCH(TRUE,INDEX(T!$C$413:$C426&gt;=F29,0),)),IF(AND(F51="4J3",F53=4),INDEX(T!$D413:$D426,MATCH(TRUE,INDEX(T!$D413:$D426&gt;=F29,0),)),IF(AND(F51="4J3",F53=5),INDEX(T!$E413:$E426,MATCH(TRUE,INDEX(T!$E413:$E426&gt;=F29,0),)),IF(AND(F51="4J3",F53=6),INDEX(T!$F413:$F426,MATCH(TRUE,INDEX(T!$F413:$F426&gt;=F29,0),)),IF(AND(F51="4J3",F53=7),INDEX(T!$G413:$G426,MATCH(TRUE,INDEX(T!$G413:$G426&gt;=F29,0),)),IF(AND(F51="4J3",F53=8),INDEX(T!$H413:$H426,MATCH(TRUE,INDEX(T!$H413:$H426&gt;=F29,0),)),IF(AND(F51="4J3",F53=9),INDEX(T!$I413:$I426,MATCH(TRUE,INDEX(T!$I413:$I426&gt;=F29,0),)),IF(AND(F51="4J3",F53=10),INDEX(T!$J413:$J426,MATCH(TRUE,INDEX(T!$J413:$J426&gt;=F29,0),)),IF(AND(F51="4J3",F53=11),INDEX(T!$K413:$K426,MATCH(TRUE,INDEX(T!$K413:$K426&gt;=F29,0),)),IF(AND(F51="4J3",F53=12),INDEX(T!$L$413:$L426,MATCH(TRUE,INDEX(T!$L$413:$L426&gt;=F29,0),)),IF(AND(F51="4J4",F53=2),INDEX(T!$B432:$B437,MATCH(TRUE,INDEX(T!$B432:$B437&gt;=F29,0),)),IF(AND(F51="4J4",F53=3),INDEX(T!$C$432:$C442,MATCH(TRUE,INDEX(T!$C$432:$C442&gt;=F29,0),)),IF(AND(F51="4J4",F53=4),INDEX(T!$D872:$D877,MATCH(TRUE,INDEX(T!$D872:$D877&gt;=F29,0),)),IF(AND(F51="4J4",F53=5),INDEX(T!$E432:$E442,MATCH(TRUE,INDEX(T!$E432:$E442&gt;=F29,0),)),IF(AND(F51="4J4",F53=6),INDEX(T!$F432:$F437,MATCH(TRUE,INDEX(T!$F432:$F437&gt;=F29,0),)),IF(AND(F51="4J4",F53=7),INDEX(T!$G432:$G442,MATCH(TRUE,INDEX(T!$G432:$G442&gt;=F29,0),)))))))))))))))))))))))))))))))))))))),"")))</f>
        <v/>
      </c>
      <c r="G77" s="136" t="str" cm="1">
        <f t="array" aca="1" ref="G77" ca="1">IF(G27="","",IF(OR(G51="4H1",G51="4H2",G51="4H3",G51="4H4"),IF(AND(G51="4H1",G53=2),INDEX(T!$B308:$B315,MATCH(TRUE,INDEX(T!$B308:$B315&gt;=G29,0),)),IF(AND(G51="4H1",G53=3),INDEX(T!$C$308:$C315,MATCH(TRUE,INDEX(T!$C$308:$C315&gt;=G29,0),)),IF(AND(G51="4H1",G53=4),INDEX(T!$D308:$D318,MATCH(TRUE,INDEX(T!$D308:$D318&gt;=G29,0),)),IF(AND(G51="4H1",G53=5),INDEX(T!$E308:$E318,MATCH(TRUE,INDEX(T!$E308:$E318&gt;=G29,0),)),IF(AND(G51="4H1",G53=6),INDEX(T!$F308:$F321,MATCH(TRUE,INDEX(T!$F308:$F321&gt;=G29,0),)),IF(AND(G51="4H1",G53=7),INDEX(T!$G308:$G321,MATCH(TRUE,INDEX(T!$G308:$G321&gt;=G29,0),)),IF(AND(G51="4H1",G53=8),INDEX(T!$H308:$H321,MATCH(TRUE,INDEX(T!$H308:$H321&gt;=G29,0),)),IF(AND(G51="4H1",G53=9),INDEX(T!$I305:$I321,MATCH(TRUE,INDEX(T!$I308:$I321&gt;=G29,0),)),IF(AND(G51="4H1",G53=10),INDEX(T!$J308:$J321,MATCH(TRUE,INDEX(T!$J308:$J321&gt;=G29,0),)),IF(AND(G51="4H1",G53=11),INDEX(T!$K308:$K321,MATCH(TRUE,INDEX(T!$K308:$K321&gt;=G29,0),)),IF(AND(G51="4H1",G53=12),INDEX(T!$L$308:$L321,MATCH(TRUE,INDEX(T!$L$308:$L321&gt;=G29,0),)),IF(AND(G51="4H2",G53=2),INDEX(T!$B327:$B332,MATCH(TRUE,INDEX(T!$B327:$B332&gt;=G29,0),)),IF(AND(G51="4H2",G53=3),INDEX(T!$C$327:$C337,MATCH(TRUE,INDEX(T!$C$327:$C337&gt;=G29,0),)),IF(AND(G51="4H2",G53=4),INDEX(T!$D327:$D332,MATCH(TRUE,INDEX(T!$D327:$D332&gt;=G29,0),)),IF(AND(G51="4H2",G53=5),INDEX(T!$E327:$E337,MATCH(TRUE,INDEX(T!$E327:$E337&gt;=G29,0),)),IF(AND(G51="4H2",G53=6),INDEX(T!$F327:$F332,MATCH(TRUE,INDEX(T!$F327:$F332&gt;=G29,0),)),IF(AND(G51="4H2",G53=7),INDEX(T!$G327:$G337,MATCH(TRUE,INDEX(T!$G327:$G337&gt;=G29,0),)),IF(AND(G51="4H2",G53=8),INDEX(T!$H327:$H332,MATCH(TRUE,INDEX(T!$H327:$H332&gt;=G29,0),)),IF(AND(G51="4H2",G53=9),INDEX(T!$I327:$I337,MATCH(TRUE,INDEX(T!$I327:$I337&gt;=G29,0),)),IF(AND(G51="4H3",G53=2),INDEX(T!$B343:$B356,MATCH(TRUE,INDEX(T!$B343:$B356&gt;=G29,0),)),IF(AND(G51="4H3",G53=3),INDEX(T!$C$343:$C356,MATCH(TRUE,INDEX(T!$C$343:$C356&gt;=G29,0),)),IF(AND(G51="4H3",G53=4),INDEX(T!$D343:$D356,MATCH(TRUE,INDEX(T!$D343:$D356&gt;=G29,0),)),IF(AND(G51="4H3",G53=5),(INDEX(T!$E343:$E356,MATCH(TRUE,INDEX(T!$E343:$E356&gt;=G29,0),)),IF(AND(G51="4H3",G53=6),INDEX(T!$F343:$F356,MATCH(TRUE,INDEX(T!$F343:$F356&gt;=G29,0),)),IF(AND(G51="4H3",G53=7),INDEX(T!$G343:$G356,MATCH(TRUE,INDEX(T!$G343:$G356&gt;=G29,0),)),IF(AND(G51="4H3",G53=8),INDEX(T!$H343:$H356,MATCH(TRUE,INDEX(T!$H343:$H356&gt;=G29,0),)),IF(AND(G51="4H3",G53=9),INDEX(T!$I343:$I356,MATCH(TRUE,INDEX(T!$I343:$I356&gt;=G29,0),)),IF(AND(G51="4H3",G53=10),INDEX(T!$J343:$J356,MATCH(TRUE,INDEX(T!$J343:$J356&gt;=G29,0),)),IF(AND(G51="4H3",G53=11),INDEX(T!$K343:$K356,MATCH(TRUE,INDEX(T!$K343:$K356&gt;=G29,0),)),IF(AND(G51="4H3",G53=12),INDEX(T!$L$343:$L356,MATCH(TRUE,INDEX(T!$L$343:$L356&gt;=G29,0),)),IF(AND(G51="4H4",G53=2),INDEX(T!$B362:$B367,MATCH(TRUE,INDEX(T!$B362:$B367&gt;=G29,0),)),IF(AND(G51="4H4",G53=3),INDEX(T!$C$362:$C372,MATCH(TRUE,INDEX(T!$C$362:$C372&gt;=G29,0),)),IF(AND(G51="4H4",G53=4),INDEX(T!$D362:$D367,MATCH(TRUE,INDEX(T!$D362:$D367&gt;=G29,0),)),IF(AND(G51="4H4",G53=5),INDEX(T!$E362:$E372,MATCH(TRUE,INDEX(T!$E362:$E372&gt;=G29,0),)),IF(AND(G51="4H4",G53=6),INDEX(T!$F363:$F367,MATCH(TRUE,INDEX(T!$F363:$F367&gt;=G29,0),)),IF(AND(G51="4H4",G53=7),INDEX(T!$G363:$G372,MATCH(TRUE,INDEX(T!$G363:$G372&gt;=G29,0),))))))))))))))))))))))))))))))))))))))),IF(OR(G51="4J1",G51="4J2",G51="4J3",G51="4J4"),IF(AND(G51="4J1",G53=2),INDEX(T!$B378:$B385,MATCH(TRUE,INDEX(T!$B378:$B385&gt;=G29,0),)),IF(AND(G51="4J1",G53=3),INDEX(T!$C$378:$C385,MATCH(TRUE,INDEX(T!$C$378:$C385&gt;=G29,0),)),IF(AND(G51="4J1",G53=4),INDEX(T!$D378:$D385,MATCH(TRUE,INDEX(T!$D378:$D385&gt;=G29,0),)),IF(AND(G51="4J1",G53=5),INDEX(T!$E378:$E385,MATCH(TRUE,INDEX(T!$E378:$E385&gt;=G29,0),)),IF(AND(G51="4J1",G53=6),INDEX(T!$F378:$F391,MATCH(TRUE,INDEX(T!$F378:$F391&gt;=G29,0),)),IF(AND(G51="4J1",G53=7),INDEX(T!$G378:$G391,MATCH(TRUE,INDEX(T!$G378:$G391&gt;=G29,0),)),IF(AND(G51="4J1",G53=8),INDEX(T!$H378:$H391,MATCH(TRUE,INDEX(T!$H378:$H391&gt;=G29,0),)),IF(AND(G51="4J1",G53=9),INDEX(T!$I378:$I391,MATCH(TRUE,INDEX(T!$I378:$I391&gt;=G29,0),)),IF(AND(G51="4J1",G53=10),INDEX(T!$J378:$J391,MATCH(TRUE,INDEX(T!$J378:$J391&gt;=G29,0),)),IF(AND(G51="4J1",G53=11),INDEX(T!$K378:$K391,MATCH(TRUE,INDEX(T!$K378:$K391&gt;=G29,0),)),IF(AND(G51="4J1",G53=12),INDEX(T!$L$378:$L391,MATCH(TRUE,INDEX(T!$L$378:$L391&gt;=G29,0),)),IF(AND(G51="4J2",G53=2),INDEX(T!$B397:$B402,MATCH(TRUE,INDEX(T!$B397:$B402&gt;=G29,0),)),IF(AND(G51="4J2",G53=3),INDEX(T!$C$397:$C407,MATCH(TRUE,INDEX(T!$C$397:$C407&gt;=G29,0),)),IF(AND(G51="4J2",G53=4),INDEX(T!$D397:$D$402,MATCH(TRUE,INDEX(T!$D397:$D$402&gt;=G29,0),)),IF(AND(G51="4J2",G53=5),INDEX(T!$E397:$E407,MATCH(TRUE,INDEX(T!$E397:$E407&gt;=G29,0),)),IF(AND(G51="4J2",G53=6),INDEX(T!$F397:$F402,MATCH(TRUE,INDEX(T!$F397:$F402&gt;=G29,0),)),IF(AND(G51="4J2",G53=7),INDEX(T!$G397:$G407,MATCH(TRUE,INDEX(T!$G397:$G407&gt;=G29,0),)),IF(AND(G51="4J2",G53=8),INDEX(T!$H397:$H402,MATCH(TRUE,INDEX(T!$H397:$H402&gt;=G29,0),)),IF(AND(G51="4J2",G53=9),INDEX(T!$I397:$I407,MATCH(TRUE,INDEX(T!$I397:$I407&gt;=G29,0),)),IF(AND(G51="4J3",G53=2),INDEX(T!$B413:$B426,MATCH(TRUE,INDEX(T!$B413:$B426&gt;=G29,0),)),IF(AND(G51="4J3",G53=3),INDEX(T!$C$413:$C426,MATCH(TRUE,INDEX(T!$C$413:$C426&gt;=G29,0),)),IF(AND(G51="4J3",G53=4),INDEX(T!$D413:$D426,MATCH(TRUE,INDEX(T!$D413:$D426&gt;=G29,0),)),IF(AND(G51="4J3",G53=5),INDEX(T!$E413:$E426,MATCH(TRUE,INDEX(T!$E413:$E426&gt;=G29,0),)),IF(AND(G51="4J3",G53=6),INDEX(T!$F413:$F426,MATCH(TRUE,INDEX(T!$F413:$F426&gt;=G29,0),)),IF(AND(G51="4J3",G53=7),INDEX(T!$G413:$G426,MATCH(TRUE,INDEX(T!$G413:$G426&gt;=G29,0),)),IF(AND(G51="4J3",G53=8),INDEX(T!$H413:$H426,MATCH(TRUE,INDEX(T!$H413:$H426&gt;=G29,0),)),IF(AND(G51="4J3",G53=9),INDEX(T!$I413:$I426,MATCH(TRUE,INDEX(T!$I413:$I426&gt;=G29,0),)),IF(AND(G51="4J3",G53=10),INDEX(T!$J413:$J426,MATCH(TRUE,INDEX(T!$J413:$J426&gt;=G29,0),)),IF(AND(G51="4J3",G53=11),INDEX(T!$K413:$K426,MATCH(TRUE,INDEX(T!$K413:$K426&gt;=G29,0),)),IF(AND(G51="4J3",G53=12),INDEX(T!$L$413:$L426,MATCH(TRUE,INDEX(T!$L$413:$L426&gt;=G29,0),)),IF(AND(G51="4J4",G53=2),INDEX(T!$B432:$B437,MATCH(TRUE,INDEX(T!$B432:$B437&gt;=G29,0),)),IF(AND(G51="4J4",G53=3),INDEX(T!$C$432:$C442,MATCH(TRUE,INDEX(T!$C$432:$C442&gt;=G29,0),)),IF(AND(G51="4J4",G53=4),INDEX(T!$D872:$D877,MATCH(TRUE,INDEX(T!$D872:$D877&gt;=G29,0),)),IF(AND(G51="4J4",G53=5),INDEX(T!$E432:$E442,MATCH(TRUE,INDEX(T!$E432:$E442&gt;=G29,0),)),IF(AND(G51="4J4",G53=6),INDEX(T!$F432:$F437,MATCH(TRUE,INDEX(T!$F432:$F437&gt;=G29,0),)),IF(AND(G51="4J4",G53=7),INDEX(T!$G432:$G442,MATCH(TRUE,INDEX(T!$G432:$G442&gt;=G29,0),)))))))))))))))))))))))))))))))))))))),"")))</f>
        <v/>
      </c>
      <c r="H77" s="136" t="str" cm="1">
        <f t="array" aca="1" ref="H77" ca="1">IF(H27="","",IF(OR(H51="4H1",H51="4H2",H51="4H3",H51="4H4"),IF(AND(H51="4H1",H53=2),INDEX(T!$B308:$B315,MATCH(TRUE,INDEX(T!$B308:$B315&gt;=H29,0),)),IF(AND(H51="4H1",H53=3),INDEX(T!$C$308:$C315,MATCH(TRUE,INDEX(T!$C$308:$C315&gt;=H29,0),)),IF(AND(H51="4H1",H53=4),INDEX(T!$D308:$D318,MATCH(TRUE,INDEX(T!$D308:$D318&gt;=H29,0),)),IF(AND(H51="4H1",H53=5),INDEX(T!$E308:$E318,MATCH(TRUE,INDEX(T!$E308:$E318&gt;=H29,0),)),IF(AND(H51="4H1",H53=6),INDEX(T!$F308:$F321,MATCH(TRUE,INDEX(T!$F308:$F321&gt;=H29,0),)),IF(AND(H51="4H1",H53=7),INDEX(T!$G308:$G321,MATCH(TRUE,INDEX(T!$G308:$G321&gt;=H29,0),)),IF(AND(H51="4H1",H53=8),INDEX(T!$H308:$H321,MATCH(TRUE,INDEX(T!$H308:$H321&gt;=H29,0),)),IF(AND(H51="4H1",H53=9),INDEX(T!$I305:$I321,MATCH(TRUE,INDEX(T!$I308:$I321&gt;=H29,0),)),IF(AND(H51="4H1",H53=10),INDEX(T!$J308:$J321,MATCH(TRUE,INDEX(T!$J308:$J321&gt;=H29,0),)),IF(AND(H51="4H1",H53=11),INDEX(T!$K308:$K321,MATCH(TRUE,INDEX(T!$K308:$K321&gt;=H29,0),)),IF(AND(H51="4H1",H53=12),INDEX(T!$L$308:$L321,MATCH(TRUE,INDEX(T!$L$308:$L321&gt;=H29,0),)),IF(AND(H51="4H2",H53=2),INDEX(T!$B327:$B332,MATCH(TRUE,INDEX(T!$B327:$B332&gt;=H29,0),)),IF(AND(H51="4H2",H53=3),INDEX(T!$C$327:$C337,MATCH(TRUE,INDEX(T!$C$327:$C337&gt;=H29,0),)),IF(AND(H51="4H2",H53=4),INDEX(T!$D327:$D332,MATCH(TRUE,INDEX(T!$D327:$D332&gt;=H29,0),)),IF(AND(H51="4H2",H53=5),INDEX(T!$E327:$E337,MATCH(TRUE,INDEX(T!$E327:$E337&gt;=H29,0),)),IF(AND(H51="4H2",H53=6),INDEX(T!$F327:$F332,MATCH(TRUE,INDEX(T!$F327:$F332&gt;=H29,0),)),IF(AND(H51="4H2",H53=7),INDEX(T!$G327:$G337,MATCH(TRUE,INDEX(T!$G327:$G337&gt;=H29,0),)),IF(AND(H51="4H2",H53=8),INDEX(T!$H327:$H332,MATCH(TRUE,INDEX(T!$H327:$H332&gt;=H29,0),)),IF(AND(H51="4H2",H53=9),INDEX(T!$I327:$I337,MATCH(TRUE,INDEX(T!$I327:$I337&gt;=H29,0),)),IF(AND(H51="4H3",H53=2),INDEX(T!$B343:$B356,MATCH(TRUE,INDEX(T!$B343:$B356&gt;=H29,0),)),IF(AND(H51="4H3",H53=3),INDEX(T!$C$343:$C356,MATCH(TRUE,INDEX(T!$C$343:$C356&gt;=H29,0),)),IF(AND(H51="4H3",H53=4),INDEX(T!$D343:$D356,MATCH(TRUE,INDEX(T!$D343:$D356&gt;=H29,0),)),IF(AND(H51="4H3",H53=5),(INDEX(T!$E343:$E356,MATCH(TRUE,INDEX(T!$E343:$E356&gt;=H29,0),)),IF(AND(H51="4H3",H53=6),INDEX(T!$F343:$F356,MATCH(TRUE,INDEX(T!$F343:$F356&gt;=H29,0),)),IF(AND(H51="4H3",H53=7),INDEX(T!$G343:$G356,MATCH(TRUE,INDEX(T!$G343:$G356&gt;=H29,0),)),IF(AND(H51="4H3",H53=8),INDEX(T!$H343:$H356,MATCH(TRUE,INDEX(T!$H343:$H356&gt;=H29,0),)),IF(AND(H51="4H3",H53=9),INDEX(T!$I343:$I356,MATCH(TRUE,INDEX(T!$I343:$I356&gt;=H29,0),)),IF(AND(H51="4H3",H53=10),INDEX(T!$J343:$J356,MATCH(TRUE,INDEX(T!$J343:$J356&gt;=H29,0),)),IF(AND(H51="4H3",H53=11),INDEX(T!$K343:$K356,MATCH(TRUE,INDEX(T!$K343:$K356&gt;=H29,0),)),IF(AND(H51="4H3",H53=12),INDEX(T!$L$343:$L356,MATCH(TRUE,INDEX(T!$L$343:$L356&gt;=H29,0),)),IF(AND(H51="4H4",H53=2),INDEX(T!$B362:$B367,MATCH(TRUE,INDEX(T!$B362:$B367&gt;=H29,0),)),IF(AND(H51="4H4",H53=3),INDEX(T!$C$362:$C372,MATCH(TRUE,INDEX(T!$C$362:$C372&gt;=H29,0),)),IF(AND(H51="4H4",H53=4),INDEX(T!$D362:$D367,MATCH(TRUE,INDEX(T!$D362:$D367&gt;=H29,0),)),IF(AND(H51="4H4",H53=5),INDEX(T!$E362:$E372,MATCH(TRUE,INDEX(T!$E362:$E372&gt;=H29,0),)),IF(AND(H51="4H4",H53=6),INDEX(T!$F363:$F367,MATCH(TRUE,INDEX(T!$F363:$F367&gt;=H29,0),)),IF(AND(H51="4H4",H53=7),INDEX(T!$G363:$G372,MATCH(TRUE,INDEX(T!$G363:$G372&gt;=H29,0),))))))))))))))))))))))))))))))))))))))),IF(OR(H51="4J1",H51="4J2",H51="4J3",H51="4J4"),IF(AND(H51="4J1",H53=2),INDEX(T!$B378:$B385,MATCH(TRUE,INDEX(T!$B378:$B385&gt;=H29,0),)),IF(AND(H51="4J1",H53=3),INDEX(T!$C$378:$C385,MATCH(TRUE,INDEX(T!$C$378:$C385&gt;=H29,0),)),IF(AND(H51="4J1",H53=4),INDEX(T!$D378:$D385,MATCH(TRUE,INDEX(T!$D378:$D385&gt;=H29,0),)),IF(AND(H51="4J1",H53=5),INDEX(T!$E378:$E385,MATCH(TRUE,INDEX(T!$E378:$E385&gt;=H29,0),)),IF(AND(H51="4J1",H53=6),INDEX(T!$F378:$F391,MATCH(TRUE,INDEX(T!$F378:$F391&gt;=H29,0),)),IF(AND(H51="4J1",H53=7),INDEX(T!$G378:$G391,MATCH(TRUE,INDEX(T!$G378:$G391&gt;=H29,0),)),IF(AND(H51="4J1",H53=8),INDEX(T!$H378:$H391,MATCH(TRUE,INDEX(T!$H378:$H391&gt;=H29,0),)),IF(AND(H51="4J1",H53=9),INDEX(T!$I378:$I391,MATCH(TRUE,INDEX(T!$I378:$I391&gt;=H29,0),)),IF(AND(H51="4J1",H53=10),INDEX(T!$J378:$J391,MATCH(TRUE,INDEX(T!$J378:$J391&gt;=H29,0),)),IF(AND(H51="4J1",H53=11),INDEX(T!$K378:$K391,MATCH(TRUE,INDEX(T!$K378:$K391&gt;=H29,0),)),IF(AND(H51="4J1",H53=12),INDEX(T!$L$378:$L391,MATCH(TRUE,INDEX(T!$L$378:$L391&gt;=H29,0),)),IF(AND(H51="4J2",H53=2),INDEX(T!$B397:$B402,MATCH(TRUE,INDEX(T!$B397:$B402&gt;=H29,0),)),IF(AND(H51="4J2",H53=3),INDEX(T!$C$397:$C407,MATCH(TRUE,INDEX(T!$C$397:$C407&gt;=H29,0),)),IF(AND(H51="4J2",H53=4),INDEX(T!$D397:$D$402,MATCH(TRUE,INDEX(T!$D397:$D$402&gt;=H29,0),)),IF(AND(H51="4J2",H53=5),INDEX(T!$E397:$E407,MATCH(TRUE,INDEX(T!$E397:$E407&gt;=H29,0),)),IF(AND(H51="4J2",H53=6),INDEX(T!$F397:$F402,MATCH(TRUE,INDEX(T!$F397:$F402&gt;=H29,0),)),IF(AND(H51="4J2",H53=7),INDEX(T!$G397:$G407,MATCH(TRUE,INDEX(T!$G397:$G407&gt;=H29,0),)),IF(AND(H51="4J2",H53=8),INDEX(T!$H397:$H402,MATCH(TRUE,INDEX(T!$H397:$H402&gt;=H29,0),)),IF(AND(H51="4J2",H53=9),INDEX(T!$I397:$I407,MATCH(TRUE,INDEX(T!$I397:$I407&gt;=H29,0),)),IF(AND(H51="4J3",H53=2),INDEX(T!$B413:$B426,MATCH(TRUE,INDEX(T!$B413:$B426&gt;=H29,0),)),IF(AND(H51="4J3",H53=3),INDEX(T!$C$413:$C426,MATCH(TRUE,INDEX(T!$C$413:$C426&gt;=H29,0),)),IF(AND(H51="4J3",H53=4),INDEX(T!$D413:$D426,MATCH(TRUE,INDEX(T!$D413:$D426&gt;=H29,0),)),IF(AND(H51="4J3",H53=5),INDEX(T!$E413:$E426,MATCH(TRUE,INDEX(T!$E413:$E426&gt;=H29,0),)),IF(AND(H51="4J3",H53=6),INDEX(T!$F413:$F426,MATCH(TRUE,INDEX(T!$F413:$F426&gt;=H29,0),)),IF(AND(H51="4J3",H53=7),INDEX(T!$G413:$G426,MATCH(TRUE,INDEX(T!$G413:$G426&gt;=H29,0),)),IF(AND(H51="4J3",H53=8),INDEX(T!$H413:$H426,MATCH(TRUE,INDEX(T!$H413:$H426&gt;=H29,0),)),IF(AND(H51="4J3",H53=9),INDEX(T!$I413:$I426,MATCH(TRUE,INDEX(T!$I413:$I426&gt;=H29,0),)),IF(AND(H51="4J3",H53=10),INDEX(T!$J413:$J426,MATCH(TRUE,INDEX(T!$J413:$J426&gt;=H29,0),)),IF(AND(H51="4J3",H53=11),INDEX(T!$K413:$K426,MATCH(TRUE,INDEX(T!$K413:$K426&gt;=H29,0),)),IF(AND(H51="4J3",H53=12),INDEX(T!$L$413:$L426,MATCH(TRUE,INDEX(T!$L$413:$L426&gt;=H29,0),)),IF(AND(H51="4J4",H53=2),INDEX(T!$B432:$B437,MATCH(TRUE,INDEX(T!$B432:$B437&gt;=H29,0),)),IF(AND(H51="4J4",H53=3),INDEX(T!$C$432:$C442,MATCH(TRUE,INDEX(T!$C$432:$C442&gt;=H29,0),)),IF(AND(H51="4J4",H53=4),INDEX(T!$D872:$D877,MATCH(TRUE,INDEX(T!$D872:$D877&gt;=H29,0),)),IF(AND(H51="4J4",H53=5),INDEX(T!$E432:$E442,MATCH(TRUE,INDEX(T!$E432:$E442&gt;=H29,0),)),IF(AND(H51="4J4",H53=6),INDEX(T!$F432:$F437,MATCH(TRUE,INDEX(T!$F432:$F437&gt;=H29,0),)),IF(AND(H51="4J4",H53=7),INDEX(T!$G432:$G442,MATCH(TRUE,INDEX(T!$G432:$G442&gt;=H29,0),)))))))))))))))))))))))))))))))))))))),"")))</f>
        <v/>
      </c>
      <c r="I77" s="136" t="str" cm="1">
        <f t="array" ref="I77">IF(I27="","",IF(OR(I51="4H1",I51="4H2",I51="4H3",I51="4H4"),IF(AND(I51="4H1",I53=2),INDEX(T!$B308:$B315,MATCH(TRUE,INDEX(T!$B308:$B315&gt;=I29,0),)),IF(AND(I51="4H1",I53=3),INDEX(T!$C$308:$C315,MATCH(TRUE,INDEX(T!$C$308:$C315&gt;=I29,0),)),IF(AND(I51="4H1",I53=4),INDEX(T!$D308:$D318,MATCH(TRUE,INDEX(T!$D308:$D318&gt;=I29,0),)),IF(AND(I51="4H1",I53=5),INDEX(T!$E308:$E318,MATCH(TRUE,INDEX(T!$E308:$E318&gt;=I29,0),)),IF(AND(I51="4H1",I53=6),INDEX(T!$F308:$F321,MATCH(TRUE,INDEX(T!$F308:$F321&gt;=I29,0),)),IF(AND(I51="4H1",I53=7),INDEX(T!$G308:$G321,MATCH(TRUE,INDEX(T!$G308:$G321&gt;=I29,0),)),IF(AND(I51="4H1",I53=8),INDEX(T!$H308:$H321,MATCH(TRUE,INDEX(T!$H308:$H321&gt;=I29,0),)),IF(AND(I51="4H1",I53=9),INDEX(T!$I305:$I321,MATCH(TRUE,INDEX(T!$I308:$I321&gt;=I29,0),)),IF(AND(I51="4H1",I53=10),INDEX(T!$J308:$J321,MATCH(TRUE,INDEX(T!$J308:$J321&gt;=I29,0),)),IF(AND(I51="4H1",I53=11),INDEX(T!$K308:$K321,MATCH(TRUE,INDEX(T!$K308:$K321&gt;=I29,0),)),IF(AND(I51="4H1",I53=12),INDEX(T!$L$308:$L321,MATCH(TRUE,INDEX(T!$L$308:$L321&gt;=I29,0),)),IF(AND(I51="4H2",I53=2),INDEX(T!$B327:$B332,MATCH(TRUE,INDEX(T!$B327:$B332&gt;=I29,0),)),IF(AND(I51="4H2",I53=3),INDEX(T!$C$327:$C337,MATCH(TRUE,INDEX(T!$C$327:$C337&gt;=I29,0),)),IF(AND(I51="4H2",I53=4),INDEX(T!$D327:$D332,MATCH(TRUE,INDEX(T!$D327:$D332&gt;=I29,0),)),IF(AND(I51="4H2",I53=5),INDEX(T!$E327:$E337,MATCH(TRUE,INDEX(T!$E327:$E337&gt;=I29,0),)),IF(AND(I51="4H2",I53=6),INDEX(T!$F327:$F332,MATCH(TRUE,INDEX(T!$F327:$F332&gt;=I29,0),)),IF(AND(I51="4H2",I53=7),INDEX(T!$G327:$G337,MATCH(TRUE,INDEX(T!$G327:$G337&gt;=I29,0),)),IF(AND(I51="4H2",I53=8),INDEX(T!$H327:$H332,MATCH(TRUE,INDEX(T!$H327:$H332&gt;=I29,0),)),IF(AND(I51="4H2",I53=9),INDEX(T!$I327:$I337,MATCH(TRUE,INDEX(T!$I327:$I337&gt;=I29,0),)),IF(AND(I51="4H3",I53=2),INDEX(T!$B343:$B356,MATCH(TRUE,INDEX(T!$B343:$B356&gt;=I29,0),)),IF(AND(I51="4H3",I53=3),INDEX(T!$C$343:$C356,MATCH(TRUE,INDEX(T!$C$343:$C356&gt;=I29,0),)),IF(AND(I51="4H3",I53=4),INDEX(T!$D343:$D356,MATCH(TRUE,INDEX(T!$D343:$D356&gt;=I29,0),)),IF(AND(I51="4H3",I53=5),(INDEX(T!$E343:$E356,MATCH(TRUE,INDEX(T!$E343:$E356&gt;=I29,0),)),IF(AND(I51="4H3",I53=6),INDEX(T!$F343:$F356,MATCH(TRUE,INDEX(T!$F343:$F356&gt;=I29,0),)),IF(AND(I51="4H3",I53=7),INDEX(T!$G343:$G356,MATCH(TRUE,INDEX(T!$G343:$G356&gt;=I29,0),)),IF(AND(I51="4H3",I53=8),INDEX(T!$H343:$H356,MATCH(TRUE,INDEX(T!$H343:$H356&gt;=I29,0),)),IF(AND(I51="4H3",I53=9),INDEX(T!$I343:$I356,MATCH(TRUE,INDEX(T!$I343:$I356&gt;=I29,0),)),IF(AND(I51="4H3",I53=10),INDEX(T!$J343:$J356,MATCH(TRUE,INDEX(T!$J343:$J356&gt;=I29,0),)),IF(AND(I51="4H3",I53=11),INDEX(T!$K343:$K356,MATCH(TRUE,INDEX(T!$K343:$K356&gt;=I29,0),)),IF(AND(I51="4H3",I53=12),INDEX(T!$L$343:$L356,MATCH(TRUE,INDEX(T!$L$343:$L356&gt;=I29,0),)),IF(AND(I51="4H4",I53=2),INDEX(T!$B362:$B367,MATCH(TRUE,INDEX(T!$B362:$B367&gt;=I29,0),)),IF(AND(I51="4H4",I53=3),INDEX(T!$C$362:$C372,MATCH(TRUE,INDEX(T!$C$362:$C372&gt;=I29,0),)),IF(AND(I51="4H4",I53=4),INDEX(T!$D362:$D367,MATCH(TRUE,INDEX(T!$D362:$D367&gt;=I29,0),)),IF(AND(I51="4H4",I53=5),INDEX(T!$E362:$E372,MATCH(TRUE,INDEX(T!$E362:$E372&gt;=I29,0),)),IF(AND(I51="4H4",I53=6),INDEX(T!$F363:$F367,MATCH(TRUE,INDEX(T!$F363:$F367&gt;=I29,0),)),IF(AND(I51="4H4",I53=7),INDEX(T!$G363:$G372,MATCH(TRUE,INDEX(T!$G363:$G372&gt;=I29,0),))))))))))))))))))))))))))))))))))))))),IF(OR(I51="4J1",I51="4J2",I51="4J3",I51="4J4"),IF(AND(I51="4J1",I53=2),INDEX(T!$B378:$B385,MATCH(TRUE,INDEX(T!$B378:$B385&gt;=I29,0),)),IF(AND(I51="4J1",I53=3),INDEX(T!$C$378:$C385,MATCH(TRUE,INDEX(T!$C$378:$C385&gt;=I29,0),)),IF(AND(I51="4J1",I53=4),INDEX(T!$D378:$D385,MATCH(TRUE,INDEX(T!$D378:$D385&gt;=I29,0),)),IF(AND(I51="4J1",I53=5),INDEX(T!$E378:$E385,MATCH(TRUE,INDEX(T!$E378:$E385&gt;=I29,0),)),IF(AND(I51="4J1",I53=6),INDEX(T!$F378:$F391,MATCH(TRUE,INDEX(T!$F378:$F391&gt;=I29,0),)),IF(AND(I51="4J1",I53=7),INDEX(T!$G378:$G391,MATCH(TRUE,INDEX(T!$G378:$G391&gt;=I29,0),)),IF(AND(I51="4J1",I53=8),INDEX(T!$H378:$H391,MATCH(TRUE,INDEX(T!$H378:$H391&gt;=I29,0),)),IF(AND(I51="4J1",I53=9),INDEX(T!$I378:$I391,MATCH(TRUE,INDEX(T!$I378:$I391&gt;=I29,0),)),IF(AND(I51="4J1",I53=10),INDEX(T!$J378:$J391,MATCH(TRUE,INDEX(T!$J378:$J391&gt;=I29,0),)),IF(AND(I51="4J1",I53=11),INDEX(T!$K378:$K391,MATCH(TRUE,INDEX(T!$K378:$K391&gt;=I29,0),)),IF(AND(I51="4J1",I53=12),INDEX(T!$L$378:$L391,MATCH(TRUE,INDEX(T!$L$378:$L391&gt;=I29,0),)),IF(AND(I51="4J2",I53=2),INDEX(T!$B397:$B402,MATCH(TRUE,INDEX(T!$B397:$B402&gt;=I29,0),)),IF(AND(I51="4J2",I53=3),INDEX(T!$C$397:$C407,MATCH(TRUE,INDEX(T!$C$397:$C407&gt;=I29,0),)),IF(AND(I51="4J2",I53=4),INDEX(T!$D397:$D$402,MATCH(TRUE,INDEX(T!$D397:$D$402&gt;=I29,0),)),IF(AND(I51="4J2",I53=5),INDEX(T!$E397:$E407,MATCH(TRUE,INDEX(T!$E397:$E407&gt;=I29,0),)),IF(AND(I51="4J2",I53=6),INDEX(T!$F397:$F402,MATCH(TRUE,INDEX(T!$F397:$F402&gt;=I29,0),)),IF(AND(I51="4J2",I53=7),INDEX(T!$G397:$G407,MATCH(TRUE,INDEX(T!$G397:$G407&gt;=I29,0),)),IF(AND(I51="4J2",I53=8),INDEX(T!$H397:$H402,MATCH(TRUE,INDEX(T!$H397:$H402&gt;=I29,0),)),IF(AND(I51="4J2",I53=9),INDEX(T!$I397:$I407,MATCH(TRUE,INDEX(T!$I397:$I407&gt;=I29,0),)),IF(AND(I51="4J3",I53=2),INDEX(T!$B413:$B426,MATCH(TRUE,INDEX(T!$B413:$B426&gt;=I29,0),)),IF(AND(I51="4J3",I53=3),INDEX(T!$C$413:$C426,MATCH(TRUE,INDEX(T!$C$413:$C426&gt;=I29,0),)),IF(AND(I51="4J3",I53=4),INDEX(T!$D413:$D426,MATCH(TRUE,INDEX(T!$D413:$D426&gt;=I29,0),)),IF(AND(I51="4J3",I53=5),INDEX(T!$E413:$E426,MATCH(TRUE,INDEX(T!$E413:$E426&gt;=I29,0),)),IF(AND(I51="4J3",I53=6),INDEX(T!$F413:$F426,MATCH(TRUE,INDEX(T!$F413:$F426&gt;=I29,0),)),IF(AND(I51="4J3",I53=7),INDEX(T!$G413:$G426,MATCH(TRUE,INDEX(T!$G413:$G426&gt;=I29,0),)),IF(AND(I51="4J3",I53=8),INDEX(T!$H413:$H426,MATCH(TRUE,INDEX(T!$H413:$H426&gt;=I29,0),)),IF(AND(I51="4J3",I53=9),INDEX(T!$I413:$I426,MATCH(TRUE,INDEX(T!$I413:$I426&gt;=I29,0),)),IF(AND(I51="4J3",I53=10),INDEX(T!$J413:$J426,MATCH(TRUE,INDEX(T!$J413:$J426&gt;=I29,0),)),IF(AND(I51="4J3",I53=11),INDEX(T!$K413:$K426,MATCH(TRUE,INDEX(T!$K413:$K426&gt;=I29,0),)),IF(AND(I51="4J3",I53=12),INDEX(T!$L$413:$L426,MATCH(TRUE,INDEX(T!$L$413:$L426&gt;=I29,0),)),IF(AND(I51="4J4",I53=2),INDEX(T!$B432:$B437,MATCH(TRUE,INDEX(T!$B432:$B437&gt;=I29,0),)),IF(AND(I51="4J4",I53=3),INDEX(T!$C$432:$C442,MATCH(TRUE,INDEX(T!$C$432:$C442&gt;=I29,0),)),IF(AND(I51="4J4",I53=4),INDEX(T!$D872:$D877,MATCH(TRUE,INDEX(T!$D872:$D877&gt;=I29,0),)),IF(AND(I51="4J4",I53=5),INDEX(T!$E432:$E442,MATCH(TRUE,INDEX(T!$E432:$E442&gt;=I29,0),)),IF(AND(I51="4J4",I53=6),INDEX(T!$F432:$F437,MATCH(TRUE,INDEX(T!$F432:$F437&gt;=I29,0),)),IF(AND(I51="4J4",I53=7),INDEX(T!$G432:$G442,MATCH(TRUE,INDEX(T!$G432:$G442&gt;=I29,0),)))))))))))))))))))))))))))))))))))))),"")))</f>
        <v/>
      </c>
      <c r="J77" s="136" t="str" cm="1">
        <f t="array" ref="J77">IF(J27="","",IF(OR(J51="4H1",J51="4H2",J51="4H3",J51="4H4"),IF(AND(J51="4H1",J53=2),INDEX(T!$B308:$B315,MATCH(TRUE,INDEX(T!$B308:$B315&gt;=J29,0),)),IF(AND(J51="4H1",J53=3),INDEX(T!$C$308:$C315,MATCH(TRUE,INDEX(T!$C$308:$C315&gt;=J29,0),)),IF(AND(J51="4H1",J53=4),INDEX(T!$D308:$D318,MATCH(TRUE,INDEX(T!$D308:$D318&gt;=J29,0),)),IF(AND(J51="4H1",J53=5),INDEX(T!$E308:$E318,MATCH(TRUE,INDEX(T!$E308:$E318&gt;=J29,0),)),IF(AND(J51="4H1",J53=6),INDEX(T!$F308:$F321,MATCH(TRUE,INDEX(T!$F308:$F321&gt;=J29,0),)),IF(AND(J51="4H1",J53=7),INDEX(T!$G308:$G321,MATCH(TRUE,INDEX(T!$G308:$G321&gt;=J29,0),)),IF(AND(J51="4H1",J53=8),INDEX(T!$H308:$H321,MATCH(TRUE,INDEX(T!$H308:$H321&gt;=J29,0),)),IF(AND(J51="4H1",J53=9),INDEX(T!$I305:$I321,MATCH(TRUE,INDEX(T!$I308:$I321&gt;=J29,0),)),IF(AND(J51="4H1",J53=10),INDEX(T!$J308:$J321,MATCH(TRUE,INDEX(T!$J308:$J321&gt;=J29,0),)),IF(AND(J51="4H1",J53=11),INDEX(T!$K308:$K321,MATCH(TRUE,INDEX(T!$K308:$K321&gt;=J29,0),)),IF(AND(J51="4H1",J53=12),INDEX(T!$L$308:$L321,MATCH(TRUE,INDEX(T!$L$308:$L321&gt;=J29,0),)),IF(AND(J51="4H2",J53=2),INDEX(T!$B327:$B332,MATCH(TRUE,INDEX(T!$B327:$B332&gt;=J29,0),)),IF(AND(J51="4H2",J53=3),INDEX(T!$C$327:$C337,MATCH(TRUE,INDEX(T!$C$327:$C337&gt;=J29,0),)),IF(AND(J51="4H2",J53=4),INDEX(T!$D327:$D332,MATCH(TRUE,INDEX(T!$D327:$D332&gt;=J29,0),)),IF(AND(J51="4H2",J53=5),INDEX(T!$E327:$E337,MATCH(TRUE,INDEX(T!$E327:$E337&gt;=J29,0),)),IF(AND(J51="4H2",J53=6),INDEX(T!$F327:$F332,MATCH(TRUE,INDEX(T!$F327:$F332&gt;=J29,0),)),IF(AND(J51="4H2",J53=7),INDEX(T!$G327:$G337,MATCH(TRUE,INDEX(T!$G327:$G337&gt;=J29,0),)),IF(AND(J51="4H2",J53=8),INDEX(T!$H327:$H332,MATCH(TRUE,INDEX(T!$H327:$H332&gt;=J29,0),)),IF(AND(J51="4H2",J53=9),INDEX(T!$I327:$I337,MATCH(TRUE,INDEX(T!$I327:$I337&gt;=J29,0),)),IF(AND(J51="4H3",J53=2),INDEX(T!$B343:$B356,MATCH(TRUE,INDEX(T!$B343:$B356&gt;=J29,0),)),IF(AND(J51="4H3",J53=3),INDEX(T!$C$343:$C356,MATCH(TRUE,INDEX(T!$C$343:$C356&gt;=J29,0),)),IF(AND(J51="4H3",J53=4),INDEX(T!$D343:$D356,MATCH(TRUE,INDEX(T!$D343:$D356&gt;=J29,0),)),IF(AND(J51="4H3",J53=5),(INDEX(T!$E343:$E356,MATCH(TRUE,INDEX(T!$E343:$E356&gt;=J29,0),)),IF(AND(J51="4H3",J53=6),INDEX(T!$F343:$F356,MATCH(TRUE,INDEX(T!$F343:$F356&gt;=J29,0),)),IF(AND(J51="4H3",J53=7),INDEX(T!$G343:$G356,MATCH(TRUE,INDEX(T!$G343:$G356&gt;=J29,0),)),IF(AND(J51="4H3",J53=8),INDEX(T!$H343:$H356,MATCH(TRUE,INDEX(T!$H343:$H356&gt;=J29,0),)),IF(AND(J51="4H3",J53=9),INDEX(T!$I343:$I356,MATCH(TRUE,INDEX(T!$I343:$I356&gt;=J29,0),)),IF(AND(J51="4H3",J53=10),INDEX(T!$J343:$J356,MATCH(TRUE,INDEX(T!$J343:$J356&gt;=J29,0),)),IF(AND(J51="4H3",J53=11),INDEX(T!$K343:$K356,MATCH(TRUE,INDEX(T!$K343:$K356&gt;=J29,0),)),IF(AND(J51="4H3",J53=12),INDEX(T!$L$343:$L356,MATCH(TRUE,INDEX(T!$L$343:$L356&gt;=J29,0),)),IF(AND(J51="4H4",J53=2),INDEX(T!$B362:$B367,MATCH(TRUE,INDEX(T!$B362:$B367&gt;=J29,0),)),IF(AND(J51="4H4",J53=3),INDEX(T!$C$362:$C372,MATCH(TRUE,INDEX(T!$C$362:$C372&gt;=J29,0),)),IF(AND(J51="4H4",J53=4),INDEX(T!$D362:$D367,MATCH(TRUE,INDEX(T!$D362:$D367&gt;=J29,0),)),IF(AND(J51="4H4",J53=5),INDEX(T!$E362:$E372,MATCH(TRUE,INDEX(T!$E362:$E372&gt;=J29,0),)),IF(AND(J51="4H4",J53=6),INDEX(T!$F363:$F367,MATCH(TRUE,INDEX(T!$F363:$F367&gt;=J29,0),)),IF(AND(J51="4H4",J53=7),INDEX(T!$G363:$G372,MATCH(TRUE,INDEX(T!$G363:$G372&gt;=J29,0),))))))))))))))))))))))))))))))))))))))),IF(OR(J51="4J1",J51="4J2",J51="4J3",J51="4J4"),IF(AND(J51="4J1",J53=2),INDEX(T!$B378:$B385,MATCH(TRUE,INDEX(T!$B378:$B385&gt;=J29,0),)),IF(AND(J51="4J1",J53=3),INDEX(T!$C$378:$C385,MATCH(TRUE,INDEX(T!$C$378:$C385&gt;=J29,0),)),IF(AND(J51="4J1",J53=4),INDEX(T!$D378:$D385,MATCH(TRUE,INDEX(T!$D378:$D385&gt;=J29,0),)),IF(AND(J51="4J1",J53=5),INDEX(T!$E378:$E385,MATCH(TRUE,INDEX(T!$E378:$E385&gt;=J29,0),)),IF(AND(J51="4J1",J53=6),INDEX(T!$F378:$F391,MATCH(TRUE,INDEX(T!$F378:$F391&gt;=J29,0),)),IF(AND(J51="4J1",J53=7),INDEX(T!$G378:$G391,MATCH(TRUE,INDEX(T!$G378:$G391&gt;=J29,0),)),IF(AND(J51="4J1",J53=8),INDEX(T!$H378:$H391,MATCH(TRUE,INDEX(T!$H378:$H391&gt;=J29,0),)),IF(AND(J51="4J1",J53=9),INDEX(T!$I378:$I391,MATCH(TRUE,INDEX(T!$I378:$I391&gt;=J29,0),)),IF(AND(J51="4J1",J53=10),INDEX(T!$J378:$J391,MATCH(TRUE,INDEX(T!$J378:$J391&gt;=J29,0),)),IF(AND(J51="4J1",J53=11),INDEX(T!$K378:$K391,MATCH(TRUE,INDEX(T!$K378:$K391&gt;=J29,0),)),IF(AND(J51="4J1",J53=12),INDEX(T!$L$378:$L391,MATCH(TRUE,INDEX(T!$L$378:$L391&gt;=J29,0),)),IF(AND(J51="4J2",J53=2),INDEX(T!$B397:$B402,MATCH(TRUE,INDEX(T!$B397:$B402&gt;=J29,0),)),IF(AND(J51="4J2",J53=3),INDEX(T!$C$397:$C407,MATCH(TRUE,INDEX(T!$C$397:$C407&gt;=J29,0),)),IF(AND(J51="4J2",J53=4),INDEX(T!$D397:$D$402,MATCH(TRUE,INDEX(T!$D397:$D$402&gt;=J29,0),)),IF(AND(J51="4J2",J53=5),INDEX(T!$E397:$E407,MATCH(TRUE,INDEX(T!$E397:$E407&gt;=J29,0),)),IF(AND(J51="4J2",J53=6),INDEX(T!$F397:$F402,MATCH(TRUE,INDEX(T!$F397:$F402&gt;=J29,0),)),IF(AND(J51="4J2",J53=7),INDEX(T!$G397:$G407,MATCH(TRUE,INDEX(T!$G397:$G407&gt;=J29,0),)),IF(AND(J51="4J2",J53=8),INDEX(T!$H397:$H402,MATCH(TRUE,INDEX(T!$H397:$H402&gt;=J29,0),)),IF(AND(J51="4J2",J53=9),INDEX(T!$I397:$I407,MATCH(TRUE,INDEX(T!$I397:$I407&gt;=J29,0),)),IF(AND(J51="4J3",J53=2),INDEX(T!$B413:$B426,MATCH(TRUE,INDEX(T!$B413:$B426&gt;=J29,0),)),IF(AND(J51="4J3",J53=3),INDEX(T!$C$413:$C426,MATCH(TRUE,INDEX(T!$C$413:$C426&gt;=J29,0),)),IF(AND(J51="4J3",J53=4),INDEX(T!$D413:$D426,MATCH(TRUE,INDEX(T!$D413:$D426&gt;=J29,0),)),IF(AND(J51="4J3",J53=5),INDEX(T!$E413:$E426,MATCH(TRUE,INDEX(T!$E413:$E426&gt;=J29,0),)),IF(AND(J51="4J3",J53=6),INDEX(T!$F413:$F426,MATCH(TRUE,INDEX(T!$F413:$F426&gt;=J29,0),)),IF(AND(J51="4J3",J53=7),INDEX(T!$G413:$G426,MATCH(TRUE,INDEX(T!$G413:$G426&gt;=J29,0),)),IF(AND(J51="4J3",J53=8),INDEX(T!$H413:$H426,MATCH(TRUE,INDEX(T!$H413:$H426&gt;=J29,0),)),IF(AND(J51="4J3",J53=9),INDEX(T!$I413:$I426,MATCH(TRUE,INDEX(T!$I413:$I426&gt;=J29,0),)),IF(AND(J51="4J3",J53=10),INDEX(T!$J413:$J426,MATCH(TRUE,INDEX(T!$J413:$J426&gt;=J29,0),)),IF(AND(J51="4J3",J53=11),INDEX(T!$K413:$K426,MATCH(TRUE,INDEX(T!$K413:$K426&gt;=J29,0),)),IF(AND(J51="4J3",J53=12),INDEX(T!$L$413:$L426,MATCH(TRUE,INDEX(T!$L$413:$L426&gt;=J29,0),)),IF(AND(J51="4J4",J53=2),INDEX(T!$B432:$B437,MATCH(TRUE,INDEX(T!$B432:$B437&gt;=J29,0),)),IF(AND(J51="4J4",J53=3),INDEX(T!$C$432:$C442,MATCH(TRUE,INDEX(T!$C$432:$C442&gt;=J29,0),)),IF(AND(J51="4J4",J53=4),INDEX(T!$D872:$D877,MATCH(TRUE,INDEX(T!$D872:$D877&gt;=J29,0),)),IF(AND(J51="4J4",J53=5),INDEX(T!$E432:$E442,MATCH(TRUE,INDEX(T!$E432:$E442&gt;=J29,0),)),IF(AND(J51="4J4",J53=6),INDEX(T!$F432:$F437,MATCH(TRUE,INDEX(T!$F432:$F437&gt;=J29,0),)),IF(AND(J51="4J4",J53=7),INDEX(T!$G432:$G442,MATCH(TRUE,INDEX(T!$G432:$G442&gt;=J29,0),)))))))))))))))))))))))))))))))))))))),"")))</f>
        <v/>
      </c>
      <c r="K77" s="136" t="str" cm="1">
        <f t="array" ref="K77">IF(K27="","",IF(OR(K51="4H1",K51="4H2",K51="4H3",K51="4H4"),IF(AND(K51="4H1",K53=2),INDEX(T!$B308:$B315,MATCH(TRUE,INDEX(T!$B308:$B315&gt;=K29,0),)),IF(AND(K51="4H1",K53=3),INDEX(T!$C$308:$C315,MATCH(TRUE,INDEX(T!$C$308:$C315&gt;=K29,0),)),IF(AND(K51="4H1",K53=4),INDEX(T!$D308:$D318,MATCH(TRUE,INDEX(T!$D308:$D318&gt;=K29,0),)),IF(AND(K51="4H1",K53=5),INDEX(T!$E308:$E318,MATCH(TRUE,INDEX(T!$E308:$E318&gt;=K29,0),)),IF(AND(K51="4H1",K53=6),INDEX(T!$F308:$F321,MATCH(TRUE,INDEX(T!$F308:$F321&gt;=K29,0),)),IF(AND(K51="4H1",K53=7),INDEX(T!$G308:$G321,MATCH(TRUE,INDEX(T!$G308:$G321&gt;=K29,0),)),IF(AND(K51="4H1",K53=8),INDEX(T!$H308:$H321,MATCH(TRUE,INDEX(T!$H308:$H321&gt;=K29,0),)),IF(AND(K51="4H1",K53=9),INDEX(T!$I305:$I321,MATCH(TRUE,INDEX(T!$I308:$I321&gt;=K29,0),)),IF(AND(K51="4H1",K53=10),INDEX(T!$J308:$J321,MATCH(TRUE,INDEX(T!$J308:$J321&gt;=K29,0),)),IF(AND(K51="4H1",K53=11),INDEX(T!$K308:$K321,MATCH(TRUE,INDEX(T!$K308:$K321&gt;=K29,0),)),IF(AND(K51="4H1",K53=12),INDEX(T!$L$308:$L321,MATCH(TRUE,INDEX(T!$L$308:$L321&gt;=K29,0),)),IF(AND(K51="4H2",K53=2),INDEX(T!$B327:$B332,MATCH(TRUE,INDEX(T!$B327:$B332&gt;=K29,0),)),IF(AND(K51="4H2",K53=3),INDEX(T!$C$327:$C337,MATCH(TRUE,INDEX(T!$C$327:$C337&gt;=K29,0),)),IF(AND(K51="4H2",K53=4),INDEX(T!$D327:$D332,MATCH(TRUE,INDEX(T!$D327:$D332&gt;=K29,0),)),IF(AND(K51="4H2",K53=5),INDEX(T!$E327:$E337,MATCH(TRUE,INDEX(T!$E327:$E337&gt;=K29,0),)),IF(AND(K51="4H2",K53=6),INDEX(T!$F327:$F332,MATCH(TRUE,INDEX(T!$F327:$F332&gt;=K29,0),)),IF(AND(K51="4H2",K53=7),INDEX(T!$G327:$G337,MATCH(TRUE,INDEX(T!$G327:$G337&gt;=K29,0),)),IF(AND(K51="4H2",K53=8),INDEX(T!$H327:$H332,MATCH(TRUE,INDEX(T!$H327:$H332&gt;=K29,0),)),IF(AND(K51="4H2",K53=9),INDEX(T!$I327:$I337,MATCH(TRUE,INDEX(T!$I327:$I337&gt;=K29,0),)),IF(AND(K51="4H3",K53=2),INDEX(T!$B343:$B356,MATCH(TRUE,INDEX(T!$B343:$B356&gt;=K29,0),)),IF(AND(K51="4H3",K53=3),INDEX(T!$C$343:$C356,MATCH(TRUE,INDEX(T!$C$343:$C356&gt;=K29,0),)),IF(AND(K51="4H3",K53=4),INDEX(T!$D343:$D356,MATCH(TRUE,INDEX(T!$D343:$D356&gt;=K29,0),)),IF(AND(K51="4H3",K53=5),(INDEX(T!$E343:$E356,MATCH(TRUE,INDEX(T!$E343:$E356&gt;=K29,0),)),IF(AND(K51="4H3",K53=6),INDEX(T!$F343:$F356,MATCH(TRUE,INDEX(T!$F343:$F356&gt;=K29,0),)),IF(AND(K51="4H3",K53=7),INDEX(T!$G343:$G356,MATCH(TRUE,INDEX(T!$G343:$G356&gt;=K29,0),)),IF(AND(K51="4H3",K53=8),INDEX(T!$H343:$H356,MATCH(TRUE,INDEX(T!$H343:$H356&gt;=K29,0),)),IF(AND(K51="4H3",K53=9),INDEX(T!$I343:$I356,MATCH(TRUE,INDEX(T!$I343:$I356&gt;=K29,0),)),IF(AND(K51="4H3",K53=10),INDEX(T!$J343:$J356,MATCH(TRUE,INDEX(T!$J343:$J356&gt;=K29,0),)),IF(AND(K51="4H3",K53=11),INDEX(T!$K343:$K356,MATCH(TRUE,INDEX(T!$K343:$K356&gt;=K29,0),)),IF(AND(K51="4H3",K53=12),INDEX(T!$L$343:$L356,MATCH(TRUE,INDEX(T!$L$343:$L356&gt;=K29,0),)),IF(AND(K51="4H4",K53=2),INDEX(T!$B362:$B367,MATCH(TRUE,INDEX(T!$B362:$B367&gt;=K29,0),)),IF(AND(K51="4H4",K53=3),INDEX(T!$C$362:$C372,MATCH(TRUE,INDEX(T!$C$362:$C372&gt;=K29,0),)),IF(AND(K51="4H4",K53=4),INDEX(T!$D362:$D367,MATCH(TRUE,INDEX(T!$D362:$D367&gt;=K29,0),)),IF(AND(K51="4H4",K53=5),INDEX(T!$E362:$E372,MATCH(TRUE,INDEX(T!$E362:$E372&gt;=K29,0),)),IF(AND(K51="4H4",K53=6),INDEX(T!$F363:$F367,MATCH(TRUE,INDEX(T!$F363:$F367&gt;=K29,0),)),IF(AND(K51="4H4",K53=7),INDEX(T!$G363:$G372,MATCH(TRUE,INDEX(T!$G363:$G372&gt;=K29,0),))))))))))))))))))))))))))))))))))))))),IF(OR(K51="4J1",K51="4J2",K51="4J3",K51="4J4"),IF(AND(K51="4J1",K53=2),INDEX(T!$B378:$B385,MATCH(TRUE,INDEX(T!$B378:$B385&gt;=K29,0),)),IF(AND(K51="4J1",K53=3),INDEX(T!$C$378:$C385,MATCH(TRUE,INDEX(T!$C$378:$C385&gt;=K29,0),)),IF(AND(K51="4J1",K53=4),INDEX(T!$D378:$D385,MATCH(TRUE,INDEX(T!$D378:$D385&gt;=K29,0),)),IF(AND(K51="4J1",K53=5),INDEX(T!$E378:$E385,MATCH(TRUE,INDEX(T!$E378:$E385&gt;=K29,0),)),IF(AND(K51="4J1",K53=6),INDEX(T!$F378:$F391,MATCH(TRUE,INDEX(T!$F378:$F391&gt;=K29,0),)),IF(AND(K51="4J1",K53=7),INDEX(T!$G378:$G391,MATCH(TRUE,INDEX(T!$G378:$G391&gt;=K29,0),)),IF(AND(K51="4J1",K53=8),INDEX(T!$H378:$H391,MATCH(TRUE,INDEX(T!$H378:$H391&gt;=K29,0),)),IF(AND(K51="4J1",K53=9),INDEX(T!$I378:$I391,MATCH(TRUE,INDEX(T!$I378:$I391&gt;=K29,0),)),IF(AND(K51="4J1",K53=10),INDEX(T!$J378:$J391,MATCH(TRUE,INDEX(T!$J378:$J391&gt;=K29,0),)),IF(AND(K51="4J1",K53=11),INDEX(T!$K378:$K391,MATCH(TRUE,INDEX(T!$K378:$K391&gt;=K29,0),)),IF(AND(K51="4J1",K53=12),INDEX(T!$L$378:$L391,MATCH(TRUE,INDEX(T!$L$378:$L391&gt;=K29,0),)),IF(AND(K51="4J2",K53=2),INDEX(T!$B397:$B402,MATCH(TRUE,INDEX(T!$B397:$B402&gt;=K29,0),)),IF(AND(K51="4J2",K53=3),INDEX(T!$C$397:$C407,MATCH(TRUE,INDEX(T!$C$397:$C407&gt;=K29,0),)),IF(AND(K51="4J2",K53=4),INDEX(T!$D397:$D$402,MATCH(TRUE,INDEX(T!$D397:$D$402&gt;=K29,0),)),IF(AND(K51="4J2",K53=5),INDEX(T!$E397:$E407,MATCH(TRUE,INDEX(T!$E397:$E407&gt;=K29,0),)),IF(AND(K51="4J2",K53=6),INDEX(T!$F397:$F402,MATCH(TRUE,INDEX(T!$F397:$F402&gt;=K29,0),)),IF(AND(K51="4J2",K53=7),INDEX(T!$G397:$G407,MATCH(TRUE,INDEX(T!$G397:$G407&gt;=K29,0),)),IF(AND(K51="4J2",K53=8),INDEX(T!$H397:$H402,MATCH(TRUE,INDEX(T!$H397:$H402&gt;=K29,0),)),IF(AND(K51="4J2",K53=9),INDEX(T!$I397:$I407,MATCH(TRUE,INDEX(T!$I397:$I407&gt;=K29,0),)),IF(AND(K51="4J3",K53=2),INDEX(T!$B413:$B426,MATCH(TRUE,INDEX(T!$B413:$B426&gt;=K29,0),)),IF(AND(K51="4J3",K53=3),INDEX(T!$C$413:$C426,MATCH(TRUE,INDEX(T!$C$413:$C426&gt;=K29,0),)),IF(AND(K51="4J3",K53=4),INDEX(T!$D413:$D426,MATCH(TRUE,INDEX(T!$D413:$D426&gt;=K29,0),)),IF(AND(K51="4J3",K53=5),INDEX(T!$E413:$E426,MATCH(TRUE,INDEX(T!$E413:$E426&gt;=K29,0),)),IF(AND(K51="4J3",K53=6),INDEX(T!$F413:$F426,MATCH(TRUE,INDEX(T!$F413:$F426&gt;=K29,0),)),IF(AND(K51="4J3",K53=7),INDEX(T!$G413:$G426,MATCH(TRUE,INDEX(T!$G413:$G426&gt;=K29,0),)),IF(AND(K51="4J3",K53=8),INDEX(T!$H413:$H426,MATCH(TRUE,INDEX(T!$H413:$H426&gt;=K29,0),)),IF(AND(K51="4J3",K53=9),INDEX(T!$I413:$I426,MATCH(TRUE,INDEX(T!$I413:$I426&gt;=K29,0),)),IF(AND(K51="4J3",K53=10),INDEX(T!$J413:$J426,MATCH(TRUE,INDEX(T!$J413:$J426&gt;=K29,0),)),IF(AND(K51="4J3",K53=11),INDEX(T!$K413:$K426,MATCH(TRUE,INDEX(T!$K413:$K426&gt;=K29,0),)),IF(AND(K51="4J3",K53=12),INDEX(T!$L$413:$L426,MATCH(TRUE,INDEX(T!$L$413:$L426&gt;=K29,0),)),IF(AND(K51="4J4",K53=2),INDEX(T!$B432:$B437,MATCH(TRUE,INDEX(T!$B432:$B437&gt;=K29,0),)),IF(AND(K51="4J4",K53=3),INDEX(T!$C$432:$C442,MATCH(TRUE,INDEX(T!$C$432:$C442&gt;=K29,0),)),IF(AND(K51="4J4",K53=4),INDEX(T!$D872:$D877,MATCH(TRUE,INDEX(T!$D872:$D877&gt;=K29,0),)),IF(AND(K51="4J4",K53=5),INDEX(T!$E432:$E442,MATCH(TRUE,INDEX(T!$E432:$E442&gt;=K29,0),)),IF(AND(K51="4J4",K53=6),INDEX(T!$F432:$F437,MATCH(TRUE,INDEX(T!$F432:$F437&gt;=K29,0),)),IF(AND(K51="4J4",K53=7),INDEX(T!$G432:$G442,MATCH(TRUE,INDEX(T!$G432:$G442&gt;=K29,0),)))))))))))))))))))))))))))))))))))))),"")))</f>
        <v/>
      </c>
      <c r="L77" s="136" t="str" cm="1">
        <f t="array" ref="L77">IF(L27="","",IF(OR(L51="4H1",L51="4H2",L51="4H3",L51="4H4"),IF(AND(L51="4H1",L53=2),INDEX(T!$B308:$B315,MATCH(TRUE,INDEX(T!$B308:$B315&gt;=L29,0),)),IF(AND(L51="4H1",L53=3),INDEX(T!$C$308:$C315,MATCH(TRUE,INDEX(T!$C$308:$C315&gt;=L29,0),)),IF(AND(L51="4H1",L53=4),INDEX(T!$D308:$D318,MATCH(TRUE,INDEX(T!$D308:$D318&gt;=L29,0),)),IF(AND(L51="4H1",L53=5),INDEX(T!$E308:$E318,MATCH(TRUE,INDEX(T!$E308:$E318&gt;=L29,0),)),IF(AND(L51="4H1",L53=6),INDEX(T!$F308:$F321,MATCH(TRUE,INDEX(T!$F308:$F321&gt;=L29,0),)),IF(AND(L51="4H1",L53=7),INDEX(T!$G308:$G321,MATCH(TRUE,INDEX(T!$G308:$G321&gt;=L29,0),)),IF(AND(L51="4H1",L53=8),INDEX(T!$H308:$H321,MATCH(TRUE,INDEX(T!$H308:$H321&gt;=L29,0),)),IF(AND(L51="4H1",L53=9),INDEX(T!$I305:$I321,MATCH(TRUE,INDEX(T!$I308:$I321&gt;=L29,0),)),IF(AND(L51="4H1",L53=10),INDEX(T!$J308:$J321,MATCH(TRUE,INDEX(T!$J308:$J321&gt;=L29,0),)),IF(AND(L51="4H1",L53=11),INDEX(T!$K308:$K321,MATCH(TRUE,INDEX(T!$K308:$K321&gt;=L29,0),)),IF(AND(L51="4H1",L53=12),INDEX(T!$L$308:$L321,MATCH(TRUE,INDEX(T!$L$308:$L321&gt;=L29,0),)),IF(AND(L51="4H2",L53=2),INDEX(T!$B327:$B332,MATCH(TRUE,INDEX(T!$B327:$B332&gt;=L29,0),)),IF(AND(L51="4H2",L53=3),INDEX(T!$C$327:$C337,MATCH(TRUE,INDEX(T!$C$327:$C337&gt;=L29,0),)),IF(AND(L51="4H2",L53=4),INDEX(T!$D327:$D332,MATCH(TRUE,INDEX(T!$D327:$D332&gt;=L29,0),)),IF(AND(L51="4H2",L53=5),INDEX(T!$E327:$E337,MATCH(TRUE,INDEX(T!$E327:$E337&gt;=L29,0),)),IF(AND(L51="4H2",L53=6),INDEX(T!$F327:$F332,MATCH(TRUE,INDEX(T!$F327:$F332&gt;=L29,0),)),IF(AND(L51="4H2",L53=7),INDEX(T!$G327:$G337,MATCH(TRUE,INDEX(T!$G327:$G337&gt;=L29,0),)),IF(AND(L51="4H2",L53=8),INDEX(T!$H327:$H332,MATCH(TRUE,INDEX(T!$H327:$H332&gt;=L29,0),)),IF(AND(L51="4H2",L53=9),INDEX(T!$I327:$I337,MATCH(TRUE,INDEX(T!$I327:$I337&gt;=L29,0),)),IF(AND(L51="4H3",L53=2),INDEX(T!$B343:$B356,MATCH(TRUE,INDEX(T!$B343:$B356&gt;=L29,0),)),IF(AND(L51="4H3",L53=3),INDEX(T!$C$343:$C356,MATCH(TRUE,INDEX(T!$C$343:$C356&gt;=L29,0),)),IF(AND(L51="4H3",L53=4),INDEX(T!$D343:$D356,MATCH(TRUE,INDEX(T!$D343:$D356&gt;=L29,0),)),IF(AND(L51="4H3",L53=5),(INDEX(T!$E343:$E356,MATCH(TRUE,INDEX(T!$E343:$E356&gt;=L29,0),)),IF(AND(L51="4H3",L53=6),INDEX(T!$F343:$F356,MATCH(TRUE,INDEX(T!$F343:$F356&gt;=L29,0),)),IF(AND(L51="4H3",L53=7),INDEX(T!$G343:$G356,MATCH(TRUE,INDEX(T!$G343:$G356&gt;=L29,0),)),IF(AND(L51="4H3",L53=8),INDEX(T!$H343:$H356,MATCH(TRUE,INDEX(T!$H343:$H356&gt;=L29,0),)),IF(AND(L51="4H3",L53=9),INDEX(T!$I343:$I356,MATCH(TRUE,INDEX(T!$I343:$I356&gt;=L29,0),)),IF(AND(L51="4H3",L53=10),INDEX(T!$J343:$J356,MATCH(TRUE,INDEX(T!$J343:$J356&gt;=L29,0),)),IF(AND(L51="4H3",L53=11),INDEX(T!$K343:$K356,MATCH(TRUE,INDEX(T!$K343:$K356&gt;=L29,0),)),IF(AND(L51="4H3",L53=12),INDEX(T!$L$343:$L356,MATCH(TRUE,INDEX(T!$L$343:$L356&gt;=L29,0),)),IF(AND(L51="4H4",L53=2),INDEX(T!$B362:$B367,MATCH(TRUE,INDEX(T!$B362:$B367&gt;=L29,0),)),IF(AND(L51="4H4",L53=3),INDEX(T!$C$362:$C372,MATCH(TRUE,INDEX(T!$C$362:$C372&gt;=L29,0),)),IF(AND(L51="4H4",L53=4),INDEX(T!$D362:$D367,MATCH(TRUE,INDEX(T!$D362:$D367&gt;=L29,0),)),IF(AND(L51="4H4",L53=5),INDEX(T!$E362:$E372,MATCH(TRUE,INDEX(T!$E362:$E372&gt;=L29,0),)),IF(AND(L51="4H4",L53=6),INDEX(T!$F363:$F367,MATCH(TRUE,INDEX(T!$F363:$F367&gt;=L29,0),)),IF(AND(L51="4H4",L53=7),INDEX(T!$G363:$G372,MATCH(TRUE,INDEX(T!$G363:$G372&gt;=L29,0),))))))))))))))))))))))))))))))))))))))),IF(OR(L51="4J1",L51="4J2",L51="4J3",L51="4J4"),IF(AND(L51="4J1",L53=2),INDEX(T!$B378:$B385,MATCH(TRUE,INDEX(T!$B378:$B385&gt;=L29,0),)),IF(AND(L51="4J1",L53=3),INDEX(T!$C$378:$C385,MATCH(TRUE,INDEX(T!$C$378:$C385&gt;=L29,0),)),IF(AND(L51="4J1",L53=4),INDEX(T!$D378:$D385,MATCH(TRUE,INDEX(T!$D378:$D385&gt;=L29,0),)),IF(AND(L51="4J1",L53=5),INDEX(T!$E378:$E385,MATCH(TRUE,INDEX(T!$E378:$E385&gt;=L29,0),)),IF(AND(L51="4J1",L53=6),INDEX(T!$F378:$F391,MATCH(TRUE,INDEX(T!$F378:$F391&gt;=L29,0),)),IF(AND(L51="4J1",L53=7),INDEX(T!$G378:$G391,MATCH(TRUE,INDEX(T!$G378:$G391&gt;=L29,0),)),IF(AND(L51="4J1",L53=8),INDEX(T!$H378:$H391,MATCH(TRUE,INDEX(T!$H378:$H391&gt;=L29,0),)),IF(AND(L51="4J1",L53=9),INDEX(T!$I378:$I391,MATCH(TRUE,INDEX(T!$I378:$I391&gt;=L29,0),)),IF(AND(L51="4J1",L53=10),INDEX(T!$J378:$J391,MATCH(TRUE,INDEX(T!$J378:$J391&gt;=L29,0),)),IF(AND(L51="4J1",L53=11),INDEX(T!$K378:$K391,MATCH(TRUE,INDEX(T!$K378:$K391&gt;=L29,0),)),IF(AND(L51="4J1",L53=12),INDEX(T!$L$378:$L391,MATCH(TRUE,INDEX(T!$L$378:$L391&gt;=L29,0),)),IF(AND(L51="4J2",L53=2),INDEX(T!$B397:$B402,MATCH(TRUE,INDEX(T!$B397:$B402&gt;=L29,0),)),IF(AND(L51="4J2",L53=3),INDEX(T!$C$397:$C407,MATCH(TRUE,INDEX(T!$C$397:$C407&gt;=L29,0),)),IF(AND(L51="4J2",L53=4),INDEX(T!$D397:$D$402,MATCH(TRUE,INDEX(T!$D397:$D$402&gt;=L29,0),)),IF(AND(L51="4J2",L53=5),INDEX(T!$E397:$E407,MATCH(TRUE,INDEX(T!$E397:$E407&gt;=L29,0),)),IF(AND(L51="4J2",L53=6),INDEX(T!$F397:$F402,MATCH(TRUE,INDEX(T!$F397:$F402&gt;=L29,0),)),IF(AND(L51="4J2",L53=7),INDEX(T!$G397:$G407,MATCH(TRUE,INDEX(T!$G397:$G407&gt;=L29,0),)),IF(AND(L51="4J2",L53=8),INDEX(T!$H397:$H402,MATCH(TRUE,INDEX(T!$H397:$H402&gt;=L29,0),)),IF(AND(L51="4J2",L53=9),INDEX(T!$I397:$I407,MATCH(TRUE,INDEX(T!$I397:$I407&gt;=L29,0),)),IF(AND(L51="4J3",L53=2),INDEX(T!$B413:$B426,MATCH(TRUE,INDEX(T!$B413:$B426&gt;=L29,0),)),IF(AND(L51="4J3",L53=3),INDEX(T!$C$413:$C426,MATCH(TRUE,INDEX(T!$C$413:$C426&gt;=L29,0),)),IF(AND(L51="4J3",L53=4),INDEX(T!$D413:$D426,MATCH(TRUE,INDEX(T!$D413:$D426&gt;=L29,0),)),IF(AND(L51="4J3",L53=5),INDEX(T!$E413:$E426,MATCH(TRUE,INDEX(T!$E413:$E426&gt;=L29,0),)),IF(AND(L51="4J3",L53=6),INDEX(T!$F413:$F426,MATCH(TRUE,INDEX(T!$F413:$F426&gt;=L29,0),)),IF(AND(L51="4J3",L53=7),INDEX(T!$G413:$G426,MATCH(TRUE,INDEX(T!$G413:$G426&gt;=L29,0),)),IF(AND(L51="4J3",L53=8),INDEX(T!$H413:$H426,MATCH(TRUE,INDEX(T!$H413:$H426&gt;=L29,0),)),IF(AND(L51="4J3",L53=9),INDEX(T!$I413:$I426,MATCH(TRUE,INDEX(T!$I413:$I426&gt;=L29,0),)),IF(AND(L51="4J3",L53=10),INDEX(T!$J413:$J426,MATCH(TRUE,INDEX(T!$J413:$J426&gt;=L29,0),)),IF(AND(L51="4J3",L53=11),INDEX(T!$K413:$K426,MATCH(TRUE,INDEX(T!$K413:$K426&gt;=L29,0),)),IF(AND(L51="4J3",L53=12),INDEX(T!$L$413:$L426,MATCH(TRUE,INDEX(T!$L$413:$L426&gt;=L29,0),)),IF(AND(L51="4J4",L53=2),INDEX(T!$B432:$B437,MATCH(TRUE,INDEX(T!$B432:$B437&gt;=L29,0),)),IF(AND(L51="4J4",L53=3),INDEX(T!$C$432:$C442,MATCH(TRUE,INDEX(T!$C$432:$C442&gt;=L29,0),)),IF(AND(L51="4J4",L53=4),INDEX(T!$D872:$D877,MATCH(TRUE,INDEX(T!$D872:$D877&gt;=L29,0),)),IF(AND(L51="4J4",L53=5),INDEX(T!$E432:$E442,MATCH(TRUE,INDEX(T!$E432:$E442&gt;=L29,0),)),IF(AND(L51="4J4",L53=6),INDEX(T!$F432:$F437,MATCH(TRUE,INDEX(T!$F432:$F437&gt;=L29,0),)),IF(AND(L51="4J4",L53=7),INDEX(T!$G432:$G442,MATCH(TRUE,INDEX(T!$G432:$G442&gt;=L29,0),)))))))))))))))))))))))))))))))))))))),"")))</f>
        <v/>
      </c>
      <c r="M77" s="136" t="str" cm="1">
        <f t="array" ref="M77">IF(M27="","",IF(OR(M51="4H1",M51="4H2",M51="4H3",M51="4H4"),IF(AND(M51="4H1",M53=2),INDEX(T!$B308:$B315,MATCH(TRUE,INDEX(T!$B308:$B315&gt;=M29,0),)),IF(AND(M51="4H1",M53=3),INDEX(T!$C$308:$C315,MATCH(TRUE,INDEX(T!$C$308:$C315&gt;=M29,0),)),IF(AND(M51="4H1",M53=4),INDEX(T!$D308:$D318,MATCH(TRUE,INDEX(T!$D308:$D318&gt;=M29,0),)),IF(AND(M51="4H1",M53=5),INDEX(T!$E308:$E318,MATCH(TRUE,INDEX(T!$E308:$E318&gt;=M29,0),)),IF(AND(M51="4H1",M53=6),INDEX(T!$F308:$F321,MATCH(TRUE,INDEX(T!$F308:$F321&gt;=M29,0),)),IF(AND(M51="4H1",M53=7),INDEX(T!$G308:$G321,MATCH(TRUE,INDEX(T!$G308:$G321&gt;=M29,0),)),IF(AND(M51="4H1",M53=8),INDEX(T!$H308:$H321,MATCH(TRUE,INDEX(T!$H308:$H321&gt;=M29,0),)),IF(AND(M51="4H1",M53=9),INDEX(T!$I305:$I321,MATCH(TRUE,INDEX(T!$I308:$I321&gt;=M29,0),)),IF(AND(M51="4H1",M53=10),INDEX(T!$J308:$J321,MATCH(TRUE,INDEX(T!$J308:$J321&gt;=M29,0),)),IF(AND(M51="4H1",M53=11),INDEX(T!$K308:$K321,MATCH(TRUE,INDEX(T!$K308:$K321&gt;=M29,0),)),IF(AND(M51="4H1",M53=12),INDEX(T!$L$308:$L321,MATCH(TRUE,INDEX(T!$L$308:$L321&gt;=M29,0),)),IF(AND(M51="4H2",M53=2),INDEX(T!$B327:$B332,MATCH(TRUE,INDEX(T!$B327:$B332&gt;=M29,0),)),IF(AND(M51="4H2",M53=3),INDEX(T!$C$327:$C337,MATCH(TRUE,INDEX(T!$C$327:$C337&gt;=M29,0),)),IF(AND(M51="4H2",M53=4),INDEX(T!$D327:$D332,MATCH(TRUE,INDEX(T!$D327:$D332&gt;=M29,0),)),IF(AND(M51="4H2",M53=5),INDEX(T!$E327:$E337,MATCH(TRUE,INDEX(T!$E327:$E337&gt;=M29,0),)),IF(AND(M51="4H2",M53=6),INDEX(T!$F327:$F332,MATCH(TRUE,INDEX(T!$F327:$F332&gt;=M29,0),)),IF(AND(M51="4H2",M53=7),INDEX(T!$G327:$G337,MATCH(TRUE,INDEX(T!$G327:$G337&gt;=M29,0),)),IF(AND(M51="4H2",M53=8),INDEX(T!$H327:$H332,MATCH(TRUE,INDEX(T!$H327:$H332&gt;=M29,0),)),IF(AND(M51="4H2",M53=9),INDEX(T!$I327:$I337,MATCH(TRUE,INDEX(T!$I327:$I337&gt;=M29,0),)),IF(AND(M51="4H3",M53=2),INDEX(T!$B343:$B356,MATCH(TRUE,INDEX(T!$B343:$B356&gt;=M29,0),)),IF(AND(M51="4H3",M53=3),INDEX(T!$C$343:$C356,MATCH(TRUE,INDEX(T!$C$343:$C356&gt;=M29,0),)),IF(AND(M51="4H3",M53=4),INDEX(T!$D343:$D356,MATCH(TRUE,INDEX(T!$D343:$D356&gt;=M29,0),)),IF(AND(M51="4H3",M53=5),(INDEX(T!$E343:$E356,MATCH(TRUE,INDEX(T!$E343:$E356&gt;=M29,0),)),IF(AND(M51="4H3",M53=6),INDEX(T!$F343:$F356,MATCH(TRUE,INDEX(T!$F343:$F356&gt;=M29,0),)),IF(AND(M51="4H3",M53=7),INDEX(T!$G343:$G356,MATCH(TRUE,INDEX(T!$G343:$G356&gt;=M29,0),)),IF(AND(M51="4H3",M53=8),INDEX(T!$H343:$H356,MATCH(TRUE,INDEX(T!$H343:$H356&gt;=M29,0),)),IF(AND(M51="4H3",M53=9),INDEX(T!$I343:$I356,MATCH(TRUE,INDEX(T!$I343:$I356&gt;=M29,0),)),IF(AND(M51="4H3",M53=10),INDEX(T!$J343:$J356,MATCH(TRUE,INDEX(T!$J343:$J356&gt;=M29,0),)),IF(AND(M51="4H3",M53=11),INDEX(T!$K343:$K356,MATCH(TRUE,INDEX(T!$K343:$K356&gt;=M29,0),)),IF(AND(M51="4H3",M53=12),INDEX(T!$L$343:$L356,MATCH(TRUE,INDEX(T!$L$343:$L356&gt;=M29,0),)),IF(AND(M51="4H4",M53=2),INDEX(T!$B362:$B367,MATCH(TRUE,INDEX(T!$B362:$B367&gt;=M29,0),)),IF(AND(M51="4H4",M53=3),INDEX(T!$C$362:$C372,MATCH(TRUE,INDEX(T!$C$362:$C372&gt;=M29,0),)),IF(AND(M51="4H4",M53=4),INDEX(T!$D362:$D367,MATCH(TRUE,INDEX(T!$D362:$D367&gt;=M29,0),)),IF(AND(M51="4H4",M53=5),INDEX(T!$E362:$E372,MATCH(TRUE,INDEX(T!$E362:$E372&gt;=M29,0),)),IF(AND(M51="4H4",M53=6),INDEX(T!$F363:$F367,MATCH(TRUE,INDEX(T!$F363:$F367&gt;=M29,0),)),IF(AND(M51="4H4",M53=7),INDEX(T!$G363:$G372,MATCH(TRUE,INDEX(T!$G363:$G372&gt;=M29,0),))))))))))))))))))))))))))))))))))))))),IF(OR(M51="4J1",M51="4J2",M51="4J3",M51="4J4"),IF(AND(M51="4J1",M53=2),INDEX(T!$B378:$B385,MATCH(TRUE,INDEX(T!$B378:$B385&gt;=M29,0),)),IF(AND(M51="4J1",M53=3),INDEX(T!$C$378:$C385,MATCH(TRUE,INDEX(T!$C$378:$C385&gt;=M29,0),)),IF(AND(M51="4J1",M53=4),INDEX(T!$D378:$D385,MATCH(TRUE,INDEX(T!$D378:$D385&gt;=M29,0),)),IF(AND(M51="4J1",M53=5),INDEX(T!$E378:$E385,MATCH(TRUE,INDEX(T!$E378:$E385&gt;=M29,0),)),IF(AND(M51="4J1",M53=6),INDEX(T!$F378:$F391,MATCH(TRUE,INDEX(T!$F378:$F391&gt;=M29,0),)),IF(AND(M51="4J1",M53=7),INDEX(T!$G378:$G391,MATCH(TRUE,INDEX(T!$G378:$G391&gt;=M29,0),)),IF(AND(M51="4J1",M53=8),INDEX(T!$H378:$H391,MATCH(TRUE,INDEX(T!$H378:$H391&gt;=M29,0),)),IF(AND(M51="4J1",M53=9),INDEX(T!$I378:$I391,MATCH(TRUE,INDEX(T!$I378:$I391&gt;=M29,0),)),IF(AND(M51="4J1",M53=10),INDEX(T!$J378:$J391,MATCH(TRUE,INDEX(T!$J378:$J391&gt;=M29,0),)),IF(AND(M51="4J1",M53=11),INDEX(T!$K378:$K391,MATCH(TRUE,INDEX(T!$K378:$K391&gt;=M29,0),)),IF(AND(M51="4J1",M53=12),INDEX(T!$L$378:$L391,MATCH(TRUE,INDEX(T!$L$378:$L391&gt;=M29,0),)),IF(AND(M51="4J2",M53=2),INDEX(T!$B397:$B402,MATCH(TRUE,INDEX(T!$B397:$B402&gt;=M29,0),)),IF(AND(M51="4J2",M53=3),INDEX(T!$C$397:$C407,MATCH(TRUE,INDEX(T!$C$397:$C407&gt;=M29,0),)),IF(AND(M51="4J2",M53=4),INDEX(T!$D397:$D$402,MATCH(TRUE,INDEX(T!$D397:$D$402&gt;=M29,0),)),IF(AND(M51="4J2",M53=5),INDEX(T!$E397:$E407,MATCH(TRUE,INDEX(T!$E397:$E407&gt;=M29,0),)),IF(AND(M51="4J2",M53=6),INDEX(T!$F397:$F402,MATCH(TRUE,INDEX(T!$F397:$F402&gt;=M29,0),)),IF(AND(M51="4J2",M53=7),INDEX(T!$G397:$G407,MATCH(TRUE,INDEX(T!$G397:$G407&gt;=M29,0),)),IF(AND(M51="4J2",M53=8),INDEX(T!$H397:$H402,MATCH(TRUE,INDEX(T!$H397:$H402&gt;=M29,0),)),IF(AND(M51="4J2",M53=9),INDEX(T!$I397:$I407,MATCH(TRUE,INDEX(T!$I397:$I407&gt;=M29,0),)),IF(AND(M51="4J3",M53=2),INDEX(T!$B413:$B426,MATCH(TRUE,INDEX(T!$B413:$B426&gt;=M29,0),)),IF(AND(M51="4J3",M53=3),INDEX(T!$C$413:$C426,MATCH(TRUE,INDEX(T!$C$413:$C426&gt;=M29,0),)),IF(AND(M51="4J3",M53=4),INDEX(T!$D413:$D426,MATCH(TRUE,INDEX(T!$D413:$D426&gt;=M29,0),)),IF(AND(M51="4J3",M53=5),INDEX(T!$E413:$E426,MATCH(TRUE,INDEX(T!$E413:$E426&gt;=M29,0),)),IF(AND(M51="4J3",M53=6),INDEX(T!$F413:$F426,MATCH(TRUE,INDEX(T!$F413:$F426&gt;=M29,0),)),IF(AND(M51="4J3",M53=7),INDEX(T!$G413:$G426,MATCH(TRUE,INDEX(T!$G413:$G426&gt;=M29,0),)),IF(AND(M51="4J3",M53=8),INDEX(T!$H413:$H426,MATCH(TRUE,INDEX(T!$H413:$H426&gt;=M29,0),)),IF(AND(M51="4J3",M53=9),INDEX(T!$I413:$I426,MATCH(TRUE,INDEX(T!$I413:$I426&gt;=M29,0),)),IF(AND(M51="4J3",M53=10),INDEX(T!$J413:$J426,MATCH(TRUE,INDEX(T!$J413:$J426&gt;=M29,0),)),IF(AND(M51="4J3",M53=11),INDEX(T!$K413:$K426,MATCH(TRUE,INDEX(T!$K413:$K426&gt;=M29,0),)),IF(AND(M51="4J3",M53=12),INDEX(T!$L$413:$L426,MATCH(TRUE,INDEX(T!$L$413:$L426&gt;=M29,0),)),IF(AND(M51="4J4",M53=2),INDEX(T!$B432:$B437,MATCH(TRUE,INDEX(T!$B432:$B437&gt;=M29,0),)),IF(AND(M51="4J4",M53=3),INDEX(T!$C$432:$C442,MATCH(TRUE,INDEX(T!$C$432:$C442&gt;=M29,0),)),IF(AND(M51="4J4",M53=4),INDEX(T!$D872:$D877,MATCH(TRUE,INDEX(T!$D872:$D877&gt;=M29,0),)),IF(AND(M51="4J4",M53=5),INDEX(T!$E432:$E442,MATCH(TRUE,INDEX(T!$E432:$E442&gt;=M29,0),)),IF(AND(M51="4J4",M53=6),INDEX(T!$F432:$F437,MATCH(TRUE,INDEX(T!$F432:$F437&gt;=M29,0),)),IF(AND(M51="4J4",M53=7),INDEX(T!$G432:$G442,MATCH(TRUE,INDEX(T!$G432:$G442&gt;=M29,0),)))))))))))))))))))))))))))))))))))))),"")))</f>
        <v/>
      </c>
      <c r="N77" s="136" t="str" cm="1">
        <f t="array" ref="N77">IF(N27="","",IF(OR(N51="4H1",N51="4H2",N51="4H3",N51="4H4"),IF(AND(N51="4H1",N53=2),INDEX(T!$B308:$B315,MATCH(TRUE,INDEX(T!$B308:$B315&gt;=N29,0),)),IF(AND(N51="4H1",N53=3),INDEX(T!$C$308:$C315,MATCH(TRUE,INDEX(T!$C$308:$C315&gt;=N29,0),)),IF(AND(N51="4H1",N53=4),INDEX(T!$D308:$D318,MATCH(TRUE,INDEX(T!$D308:$D318&gt;=N29,0),)),IF(AND(N51="4H1",N53=5),INDEX(T!$E308:$E318,MATCH(TRUE,INDEX(T!$E308:$E318&gt;=N29,0),)),IF(AND(N51="4H1",N53=6),INDEX(T!$F308:$F321,MATCH(TRUE,INDEX(T!$F308:$F321&gt;=N29,0),)),IF(AND(N51="4H1",N53=7),INDEX(T!$G308:$G321,MATCH(TRUE,INDEX(T!$G308:$G321&gt;=N29,0),)),IF(AND(N51="4H1",N53=8),INDEX(T!$H308:$H321,MATCH(TRUE,INDEX(T!$H308:$H321&gt;=N29,0),)),IF(AND(N51="4H1",N53=9),INDEX(T!$I305:$I321,MATCH(TRUE,INDEX(T!$I308:$I321&gt;=N29,0),)),IF(AND(N51="4H1",N53=10),INDEX(T!$J308:$J321,MATCH(TRUE,INDEX(T!$J308:$J321&gt;=N29,0),)),IF(AND(N51="4H1",N53=11),INDEX(T!$K308:$K321,MATCH(TRUE,INDEX(T!$K308:$K321&gt;=N29,0),)),IF(AND(N51="4H1",N53=12),INDEX(T!$L$308:$L321,MATCH(TRUE,INDEX(T!$L$308:$L321&gt;=N29,0),)),IF(AND(N51="4H2",N53=2),INDEX(T!$B327:$B332,MATCH(TRUE,INDEX(T!$B327:$B332&gt;=N29,0),)),IF(AND(N51="4H2",N53=3),INDEX(T!$C$327:$C337,MATCH(TRUE,INDEX(T!$C$327:$C337&gt;=N29,0),)),IF(AND(N51="4H2",N53=4),INDEX(T!$D327:$D332,MATCH(TRUE,INDEX(T!$D327:$D332&gt;=N29,0),)),IF(AND(N51="4H2",N53=5),INDEX(T!$E327:$E337,MATCH(TRUE,INDEX(T!$E327:$E337&gt;=N29,0),)),IF(AND(N51="4H2",N53=6),INDEX(T!$F327:$F332,MATCH(TRUE,INDEX(T!$F327:$F332&gt;=N29,0),)),IF(AND(N51="4H2",N53=7),INDEX(T!$G327:$G337,MATCH(TRUE,INDEX(T!$G327:$G337&gt;=N29,0),)),IF(AND(N51="4H2",N53=8),INDEX(T!$H327:$H332,MATCH(TRUE,INDEX(T!$H327:$H332&gt;=N29,0),)),IF(AND(N51="4H2",N53=9),INDEX(T!$I327:$I337,MATCH(TRUE,INDEX(T!$I327:$I337&gt;=N29,0),)),IF(AND(N51="4H3",N53=2),INDEX(T!$B343:$B356,MATCH(TRUE,INDEX(T!$B343:$B356&gt;=N29,0),)),IF(AND(N51="4H3",N53=3),INDEX(T!$C$343:$C356,MATCH(TRUE,INDEX(T!$C$343:$C356&gt;=N29,0),)),IF(AND(N51="4H3",N53=4),INDEX(T!$D343:$D356,MATCH(TRUE,INDEX(T!$D343:$D356&gt;=N29,0),)),IF(AND(N51="4H3",N53=5),(INDEX(T!$E343:$E356,MATCH(TRUE,INDEX(T!$E343:$E356&gt;=N29,0),)),IF(AND(N51="4H3",N53=6),INDEX(T!$F343:$F356,MATCH(TRUE,INDEX(T!$F343:$F356&gt;=N29,0),)),IF(AND(N51="4H3",N53=7),INDEX(T!$G343:$G356,MATCH(TRUE,INDEX(T!$G343:$G356&gt;=N29,0),)),IF(AND(N51="4H3",N53=8),INDEX(T!$H343:$H356,MATCH(TRUE,INDEX(T!$H343:$H356&gt;=N29,0),)),IF(AND(N51="4H3",N53=9),INDEX(T!$I343:$I356,MATCH(TRUE,INDEX(T!$I343:$I356&gt;=N29,0),)),IF(AND(N51="4H3",N53=10),INDEX(T!$J343:$J356,MATCH(TRUE,INDEX(T!$J343:$J356&gt;=N29,0),)),IF(AND(N51="4H3",N53=11),INDEX(T!$K343:$K356,MATCH(TRUE,INDEX(T!$K343:$K356&gt;=N29,0),)),IF(AND(N51="4H3",N53=12),INDEX(T!$L$343:$L356,MATCH(TRUE,INDEX(T!$L$343:$L356&gt;=N29,0),)),IF(AND(N51="4H4",N53=2),INDEX(T!$B362:$B367,MATCH(TRUE,INDEX(T!$B362:$B367&gt;=N29,0),)),IF(AND(N51="4H4",N53=3),INDEX(T!$C$362:$C372,MATCH(TRUE,INDEX(T!$C$362:$C372&gt;=N29,0),)),IF(AND(N51="4H4",N53=4),INDEX(T!$D362:$D367,MATCH(TRUE,INDEX(T!$D362:$D367&gt;=N29,0),)),IF(AND(N51="4H4",N53=5),INDEX(T!$E362:$E372,MATCH(TRUE,INDEX(T!$E362:$E372&gt;=N29,0),)),IF(AND(N51="4H4",N53=6),INDEX(T!$F363:$F367,MATCH(TRUE,INDEX(T!$F363:$F367&gt;=N29,0),)),IF(AND(N51="4H4",N53=7),INDEX(T!$G363:$G372,MATCH(TRUE,INDEX(T!$G363:$G372&gt;=N29,0),))))))))))))))))))))))))))))))))))))))),IF(OR(N51="4J1",N51="4J2",N51="4J3",N51="4J4"),IF(AND(N51="4J1",N53=2),INDEX(T!$B378:$B385,MATCH(TRUE,INDEX(T!$B378:$B385&gt;=N29,0),)),IF(AND(N51="4J1",N53=3),INDEX(T!$C$378:$C385,MATCH(TRUE,INDEX(T!$C$378:$C385&gt;=N29,0),)),IF(AND(N51="4J1",N53=4),INDEX(T!$D378:$D385,MATCH(TRUE,INDEX(T!$D378:$D385&gt;=N29,0),)),IF(AND(N51="4J1",N53=5),INDEX(T!$E378:$E385,MATCH(TRUE,INDEX(T!$E378:$E385&gt;=N29,0),)),IF(AND(N51="4J1",N53=6),INDEX(T!$F378:$F391,MATCH(TRUE,INDEX(T!$F378:$F391&gt;=N29,0),)),IF(AND(N51="4J1",N53=7),INDEX(T!$G378:$G391,MATCH(TRUE,INDEX(T!$G378:$G391&gt;=N29,0),)),IF(AND(N51="4J1",N53=8),INDEX(T!$H378:$H391,MATCH(TRUE,INDEX(T!$H378:$H391&gt;=N29,0),)),IF(AND(N51="4J1",N53=9),INDEX(T!$I378:$I391,MATCH(TRUE,INDEX(T!$I378:$I391&gt;=N29,0),)),IF(AND(N51="4J1",N53=10),INDEX(T!$J378:$J391,MATCH(TRUE,INDEX(T!$J378:$J391&gt;=N29,0),)),IF(AND(N51="4J1",N53=11),INDEX(T!$K378:$K391,MATCH(TRUE,INDEX(T!$K378:$K391&gt;=N29,0),)),IF(AND(N51="4J1",N53=12),INDEX(T!$L$378:$L391,MATCH(TRUE,INDEX(T!$L$378:$L391&gt;=N29,0),)),IF(AND(N51="4J2",N53=2),INDEX(T!$B397:$B402,MATCH(TRUE,INDEX(T!$B397:$B402&gt;=N29,0),)),IF(AND(N51="4J2",N53=3),INDEX(T!$C$397:$C407,MATCH(TRUE,INDEX(T!$C$397:$C407&gt;=N29,0),)),IF(AND(N51="4J2",N53=4),INDEX(T!$D397:$D$402,MATCH(TRUE,INDEX(T!$D397:$D$402&gt;=N29,0),)),IF(AND(N51="4J2",N53=5),INDEX(T!$E397:$E407,MATCH(TRUE,INDEX(T!$E397:$E407&gt;=N29,0),)),IF(AND(N51="4J2",N53=6),INDEX(T!$F397:$F402,MATCH(TRUE,INDEX(T!$F397:$F402&gt;=N29,0),)),IF(AND(N51="4J2",N53=7),INDEX(T!$G397:$G407,MATCH(TRUE,INDEX(T!$G397:$G407&gt;=N29,0),)),IF(AND(N51="4J2",N53=8),INDEX(T!$H397:$H402,MATCH(TRUE,INDEX(T!$H397:$H402&gt;=N29,0),)),IF(AND(N51="4J2",N53=9),INDEX(T!$I397:$I407,MATCH(TRUE,INDEX(T!$I397:$I407&gt;=N29,0),)),IF(AND(N51="4J3",N53=2),INDEX(T!$B413:$B426,MATCH(TRUE,INDEX(T!$B413:$B426&gt;=N29,0),)),IF(AND(N51="4J3",N53=3),INDEX(T!$C$413:$C426,MATCH(TRUE,INDEX(T!$C$413:$C426&gt;=N29,0),)),IF(AND(N51="4J3",N53=4),INDEX(T!$D413:$D426,MATCH(TRUE,INDEX(T!$D413:$D426&gt;=N29,0),)),IF(AND(N51="4J3",N53=5),INDEX(T!$E413:$E426,MATCH(TRUE,INDEX(T!$E413:$E426&gt;=N29,0),)),IF(AND(N51="4J3",N53=6),INDEX(T!$F413:$F426,MATCH(TRUE,INDEX(T!$F413:$F426&gt;=N29,0),)),IF(AND(N51="4J3",N53=7),INDEX(T!$G413:$G426,MATCH(TRUE,INDEX(T!$G413:$G426&gt;=N29,0),)),IF(AND(N51="4J3",N53=8),INDEX(T!$H413:$H426,MATCH(TRUE,INDEX(T!$H413:$H426&gt;=N29,0),)),IF(AND(N51="4J3",N53=9),INDEX(T!$I413:$I426,MATCH(TRUE,INDEX(T!$I413:$I426&gt;=N29,0),)),IF(AND(N51="4J3",N53=10),INDEX(T!$J413:$J426,MATCH(TRUE,INDEX(T!$J413:$J426&gt;=N29,0),)),IF(AND(N51="4J3",N53=11),INDEX(T!$K413:$K426,MATCH(TRUE,INDEX(T!$K413:$K426&gt;=N29,0),)),IF(AND(N51="4J3",N53=12),INDEX(T!$L$413:$L426,MATCH(TRUE,INDEX(T!$L$413:$L426&gt;=N29,0),)),IF(AND(N51="4J4",N53=2),INDEX(T!$B432:$B437,MATCH(TRUE,INDEX(T!$B432:$B437&gt;=N29,0),)),IF(AND(N51="4J4",N53=3),INDEX(T!$C$432:$C442,MATCH(TRUE,INDEX(T!$C$432:$C442&gt;=N29,0),)),IF(AND(N51="4J4",N53=4),INDEX(T!$D872:$D877,MATCH(TRUE,INDEX(T!$D872:$D877&gt;=N29,0),)),IF(AND(N51="4J4",N53=5),INDEX(T!$E432:$E442,MATCH(TRUE,INDEX(T!$E432:$E442&gt;=N29,0),)),IF(AND(N51="4J4",N53=6),INDEX(T!$F432:$F437,MATCH(TRUE,INDEX(T!$F432:$F437&gt;=N29,0),)),IF(AND(N51="4J4",N53=7),INDEX(T!$G432:$G442,MATCH(TRUE,INDEX(T!$G432:$G442&gt;=N29,0),)))))))))))))))))))))))))))))))))))))),"")))</f>
        <v/>
      </c>
      <c r="O77" s="135" t="str">
        <f>IF(N77&lt;&gt;"","A","")</f>
        <v/>
      </c>
    </row>
    <row r="78" spans="1:43" s="123" customFormat="1" ht="16">
      <c r="A78" s="129"/>
      <c r="B78" s="176" t="s">
        <v>2113</v>
      </c>
      <c r="C78" s="129"/>
      <c r="D78" s="129">
        <f>IF(D29="","",IF(ISNUMBER(SEARCH("4D",D51)),IF(AND(D51="4D1",D53=2),LOOKUP(D75,T!$B6:$B22,T!$M6:$M27),IF(AND(D51="4D1",D53=3),LOOKUP(D75,T!$C6:$C22,T!$M6:$M27),IF(AND(D51="4D1",D53=4),LOOKUP(D75,T!$D6:$D25,T!$M6:$M27),IF(AND(D51="4D1",D53=5),LOOKUP(D75,T!$E6:$E25,T!$M6:$M27),IF(AND(D51="4D1",D53=6),LOOKUP(D75,T!$F6:$F27,T!$M6:$M27),IF(AND(D51="4D1",D53=7),LOOKUP(D75,T!$G6:$G27,T!$M6:$M27),IF(AND(D51="4D1",D53=8),LOOKUP(D75,T!$H13:$H27,T!$M13:$M27),IF(AND(D51="4D1",D53=9),LOOKUP(D75,T!$I13:$I27,T!$M13:$M27),IF(AND(D51="4D1",D53=10),LOOKUP(D75,T!$J13:$J27,T!$M13:$M27),IF(AND(D51="4D1",D53=11),LOOKUP(D75,T!$K13:$K27,T!$M13:$M27),IF(AND(D51="4D1",D53=12),LOOKUP(D75,T!$L13:$L27,T!$M13:$M27),IF(AND(D51="4D2",D53=2),LOOKUP(D75,T!$B33:$B49,T!$J33:$J50),IF(AND(D51="4D2",D53=3),LOOKUP(D75,T!$C33:$C49,T!$J33:$J50),IF(AND(D51="4D2",D53=4),LOOKUP(D75,T!$D33:$D50,T!$J33:$J50),IF(AND(D51="4D2",D53=5),LOOKUP(D75,T!$E33:$E50,T!$J33:$J50),IF(AND(D51="4D2",D53=6),LOOKUP(D75,T!$F33:$F50,T!$J33:$J50),IF(AND(D51="4D2",D53=7),LOOKUP(D75,T!$G33:$G50,T!$J33:$J50),IF(AND(D51="4D2",D53=8),LOOKUP(D75,T!$H33:$H50,T!$J33:$J50),IF(AND(D51="4D2",D53=9),LOOKUP(D75,T!$I33:$I50,T!$J33:$J50),IF(AND(D51="4D3",D53=2),LOOKUP(D75,T!$B56:$B68,T!$M56:$M68),IF(AND(D51="4D3",D53=3),LOOKUP(D75,T!$C56:$C68,T!$M56:$M68),IF(AND(D51="4D3",D53=4),LOOKUP(D75,T!$D56:$D$68,T!$M56:$M68),IF(AND(D51="4D3",D53=5),LOOKUP(D75,T!$E56:$E68,T!$M56:$M68),IF(AND(D51="4D3",D53=6),LOOKUP(D75,T!$F56:$F68,T!$M56:$M68),IF(AND(D51="4D3",D53=7),LOOKUP(D75,T!$G56:$G68,T!$M56:$M68),IF(AND(D51="4D3",D53=8),LOOKUP(D75,T!$H56:$H68,T!$M56:$M68),IF(AND(D51="4D3",D53=9),LOOKUP(D75,T!$I56:$I68,T!$M56:$M68),IF(AND(D51="4D3",D53=10),LOOKUP(D75,T!$J56:$J68,T!$M56:$M68),IF(AND(D51="4D3",D53=11),LOOKUP(D75,T!$K56:$K68,T!$M56:$M68),IF(AND(D51="4D3",D53=12),LOOKUP(D75,T!$L56:$L68,T!$M56:$M68),IF(AND(D51="4D4",D53=2),LOOKUP(D75,T!$B74:$B90,T!$H74:$H90),IF(AND(D51="4D4",D53=3),LOOKUP(D75,T!$C74:$C90,T!$H74:$H90),IF(AND(D51="4D4",D53=4),LOOKUP(D75,T!$D74:$D90,T!$H74:$H90),IF(AND(D51="4D4",D53=5),LOOKUP(D75,T!$E74:$E90,T!$H74:$H90),IF(AND(D51="4D4",D53=6),LOOKUP(D75,T!$F74:$F89,T!$H74:$H90),IF(AND(D51="4D4",D53=7),LOOKUP(D75,T!$G74:$G89,T!$H74:$H90),IF(AND(D51="4D5",D53=2),LOOKUP(D75,T!$B96:$B102,T!$I96:$I102),IF(AND(D51="4D5",D53=3),LOOKUP(D75,T!$C96:$C102,T!$I96:$I102),IF(AND(D51="4D5",D53=4),LOOKUP(D75,T!$D96:$D102,T!$I96:$I102),IF(AND(D51="4D5",D53=5),LOOKUP(D75,T!$E96:$E102,T!$I96:$I102),IF(AND(D51="4D5",D53=6),LOOKUP(D75,T!$F96:$F102,T!$I96:$I102),IF(AND(D51="4D5",D53=7),LOOKUP(D75,T!$G96:$G102,T!$I96:$I102),"-")))))))))))))))))))))))))))))))))))))))))),IF(ISNUMBER(SEARCH("4E",D51)),IF(AND(D51="4E1",D53=2),LOOKUP(D75,T!$B108:$B124,T!$M108:$M129),IF(AND(D51="4E1",D53=3),LOOKUP(D75,T!$C108:$C124,T!$M108:$M129),IF(AND(D51="4E1",D53=4),LOOKUP(D75,T!$D108:$D127,T!$M108:$M129),IF(AND(D51="4E1",D53=5),LOOKUP(D75,T!$E108:$E127,T!$M108:$M129),IF(AND(D51="4E1",D53=6),LOOKUP(D75,T!$F108:$F129,T!$M108:$M129),IF(AND(D51="4E1",D53=7),LOOKUP(D75,T!$G108:$G129,T!$M108:$M129),IF(AND(D51="4E1",D53=8),LOOKUP(D75,T!$H115:$H129,T!$M115:$M129),IF(AND(D51="4E1",D53=9),LOOKUP(D75,T!$I115:$I129,T!$M115:$M129),IF(AND(D51="4E1",D53=10),LOOKUP(D75,T!$J115:$J129,T!$M115:$M129),IF(AND(D51="4E1",D53=11),LOOKUP(D75,T!$K115:$K129,T!$M115:$M129),IF(AND(D51="4E1",D53=12),LOOKUP(D75,T!$L115:$L129,T!$M115:$M129),IF(AND(D51="4E2",D53=2),LOOKUP(D75,T!$B134:$B151,T!$J134:$J152),IF(AND(D51="4E2",D53=3),LOOKUP(D75,T!$C134:$C151,T!$J134:$J152),IF(AND(D51="4E2",D53=4),LOOKUP(D75,T!$D134:$D152,T!$J134:$J152),IF(AND(D51="4E2",D53=5),LOOKUP(D75,T!$E134:$E152,T!$J134:$J152),IF(AND(D51="4E2",D53=6),LOOKUP(D75,T!$F134:$F152,T!$J134:$J152),IF(AND(D51="4E2",D53=7),LOOKUP(D75,T!$G134:$G152,T!$J134:$J152),IF(AND(D51="4E2",D53=8),LOOKUP(D75,T!$H134:$H152,T!$J134:$J152),IF(AND(D51="4E2",D53=9),LOOKUP(D75,T!$I134:$I152,T!$J134:$J152),IF(AND(D51="4E3",D53=2),LOOKUP(D75,T!$B158:$B170,T!$M158:$M170),IF(AND(D51="4E3",D53=3),LOOKUP(D75,T!$C158:$C170,T!$M158:$M170),IF(AND(D51="4E3",D53=4),LOOKUP(D75,T!$D158:$D170,T!$M158:$M170),IF(AND(D51="4E3",D53=5),LOOKUP(D75,T!$E158:$E170,T!$M158:$M170),IF(AND(D51="4E3",D53=6),LOOKUP(D75,T!$F158:$F170,T!$M158:$M170),IF(AND(D51="4E3",D53=7),LOOKUP(D75,T!$G158:$G170,T!$M158:$M170),IF(AND(D51="4E3",D53=8),LOOKUP(D75,T!$H158:$H170,T!$M158:$M170),IF(AND(D51="4E3",D53=9),LOOKUP(D75,T!$I158:$I170,T!$M158:$M170),IF(AND(D51="4E3",D53=10),LOOKUP(D75,T!$J158:$J170,T!$M158:$M170),IF(AND(D51="4E3",D53=11),LOOKUP(D75,T!$K158:$K170,T!$M158:$M170),IF(AND(D51="4E3",D53=12),LOOKUP(D75,T!$L158:$L170,T!$M158:$M170),IF(AND(D51="4E4",D53=2),LOOKUP(D75,T!$B176:$B192,T!$H176:$H192),IF(AND(D51="4E4",D53=3),LOOKUP(D75,T!$C176:$C192,T!$H176:$H192),IF(AND(D51="4E4",D53=4),LOOKUP(D75,T!$D176:$D192,T!$H176:$H192),IF(AND(D51="4E4",D53=5),LOOKUP(D75,T!$E176:$E192,T!$H176:$H192),IF(AND(D51="4E4",D53=6),LOOKUP(D75,T!$F176:$F191,T!$H176:$H192),IF(AND(D51="4E4",D53=7),LOOKUP(D75,T!$G176:$G191,T!$H176:$H192),"-")))))))))))))))))))))))))))))))))))),IF(ISNUMBER(SEARCH("4F",D51)),IF(AND(D51="4F1",D53=2),LOOKUP(D75,T!$B198:$B202,T!$E198:$E214),IF(AND(D51="4F1",D53=3),LOOKUP(D75,T!$C198:$C211,T!$E198:$E214),IF(AND(D51="4F1",D53=4),LOOKUP(D75,T!$D203:$D214,T!$E203:$E214),IF(AND(D51="4F2",D53=2),LOOKUP(D75,T!$B220:$B224,T!$E220:$E236),IF(AND(D51="4F2",D53=3),LOOKUP(D75,T!$C220:$C233,T!$E220:$E236),IF(AND(D51="4F2",D53=4),LOOKUP(D75,T!$D225:$D236,T!$E225:$E236),IF(AND(D51="4F3",D53=2),LOOKUP(D75,T!$B242:$B248,T!$E242:$E248),IF(AND(D51="4F3",D53=3),LOOKUP(D75,T!$C242:$C248,T!$E242:$E248),"-")))))))),""))))</f>
        <v>4</v>
      </c>
      <c r="E78" s="129">
        <f ca="1">IF(E29="","",IF(ISNUMBER(SEARCH("4D",E51)),IF(AND(E51="4D1",E53=2),LOOKUP(E75,T!$B6:$B22,T!$M6:$M27),IF(AND(E51="4D1",E53=3),LOOKUP(E75,T!$C6:$C22,T!$M6:$M27),IF(AND(E51="4D1",E53=4),LOOKUP(E75,T!$D6:$D25,T!$M6:$M27),IF(AND(E51="4D1",E53=5),LOOKUP(E75,T!$E6:$E25,T!$M6:$M27),IF(AND(E51="4D1",E53=6),LOOKUP(E75,T!$F6:$F27,T!$M6:$M27),IF(AND(E51="4D1",E53=7),LOOKUP(E75,T!$G6:$G27,T!$M6:$M27),IF(AND(E51="4D1",E53=8),LOOKUP(E75,T!$H13:$H27,T!$M13:$M27),IF(AND(E51="4D1",E53=9),LOOKUP(E75,T!$I13:$I27,T!$M13:$M27),IF(AND(E51="4D1",E53=10),LOOKUP(E75,T!$J13:$J27,T!$M13:$M27),IF(AND(E51="4D1",E53=11),LOOKUP(E75,T!$K13:$K27,T!$M13:$M27),IF(AND(E51="4D1",E53=12),LOOKUP(E75,T!$L13:$L27,T!$M13:$M27),IF(AND(E51="4D2",E53=2),LOOKUP(E75,T!$B33:$B49,T!$J33:$J50),IF(AND(E51="4D2",E53=3),LOOKUP(E75,T!$C33:$C49,T!$J33:$J50),IF(AND(E51="4D2",E53=4),LOOKUP(E75,T!$D33:$D50,T!$J33:$J50),IF(AND(E51="4D2",E53=5),LOOKUP(E75,T!$E33:$E50,T!$J33:$J50),IF(AND(E51="4D2",E53=6),LOOKUP(E75,T!$F33:$F50,T!$J33:$J50),IF(AND(E51="4D2",E53=7),LOOKUP(E75,T!$G33:$G50,T!$J33:$J50),IF(AND(E51="4D2",E53=8),LOOKUP(E75,T!$H33:$H50,T!$J33:$J50),IF(AND(E51="4D2",E53=9),LOOKUP(E75,T!$I33:$I50,T!$J33:$J50),IF(AND(E51="4D3",E53=2),LOOKUP(E75,T!$B56:$B68,T!$M56:$M68),IF(AND(E51="4D3",E53=3),LOOKUP(E75,T!$C56:$C68,T!$M56:$M68),IF(AND(E51="4D3",E53=4),LOOKUP(E75,T!$D56:$D$68,T!$M56:$M68),IF(AND(E51="4D3",E53=5),LOOKUP(E75,T!$E56:$E68,T!$M56:$M68),IF(AND(E51="4D3",E53=6),LOOKUP(E75,T!$F56:$F68,T!$M56:$M68),IF(AND(E51="4D3",E53=7),LOOKUP(E75,T!$G56:$G68,T!$M56:$M68),IF(AND(E51="4D3",E53=8),LOOKUP(E75,T!$H56:$H68,T!$M56:$M68),IF(AND(E51="4D3",E53=9),LOOKUP(E75,T!$I56:$I68,T!$M56:$M68),IF(AND(E51="4D3",E53=10),LOOKUP(E75,T!$J56:$J68,T!$M56:$M68),IF(AND(E51="4D3",E53=11),LOOKUP(E75,T!$K56:$K68,T!$M56:$M68),IF(AND(E51="4D3",E53=12),LOOKUP(E75,T!$L56:$L68,T!$M56:$M68),IF(AND(E51="4D4",E53=2),LOOKUP(E75,T!$B74:$B90,T!$H74:$H90),IF(AND(E51="4D4",E53=3),LOOKUP(E75,T!$C74:$C90,T!$H74:$H90),IF(AND(E51="4D4",E53=4),LOOKUP(E75,T!$D74:$D90,T!$H74:$H90),IF(AND(E51="4D4",E53=5),LOOKUP(E75,T!$E74:$E90,T!$H74:$H90),IF(AND(E51="4D4",E53=6),LOOKUP(E75,T!$F74:$F89,T!$H74:$H90),IF(AND(E51="4D4",E53=7),LOOKUP(E75,T!$G74:$G89,T!$H74:$H90),IF(AND(E51="4D5",E53=2),LOOKUP(E75,T!$B96:$B102,T!$I96:$I102),IF(AND(E51="4D5",E53=3),LOOKUP(E75,T!$C96:$C102,T!$I96:$I102),IF(AND(E51="4D5",E53=4),LOOKUP(E75,T!$D96:$D102,T!$I96:$I102),IF(AND(E51="4D5",E53=5),LOOKUP(E75,T!$E96:$E102,T!$I96:$I102),IF(AND(E51="4D5",E53=6),LOOKUP(E75,T!$F96:$F102,T!$I96:$I102),IF(AND(E51="4D5",E53=7),LOOKUP(E75,T!$G96:$G102,T!$I96:$I102),"-")))))))))))))))))))))))))))))))))))))))))),IF(ISNUMBER(SEARCH("4E",E51)),IF(AND(E51="4E1",E53=2),LOOKUP(E75,T!$B108:$B124,T!$M108:$M129),IF(AND(E51="4E1",E53=3),LOOKUP(E75,T!$C108:$C124,T!$M108:$M129),IF(AND(E51="4E1",E53=4),LOOKUP(E75,T!$D108:$D127,T!$M108:$M129),IF(AND(E51="4E1",E53=5),LOOKUP(E75,T!$E108:$E127,T!$M108:$M129),IF(AND(E51="4E1",E53=6),LOOKUP(E75,T!$F108:$F129,T!$M108:$M129),IF(AND(E51="4E1",E53=7),LOOKUP(E75,T!$G108:$G129,T!$M108:$M129),IF(AND(E51="4E1",E53=8),LOOKUP(E75,T!$H115:$H129,T!$M115:$M129),IF(AND(E51="4E1",E53=9),LOOKUP(E75,T!$I115:$I129,T!$M115:$M129),IF(AND(E51="4E1",E53=10),LOOKUP(E75,T!$J115:$J129,T!$M115:$M129),IF(AND(E51="4E1",E53=11),LOOKUP(E75,T!$K115:$K129,T!$M115:$M129),IF(AND(E51="4E1",E53=12),LOOKUP(E75,T!$L115:$L129,T!$M115:$M129),IF(AND(E51="4E2",E53=2),LOOKUP(E75,T!$B134:$B151,T!$J134:$J152),IF(AND(E51="4E2",E53=3),LOOKUP(E75,T!$C134:$C151,T!$J134:$J152),IF(AND(E51="4E2",E53=4),LOOKUP(E75,T!$D134:$D152,T!$J134:$J152),IF(AND(E51="4E2",E53=5),LOOKUP(E75,T!$E134:$E152,T!$J134:$J152),IF(AND(E51="4E2",E53=6),LOOKUP(E75,T!$F134:$F152,T!$J134:$J152),IF(AND(E51="4E2",E53=7),LOOKUP(E75,T!$G134:$G152,T!$J134:$J152),IF(AND(E51="4E2",E53=8),LOOKUP(E75,T!$H134:$H152,T!$J134:$J152),IF(AND(E51="4E2",E53=9),LOOKUP(E75,T!$I134:$I152,T!$J134:$J152),IF(AND(E51="4E3",E53=2),LOOKUP(E75,T!$B158:$B170,T!$M158:$M170),IF(AND(E51="4E3",E53=3),LOOKUP(E75,T!$C158:$C170,T!$M158:$M170),IF(AND(E51="4E3",E53=4),LOOKUP(E75,T!$D158:$D170,T!$M158:$M170),IF(AND(E51="4E3",E53=5),LOOKUP(E75,T!$E158:$E170,T!$M158:$M170),IF(AND(E51="4E3",E53=6),LOOKUP(E75,T!$F158:$F170,T!$M158:$M170),IF(AND(E51="4E3",E53=7),LOOKUP(E75,T!$G158:$G170,T!$M158:$M170),IF(AND(E51="4E3",E53=8),LOOKUP(E75,T!$H158:$H170,T!$M158:$M170),IF(AND(E51="4E3",E53=9),LOOKUP(E75,T!$I158:$I170,T!$M158:$M170),IF(AND(E51="4E3",E53=10),LOOKUP(E75,T!$J158:$J170,T!$M158:$M170),IF(AND(E51="4E3",E53=11),LOOKUP(E75,T!$K158:$K170,T!$M158:$M170),IF(AND(E51="4E3",E53=12),LOOKUP(E75,T!$L158:$L170,T!$M158:$M170),IF(AND(E51="4E4",E53=2),LOOKUP(E75,T!$B176:$B192,T!$H176:$H192),IF(AND(E51="4E4",E53=3),LOOKUP(E75,T!$C176:$C192,T!$H176:$H192),IF(AND(E51="4E4",E53=4),LOOKUP(E75,T!$D176:$D192,T!$H176:$H192),IF(AND(E51="4E4",E53=5),LOOKUP(E75,T!$E176:$E192,T!$H176:$H192),IF(AND(E51="4E4",E53=6),LOOKUP(E75,T!$F176:$F191,T!$H176:$H192),IF(AND(E51="4E4",E53=7),LOOKUP(E75,T!$G176:$G191,T!$H176:$H192),"-")))))))))))))))))))))))))))))))))))),IF(ISNUMBER(SEARCH("4F",E51)),IF(AND(E51="4F1",E53=2),LOOKUP(E75,T!$B198:$B202,T!$E198:$E214),IF(AND(E51="4F1",E53=3),LOOKUP(E75,T!$C198:$C211,T!$E198:$E214),IF(AND(E51="4F1",E53=4),LOOKUP(E75,T!$D203:$D214,T!$E203:$E214),IF(AND(E51="4F2",E53=2),LOOKUP(E75,T!$B220:$B224,T!$E220:$E236),IF(AND(E51="4F2",E53=3),LOOKUP(E75,T!$C220:$C233,T!$E220:$E236),IF(AND(E51="4F2",E53=4),LOOKUP(E75,T!$D225:$D236,T!$E225:$E236),IF(AND(E51="4F3",E53=2),LOOKUP(E75,T!$B242:$B248,T!$E242:$E248),IF(AND(E51="4F3",E53=3),LOOKUP(E75,T!$C242:$C248,T!$E242:$E248),"-")))))))),""))))</f>
        <v>4</v>
      </c>
      <c r="F78" s="129">
        <f ca="1">IF(F29="","",IF(ISNUMBER(SEARCH("4D",F51)),IF(AND(F51="4D1",F53=2),LOOKUP(F75,T!$B6:$B22,T!$M6:$M27),IF(AND(F51="4D1",F53=3),LOOKUP(F75,T!$C6:$C22,T!$M6:$M27),IF(AND(F51="4D1",F53=4),LOOKUP(F75,T!$D6:$D25,T!$M6:$M27),IF(AND(F51="4D1",F53=5),LOOKUP(F75,T!$E6:$E25,T!$M6:$M27),IF(AND(F51="4D1",F53=6),LOOKUP(F75,T!$F6:$F27,T!$M6:$M27),IF(AND(F51="4D1",F53=7),LOOKUP(F75,T!$G6:$G27,T!$M6:$M27),IF(AND(F51="4D1",F53=8),LOOKUP(F75,T!$H13:$H27,T!$M13:$M27),IF(AND(F51="4D1",F53=9),LOOKUP(F75,T!$I13:$I27,T!$M13:$M27),IF(AND(F51="4D1",F53=10),LOOKUP(F75,T!$J13:$J27,T!$M13:$M27),IF(AND(F51="4D1",F53=11),LOOKUP(F75,T!$K13:$K27,T!$M13:$M27),IF(AND(F51="4D1",F53=12),LOOKUP(F75,T!$L13:$L27,T!$M13:$M27),IF(AND(F51="4D2",F53=2),LOOKUP(F75,T!$B33:$B49,T!$J33:$J50),IF(AND(F51="4D2",F53=3),LOOKUP(F75,T!$C33:$C49,T!$J33:$J50),IF(AND(F51="4D2",F53=4),LOOKUP(F75,T!$D33:$D50,T!$J33:$J50),IF(AND(F51="4D2",F53=5),LOOKUP(F75,T!$E33:$E50,T!$J33:$J50),IF(AND(F51="4D2",F53=6),LOOKUP(F75,T!$F33:$F50,T!$J33:$J50),IF(AND(F51="4D2",F53=7),LOOKUP(F75,T!$G33:$G50,T!$J33:$J50),IF(AND(F51="4D2",F53=8),LOOKUP(F75,T!$H33:$H50,T!$J33:$J50),IF(AND(F51="4D2",F53=9),LOOKUP(F75,T!$I33:$I50,T!$J33:$J50),IF(AND(F51="4D3",F53=2),LOOKUP(F75,T!$B56:$B68,T!$M56:$M68),IF(AND(F51="4D3",F53=3),LOOKUP(F75,T!$C56:$C68,T!$M56:$M68),IF(AND(F51="4D3",F53=4),LOOKUP(F75,T!$D56:$D$68,T!$M56:$M68),IF(AND(F51="4D3",F53=5),LOOKUP(F75,T!$E56:$E68,T!$M56:$M68),IF(AND(F51="4D3",F53=6),LOOKUP(F75,T!$F56:$F68,T!$M56:$M68),IF(AND(F51="4D3",F53=7),LOOKUP(F75,T!$G56:$G68,T!$M56:$M68),IF(AND(F51="4D3",F53=8),LOOKUP(F75,T!$H56:$H68,T!$M56:$M68),IF(AND(F51="4D3",F53=9),LOOKUP(F75,T!$I56:$I68,T!$M56:$M68),IF(AND(F51="4D3",F53=10),LOOKUP(F75,T!$J56:$J68,T!$M56:$M68),IF(AND(F51="4D3",F53=11),LOOKUP(F75,T!$K56:$K68,T!$M56:$M68),IF(AND(F51="4D3",F53=12),LOOKUP(F75,T!$L56:$L68,T!$M56:$M68),IF(AND(F51="4D4",F53=2),LOOKUP(F75,T!$B74:$B90,T!$H74:$H90),IF(AND(F51="4D4",F53=3),LOOKUP(F75,T!$C74:$C90,T!$H74:$H90),IF(AND(F51="4D4",F53=4),LOOKUP(F75,T!$D74:$D90,T!$H74:$H90),IF(AND(F51="4D4",F53=5),LOOKUP(F75,T!$E74:$E90,T!$H74:$H90),IF(AND(F51="4D4",F53=6),LOOKUP(F75,T!$F74:$F89,T!$H74:$H90),IF(AND(F51="4D4",F53=7),LOOKUP(F75,T!$G74:$G89,T!$H74:$H90),IF(AND(F51="4D5",F53=2),LOOKUP(F75,T!$B96:$B102,T!$I96:$I102),IF(AND(F51="4D5",F53=3),LOOKUP(F75,T!$C96:$C102,T!$I96:$I102),IF(AND(F51="4D5",F53=4),LOOKUP(F75,T!$D96:$D102,T!$I96:$I102),IF(AND(F51="4D5",F53=5),LOOKUP(F75,T!$E96:$E102,T!$I96:$I102),IF(AND(F51="4D5",F53=6),LOOKUP(F75,T!$F96:$F102,T!$I96:$I102),IF(AND(F51="4D5",F53=7),LOOKUP(F75,T!$G96:$G102,T!$I96:$I102),"-")))))))))))))))))))))))))))))))))))))))))),IF(ISNUMBER(SEARCH("4E",F51)),IF(AND(F51="4E1",F53=2),LOOKUP(F75,T!$B108:$B124,T!$M108:$M129),IF(AND(F51="4E1",F53=3),LOOKUP(F75,T!$C108:$C124,T!$M108:$M129),IF(AND(F51="4E1",F53=4),LOOKUP(F75,T!$D108:$D127,T!$M108:$M129),IF(AND(F51="4E1",F53=5),LOOKUP(F75,T!$E108:$E127,T!$M108:$M129),IF(AND(F51="4E1",F53=6),LOOKUP(F75,T!$F108:$F129,T!$M108:$M129),IF(AND(F51="4E1",F53=7),LOOKUP(F75,T!$G108:$G129,T!$M108:$M129),IF(AND(F51="4E1",F53=8),LOOKUP(F75,T!$H115:$H129,T!$M115:$M129),IF(AND(F51="4E1",F53=9),LOOKUP(F75,T!$I115:$I129,T!$M115:$M129),IF(AND(F51="4E1",F53=10),LOOKUP(F75,T!$J115:$J129,T!$M115:$M129),IF(AND(F51="4E1",F53=11),LOOKUP(F75,T!$K115:$K129,T!$M115:$M129),IF(AND(F51="4E1",F53=12),LOOKUP(F75,T!$L115:$L129,T!$M115:$M129),IF(AND(F51="4E2",F53=2),LOOKUP(F75,T!$B134:$B151,T!$J134:$J152),IF(AND(F51="4E2",F53=3),LOOKUP(F75,T!$C134:$C151,T!$J134:$J152),IF(AND(F51="4E2",F53=4),LOOKUP(F75,T!$D134:$D152,T!$J134:$J152),IF(AND(F51="4E2",F53=5),LOOKUP(F75,T!$E134:$E152,T!$J134:$J152),IF(AND(F51="4E2",F53=6),LOOKUP(F75,T!$F134:$F152,T!$J134:$J152),IF(AND(F51="4E2",F53=7),LOOKUP(F75,T!$G134:$G152,T!$J134:$J152),IF(AND(F51="4E2",F53=8),LOOKUP(F75,T!$H134:$H152,T!$J134:$J152),IF(AND(F51="4E2",F53=9),LOOKUP(F75,T!$I134:$I152,T!$J134:$J152),IF(AND(F51="4E3",F53=2),LOOKUP(F75,T!$B158:$B170,T!$M158:$M170),IF(AND(F51="4E3",F53=3),LOOKUP(F75,T!$C158:$C170,T!$M158:$M170),IF(AND(F51="4E3",F53=4),LOOKUP(F75,T!$D158:$D170,T!$M158:$M170),IF(AND(F51="4E3",F53=5),LOOKUP(F75,T!$E158:$E170,T!$M158:$M170),IF(AND(F51="4E3",F53=6),LOOKUP(F75,T!$F158:$F170,T!$M158:$M170),IF(AND(F51="4E3",F53=7),LOOKUP(F75,T!$G158:$G170,T!$M158:$M170),IF(AND(F51="4E3",F53=8),LOOKUP(F75,T!$H158:$H170,T!$M158:$M170),IF(AND(F51="4E3",F53=9),LOOKUP(F75,T!$I158:$I170,T!$M158:$M170),IF(AND(F51="4E3",F53=10),LOOKUP(F75,T!$J158:$J170,T!$M158:$M170),IF(AND(F51="4E3",F53=11),LOOKUP(F75,T!$K158:$K170,T!$M158:$M170),IF(AND(F51="4E3",F53=12),LOOKUP(F75,T!$L158:$L170,T!$M158:$M170),IF(AND(F51="4E4",F53=2),LOOKUP(F75,T!$B176:$B192,T!$H176:$H192),IF(AND(F51="4E4",F53=3),LOOKUP(F75,T!$C176:$C192,T!$H176:$H192),IF(AND(F51="4E4",F53=4),LOOKUP(F75,T!$D176:$D192,T!$H176:$H192),IF(AND(F51="4E4",F53=5),LOOKUP(F75,T!$E176:$E192,T!$H176:$H192),IF(AND(F51="4E4",F53=6),LOOKUP(F75,T!$F176:$F191,T!$H176:$H192),IF(AND(F51="4E4",F53=7),LOOKUP(F75,T!$G176:$G191,T!$H176:$H192),"-")))))))))))))))))))))))))))))))))))),IF(ISNUMBER(SEARCH("4F",F51)),IF(AND(F51="4F1",F53=2),LOOKUP(F75,T!$B198:$B202,T!$E198:$E214),IF(AND(F51="4F1",F53=3),LOOKUP(F75,T!$C198:$C211,T!$E198:$E214),IF(AND(F51="4F1",F53=4),LOOKUP(F75,T!$D203:$D214,T!$E203:$E214),IF(AND(F51="4F2",F53=2),LOOKUP(F75,T!$B220:$B224,T!$E220:$E236),IF(AND(F51="4F2",F53=3),LOOKUP(F75,T!$C220:$C233,T!$E220:$E236),IF(AND(F51="4F2",F53=4),LOOKUP(F75,T!$D225:$D236,T!$E225:$E236),IF(AND(F51="4F3",F53=2),LOOKUP(F75,T!$B242:$B248,T!$E242:$E248),IF(AND(F51="4F3",F53=3),LOOKUP(F75,T!$C242:$C248,T!$E242:$E248),"-")))))))),""))))</f>
        <v>4</v>
      </c>
      <c r="G78" s="129">
        <f ca="1">IF(G29="","",IF(ISNUMBER(SEARCH("4D",G51)),IF(AND(G51="4D1",G53=2),LOOKUP(G75,T!$B6:$B22,T!$M6:$M27),IF(AND(G51="4D1",G53=3),LOOKUP(G75,T!$C6:$C22,T!$M6:$M27),IF(AND(G51="4D1",G53=4),LOOKUP(G75,T!$D6:$D25,T!$M6:$M27),IF(AND(G51="4D1",G53=5),LOOKUP(G75,T!$E6:$E25,T!$M6:$M27),IF(AND(G51="4D1",G53=6),LOOKUP(G75,T!$F6:$F27,T!$M6:$M27),IF(AND(G51="4D1",G53=7),LOOKUP(G75,T!$G6:$G27,T!$M6:$M27),IF(AND(G51="4D1",G53=8),LOOKUP(G75,T!$H13:$H27,T!$M13:$M27),IF(AND(G51="4D1",G53=9),LOOKUP(G75,T!$I13:$I27,T!$M13:$M27),IF(AND(G51="4D1",G53=10),LOOKUP(G75,T!$J13:$J27,T!$M13:$M27),IF(AND(G51="4D1",G53=11),LOOKUP(G75,T!$K13:$K27,T!$M13:$M27),IF(AND(G51="4D1",G53=12),LOOKUP(G75,T!$L13:$L27,T!$M13:$M27),IF(AND(G51="4D2",G53=2),LOOKUP(G75,T!$B33:$B49,T!$J33:$J50),IF(AND(G51="4D2",G53=3),LOOKUP(G75,T!$C33:$C49,T!$J33:$J50),IF(AND(G51="4D2",G53=4),LOOKUP(G75,T!$D33:$D50,T!$J33:$J50),IF(AND(G51="4D2",G53=5),LOOKUP(G75,T!$E33:$E50,T!$J33:$J50),IF(AND(G51="4D2",G53=6),LOOKUP(G75,T!$F33:$F50,T!$J33:$J50),IF(AND(G51="4D2",G53=7),LOOKUP(G75,T!$G33:$G50,T!$J33:$J50),IF(AND(G51="4D2",G53=8),LOOKUP(G75,T!$H33:$H50,T!$J33:$J50),IF(AND(G51="4D2",G53=9),LOOKUP(G75,T!$I33:$I50,T!$J33:$J50),IF(AND(G51="4D3",G53=2),LOOKUP(G75,T!$B56:$B68,T!$M56:$M68),IF(AND(G51="4D3",G53=3),LOOKUP(G75,T!$C56:$C68,T!$M56:$M68),IF(AND(G51="4D3",G53=4),LOOKUP(G75,T!$D56:$D$68,T!$M56:$M68),IF(AND(G51="4D3",G53=5),LOOKUP(G75,T!$E56:$E68,T!$M56:$M68),IF(AND(G51="4D3",G53=6),LOOKUP(G75,T!$F56:$F68,T!$M56:$M68),IF(AND(G51="4D3",G53=7),LOOKUP(G75,T!$G56:$G68,T!$M56:$M68),IF(AND(G51="4D3",G53=8),LOOKUP(G75,T!$H56:$H68,T!$M56:$M68),IF(AND(G51="4D3",G53=9),LOOKUP(G75,T!$I56:$I68,T!$M56:$M68),IF(AND(G51="4D3",G53=10),LOOKUP(G75,T!$J56:$J68,T!$M56:$M68),IF(AND(G51="4D3",G53=11),LOOKUP(G75,T!$K56:$K68,T!$M56:$M68),IF(AND(G51="4D3",G53=12),LOOKUP(G75,T!$L56:$L68,T!$M56:$M68),IF(AND(G51="4D4",G53=2),LOOKUP(G75,T!$B74:$B90,T!$H74:$H90),IF(AND(G51="4D4",G53=3),LOOKUP(G75,T!$C74:$C90,T!$H74:$H90),IF(AND(G51="4D4",G53=4),LOOKUP(G75,T!$D74:$D90,T!$H74:$H90),IF(AND(G51="4D4",G53=5),LOOKUP(G75,T!$E74:$E90,T!$H74:$H90),IF(AND(G51="4D4",G53=6),LOOKUP(G75,T!$F74:$F89,T!$H74:$H90),IF(AND(G51="4D4",G53=7),LOOKUP(G75,T!$G74:$G89,T!$H74:$H90),IF(AND(G51="4D5",G53=2),LOOKUP(G75,T!$B96:$B102,T!$I96:$I102),IF(AND(G51="4D5",G53=3),LOOKUP(G75,T!$C96:$C102,T!$I96:$I102),IF(AND(G51="4D5",G53=4),LOOKUP(G75,T!$D96:$D102,T!$I96:$I102),IF(AND(G51="4D5",G53=5),LOOKUP(G75,T!$E96:$E102,T!$I96:$I102),IF(AND(G51="4D5",G53=6),LOOKUP(G75,T!$F96:$F102,T!$I96:$I102),IF(AND(G51="4D5",G53=7),LOOKUP(G75,T!$G96:$G102,T!$I96:$I102),"-")))))))))))))))))))))))))))))))))))))))))),IF(ISNUMBER(SEARCH("4E",G51)),IF(AND(G51="4E1",G53=2),LOOKUP(G75,T!$B108:$B124,T!$M108:$M129),IF(AND(G51="4E1",G53=3),LOOKUP(G75,T!$C108:$C124,T!$M108:$M129),IF(AND(G51="4E1",G53=4),LOOKUP(G75,T!$D108:$D127,T!$M108:$M129),IF(AND(G51="4E1",G53=5),LOOKUP(G75,T!$E108:$E127,T!$M108:$M129),IF(AND(G51="4E1",G53=6),LOOKUP(G75,T!$F108:$F129,T!$M108:$M129),IF(AND(G51="4E1",G53=7),LOOKUP(G75,T!$G108:$G129,T!$M108:$M129),IF(AND(G51="4E1",G53=8),LOOKUP(G75,T!$H115:$H129,T!$M115:$M129),IF(AND(G51="4E1",G53=9),LOOKUP(G75,T!$I115:$I129,T!$M115:$M129),IF(AND(G51="4E1",G53=10),LOOKUP(G75,T!$J115:$J129,T!$M115:$M129),IF(AND(G51="4E1",G53=11),LOOKUP(G75,T!$K115:$K129,T!$M115:$M129),IF(AND(G51="4E1",G53=12),LOOKUP(G75,T!$L115:$L129,T!$M115:$M129),IF(AND(G51="4E2",G53=2),LOOKUP(G75,T!$B134:$B151,T!$J134:$J152),IF(AND(G51="4E2",G53=3),LOOKUP(G75,T!$C134:$C151,T!$J134:$J152),IF(AND(G51="4E2",G53=4),LOOKUP(G75,T!$D134:$D152,T!$J134:$J152),IF(AND(G51="4E2",G53=5),LOOKUP(G75,T!$E134:$E152,T!$J134:$J152),IF(AND(G51="4E2",G53=6),LOOKUP(G75,T!$F134:$F152,T!$J134:$J152),IF(AND(G51="4E2",G53=7),LOOKUP(G75,T!$G134:$G152,T!$J134:$J152),IF(AND(G51="4E2",G53=8),LOOKUP(G75,T!$H134:$H152,T!$J134:$J152),IF(AND(G51="4E2",G53=9),LOOKUP(G75,T!$I134:$I152,T!$J134:$J152),IF(AND(G51="4E3",G53=2),LOOKUP(G75,T!$B158:$B170,T!$M158:$M170),IF(AND(G51="4E3",G53=3),LOOKUP(G75,T!$C158:$C170,T!$M158:$M170),IF(AND(G51="4E3",G53=4),LOOKUP(G75,T!$D158:$D170,T!$M158:$M170),IF(AND(G51="4E3",G53=5),LOOKUP(G75,T!$E158:$E170,T!$M158:$M170),IF(AND(G51="4E3",G53=6),LOOKUP(G75,T!$F158:$F170,T!$M158:$M170),IF(AND(G51="4E3",G53=7),LOOKUP(G75,T!$G158:$G170,T!$M158:$M170),IF(AND(G51="4E3",G53=8),LOOKUP(G75,T!$H158:$H170,T!$M158:$M170),IF(AND(G51="4E3",G53=9),LOOKUP(G75,T!$I158:$I170,T!$M158:$M170),IF(AND(G51="4E3",G53=10),LOOKUP(G75,T!$J158:$J170,T!$M158:$M170),IF(AND(G51="4E3",G53=11),LOOKUP(G75,T!$K158:$K170,T!$M158:$M170),IF(AND(G51="4E3",G53=12),LOOKUP(G75,T!$L158:$L170,T!$M158:$M170),IF(AND(G51="4E4",G53=2),LOOKUP(G75,T!$B176:$B192,T!$H176:$H192),IF(AND(G51="4E4",G53=3),LOOKUP(G75,T!$C176:$C192,T!$H176:$H192),IF(AND(G51="4E4",G53=4),LOOKUP(G75,T!$D176:$D192,T!$H176:$H192),IF(AND(G51="4E4",G53=5),LOOKUP(G75,T!$E176:$E192,T!$H176:$H192),IF(AND(G51="4E4",G53=6),LOOKUP(G75,T!$F176:$F191,T!$H176:$H192),IF(AND(G51="4E4",G53=7),LOOKUP(G75,T!$G176:$G191,T!$H176:$H192),"-")))))))))))))))))))))))))))))))))))),IF(ISNUMBER(SEARCH("4F",G51)),IF(AND(G51="4F1",G53=2),LOOKUP(G75,T!$B198:$B202,T!$E198:$E214),IF(AND(G51="4F1",G53=3),LOOKUP(G75,T!$C198:$C211,T!$E198:$E214),IF(AND(G51="4F1",G53=4),LOOKUP(G75,T!$D203:$D214,T!$E203:$E214),IF(AND(G51="4F2",G53=2),LOOKUP(G75,T!$B220:$B224,T!$E220:$E236),IF(AND(G51="4F2",G53=3),LOOKUP(G75,T!$C220:$C233,T!$E220:$E236),IF(AND(G51="4F2",G53=4),LOOKUP(G75,T!$D225:$D236,T!$E225:$E236),IF(AND(G51="4F3",G53=2),LOOKUP(G75,T!$B242:$B248,T!$E242:$E248),IF(AND(G51="4F3",G53=3),LOOKUP(G75,T!$C242:$C248,T!$E242:$E248),"-")))))))),""))))</f>
        <v>4</v>
      </c>
      <c r="H78" s="129">
        <f ca="1">IF(H29="","",IF(ISNUMBER(SEARCH("4D",H51)),IF(AND(H51="4D1",H53=2),LOOKUP(H75,T!$B6:$B22,T!$M6:$M27),IF(AND(H51="4D1",H53=3),LOOKUP(H75,T!$C6:$C22,T!$M6:$M27),IF(AND(H51="4D1",H53=4),LOOKUP(H75,T!$D6:$D25,T!$M6:$M27),IF(AND(H51="4D1",H53=5),LOOKUP(H75,T!$E6:$E25,T!$M6:$M27),IF(AND(H51="4D1",H53=6),LOOKUP(H75,T!$F6:$F27,T!$M6:$M27),IF(AND(H51="4D1",H53=7),LOOKUP(H75,T!$G6:$G27,T!$M6:$M27),IF(AND(H51="4D1",H53=8),LOOKUP(H75,T!$H13:$H27,T!$M13:$M27),IF(AND(H51="4D1",H53=9),LOOKUP(H75,T!$I13:$I27,T!$M13:$M27),IF(AND(H51="4D1",H53=10),LOOKUP(H75,T!$J13:$J27,T!$M13:$M27),IF(AND(H51="4D1",H53=11),LOOKUP(H75,T!$K13:$K27,T!$M13:$M27),IF(AND(H51="4D1",H53=12),LOOKUP(H75,T!$L13:$L27,T!$M13:$M27),IF(AND(H51="4D2",H53=2),LOOKUP(H75,T!$B33:$B49,T!$J33:$J50),IF(AND(H51="4D2",H53=3),LOOKUP(H75,T!$C33:$C49,T!$J33:$J50),IF(AND(H51="4D2",H53=4),LOOKUP(H75,T!$D33:$D50,T!$J33:$J50),IF(AND(H51="4D2",H53=5),LOOKUP(H75,T!$E33:$E50,T!$J33:$J50),IF(AND(H51="4D2",H53=6),LOOKUP(H75,T!$F33:$F50,T!$J33:$J50),IF(AND(H51="4D2",H53=7),LOOKUP(H75,T!$G33:$G50,T!$J33:$J50),IF(AND(H51="4D2",H53=8),LOOKUP(H75,T!$H33:$H50,T!$J33:$J50),IF(AND(H51="4D2",H53=9),LOOKUP(H75,T!$I33:$I50,T!$J33:$J50),IF(AND(H51="4D3",H53=2),LOOKUP(H75,T!$B56:$B68,T!$M56:$M68),IF(AND(H51="4D3",H53=3),LOOKUP(H75,T!$C56:$C68,T!$M56:$M68),IF(AND(H51="4D3",H53=4),LOOKUP(H75,T!$D56:$D$68,T!$M56:$M68),IF(AND(H51="4D3",H53=5),LOOKUP(H75,T!$E56:$E68,T!$M56:$M68),IF(AND(H51="4D3",H53=6),LOOKUP(H75,T!$F56:$F68,T!$M56:$M68),IF(AND(H51="4D3",H53=7),LOOKUP(H75,T!$G56:$G68,T!$M56:$M68),IF(AND(H51="4D3",H53=8),LOOKUP(H75,T!$H56:$H68,T!$M56:$M68),IF(AND(H51="4D3",H53=9),LOOKUP(H75,T!$I56:$I68,T!$M56:$M68),IF(AND(H51="4D3",H53=10),LOOKUP(H75,T!$J56:$J68,T!$M56:$M68),IF(AND(H51="4D3",H53=11),LOOKUP(H75,T!$K56:$K68,T!$M56:$M68),IF(AND(H51="4D3",H53=12),LOOKUP(H75,T!$L56:$L68,T!$M56:$M68),IF(AND(H51="4D4",H53=2),LOOKUP(H75,T!$B74:$B90,T!$H74:$H90),IF(AND(H51="4D4",H53=3),LOOKUP(H75,T!$C74:$C90,T!$H74:$H90),IF(AND(H51="4D4",H53=4),LOOKUP(H75,T!$D74:$D90,T!$H74:$H90),IF(AND(H51="4D4",H53=5),LOOKUP(H75,T!$E74:$E90,T!$H74:$H90),IF(AND(H51="4D4",H53=6),LOOKUP(H75,T!$F74:$F89,T!$H74:$H90),IF(AND(H51="4D4",H53=7),LOOKUP(H75,T!$G74:$G89,T!$H74:$H90),IF(AND(H51="4D5",H53=2),LOOKUP(H75,T!$B96:$B102,T!$I96:$I102),IF(AND(H51="4D5",H53=3),LOOKUP(H75,T!$C96:$C102,T!$I96:$I102),IF(AND(H51="4D5",H53=4),LOOKUP(H75,T!$D96:$D102,T!$I96:$I102),IF(AND(H51="4D5",H53=5),LOOKUP(H75,T!$E96:$E102,T!$I96:$I102),IF(AND(H51="4D5",H53=6),LOOKUP(H75,T!$F96:$F102,T!$I96:$I102),IF(AND(H51="4D5",H53=7),LOOKUP(H75,T!$G96:$G102,T!$I96:$I102),"-")))))))))))))))))))))))))))))))))))))))))),IF(ISNUMBER(SEARCH("4E",H51)),IF(AND(H51="4E1",H53=2),LOOKUP(H75,T!$B108:$B124,T!$M108:$M129),IF(AND(H51="4E1",H53=3),LOOKUP(H75,T!$C108:$C124,T!$M108:$M129),IF(AND(H51="4E1",H53=4),LOOKUP(H75,T!$D108:$D127,T!$M108:$M129),IF(AND(H51="4E1",H53=5),LOOKUP(H75,T!$E108:$E127,T!$M108:$M129),IF(AND(H51="4E1",H53=6),LOOKUP(H75,T!$F108:$F129,T!$M108:$M129),IF(AND(H51="4E1",H53=7),LOOKUP(H75,T!$G108:$G129,T!$M108:$M129),IF(AND(H51="4E1",H53=8),LOOKUP(H75,T!$H115:$H129,T!$M115:$M129),IF(AND(H51="4E1",H53=9),LOOKUP(H75,T!$I115:$I129,T!$M115:$M129),IF(AND(H51="4E1",H53=10),LOOKUP(H75,T!$J115:$J129,T!$M115:$M129),IF(AND(H51="4E1",H53=11),LOOKUP(H75,T!$K115:$K129,T!$M115:$M129),IF(AND(H51="4E1",H53=12),LOOKUP(H75,T!$L115:$L129,T!$M115:$M129),IF(AND(H51="4E2",H53=2),LOOKUP(H75,T!$B134:$B151,T!$J134:$J152),IF(AND(H51="4E2",H53=3),LOOKUP(H75,T!$C134:$C151,T!$J134:$J152),IF(AND(H51="4E2",H53=4),LOOKUP(H75,T!$D134:$D152,T!$J134:$J152),IF(AND(H51="4E2",H53=5),LOOKUP(H75,T!$E134:$E152,T!$J134:$J152),IF(AND(H51="4E2",H53=6),LOOKUP(H75,T!$F134:$F152,T!$J134:$J152),IF(AND(H51="4E2",H53=7),LOOKUP(H75,T!$G134:$G152,T!$J134:$J152),IF(AND(H51="4E2",H53=8),LOOKUP(H75,T!$H134:$H152,T!$J134:$J152),IF(AND(H51="4E2",H53=9),LOOKUP(H75,T!$I134:$I152,T!$J134:$J152),IF(AND(H51="4E3",H53=2),LOOKUP(H75,T!$B158:$B170,T!$M158:$M170),IF(AND(H51="4E3",H53=3),LOOKUP(H75,T!$C158:$C170,T!$M158:$M170),IF(AND(H51="4E3",H53=4),LOOKUP(H75,T!$D158:$D170,T!$M158:$M170),IF(AND(H51="4E3",H53=5),LOOKUP(H75,T!$E158:$E170,T!$M158:$M170),IF(AND(H51="4E3",H53=6),LOOKUP(H75,T!$F158:$F170,T!$M158:$M170),IF(AND(H51="4E3",H53=7),LOOKUP(H75,T!$G158:$G170,T!$M158:$M170),IF(AND(H51="4E3",H53=8),LOOKUP(H75,T!$H158:$H170,T!$M158:$M170),IF(AND(H51="4E3",H53=9),LOOKUP(H75,T!$I158:$I170,T!$M158:$M170),IF(AND(H51="4E3",H53=10),LOOKUP(H75,T!$J158:$J170,T!$M158:$M170),IF(AND(H51="4E3",H53=11),LOOKUP(H75,T!$K158:$K170,T!$M158:$M170),IF(AND(H51="4E3",H53=12),LOOKUP(H75,T!$L158:$L170,T!$M158:$M170),IF(AND(H51="4E4",H53=2),LOOKUP(H75,T!$B176:$B192,T!$H176:$H192),IF(AND(H51="4E4",H53=3),LOOKUP(H75,T!$C176:$C192,T!$H176:$H192),IF(AND(H51="4E4",H53=4),LOOKUP(H75,T!$D176:$D192,T!$H176:$H192),IF(AND(H51="4E4",H53=5),LOOKUP(H75,T!$E176:$E192,T!$H176:$H192),IF(AND(H51="4E4",H53=6),LOOKUP(H75,T!$F176:$F191,T!$H176:$H192),IF(AND(H51="4E4",H53=7),LOOKUP(H75,T!$G176:$G191,T!$H176:$H192),"-")))))))))))))))))))))))))))))))))))),IF(ISNUMBER(SEARCH("4F",H51)),IF(AND(H51="4F1",H53=2),LOOKUP(H75,T!$B198:$B202,T!$E198:$E214),IF(AND(H51="4F1",H53=3),LOOKUP(H75,T!$C198:$C211,T!$E198:$E214),IF(AND(H51="4F1",H53=4),LOOKUP(H75,T!$D203:$D214,T!$E203:$E214),IF(AND(H51="4F2",H53=2),LOOKUP(H75,T!$B220:$B224,T!$E220:$E236),IF(AND(H51="4F2",H53=3),LOOKUP(H75,T!$C220:$C233,T!$E220:$E236),IF(AND(H51="4F2",H53=4),LOOKUP(H75,T!$D225:$D236,T!$E225:$E236),IF(AND(H51="4F3",H53=2),LOOKUP(H75,T!$B242:$B248,T!$E242:$E248),IF(AND(H51="4F3",H53=3),LOOKUP(H75,T!$C242:$C248,T!$E242:$E248),"-")))))))),""))))</f>
        <v>4</v>
      </c>
      <c r="I78" s="129">
        <f>IF(I29="","",IF(ISNUMBER(SEARCH("4D",I51)),IF(AND(I51="4D1",I53=2),LOOKUP(I75,T!$B6:$B22,T!$M6:$M27),IF(AND(I51="4D1",I53=3),LOOKUP(I75,T!$C6:$C22,T!$M6:$M27),IF(AND(I51="4D1",I53=4),LOOKUP(I75,T!$D6:$D25,T!$M6:$M27),IF(AND(I51="4D1",I53=5),LOOKUP(I75,T!$E6:$E25,T!$M6:$M27),IF(AND(I51="4D1",I53=6),LOOKUP(I75,T!$F6:$F27,T!$M6:$M27),IF(AND(I51="4D1",I53=7),LOOKUP(I75,T!$G6:$G27,T!$M6:$M27),IF(AND(I51="4D1",I53=8),LOOKUP(I75,T!$H13:$H27,T!$M13:$M27),IF(AND(I51="4D1",I53=9),LOOKUP(I75,T!$I13:$I27,T!$M13:$M27),IF(AND(I51="4D1",I53=10),LOOKUP(I75,T!$J13:$J27,T!$M13:$M27),IF(AND(I51="4D1",I53=11),LOOKUP(I75,T!$K13:$K27,T!$M13:$M27),IF(AND(I51="4D1",I53=12),LOOKUP(I75,T!$L13:$L27,T!$M13:$M27),IF(AND(I51="4D2",I53=2),LOOKUP(I75,T!$B33:$B49,T!$J33:$J50),IF(AND(I51="4D2",I53=3),LOOKUP(I75,T!$C33:$C49,T!$J33:$J50),IF(AND(I51="4D2",I53=4),LOOKUP(I75,T!$D33:$D50,T!$J33:$J50),IF(AND(I51="4D2",I53=5),LOOKUP(I75,T!$E33:$E50,T!$J33:$J50),IF(AND(I51="4D2",I53=6),LOOKUP(I75,T!$F33:$F50,T!$J33:$J50),IF(AND(I51="4D2",I53=7),LOOKUP(I75,T!$G33:$G50,T!$J33:$J50),IF(AND(I51="4D2",I53=8),LOOKUP(I75,T!$H33:$H50,T!$J33:$J50),IF(AND(I51="4D2",I53=9),LOOKUP(I75,T!$I33:$I50,T!$J33:$J50),IF(AND(I51="4D3",I53=2),LOOKUP(I75,T!$B56:$B68,T!$M56:$M68),IF(AND(I51="4D3",I53=3),LOOKUP(I75,T!$C56:$C68,T!$M56:$M68),IF(AND(I51="4D3",I53=4),LOOKUP(I75,T!$D56:$D$68,T!$M56:$M68),IF(AND(I51="4D3",I53=5),LOOKUP(I75,T!$E56:$E68,T!$M56:$M68),IF(AND(I51="4D3",I53=6),LOOKUP(I75,T!$F56:$F68,T!$M56:$M68),IF(AND(I51="4D3",I53=7),LOOKUP(I75,T!$G56:$G68,T!$M56:$M68),IF(AND(I51="4D3",I53=8),LOOKUP(I75,T!$H56:$H68,T!$M56:$M68),IF(AND(I51="4D3",I53=9),LOOKUP(I75,T!$I56:$I68,T!$M56:$M68),IF(AND(I51="4D3",I53=10),LOOKUP(I75,T!$J56:$J68,T!$M56:$M68),IF(AND(I51="4D3",I53=11),LOOKUP(I75,T!$K56:$K68,T!$M56:$M68),IF(AND(I51="4D3",I53=12),LOOKUP(I75,T!$L56:$L68,T!$M56:$M68),IF(AND(I51="4D4",I53=2),LOOKUP(I75,T!$B74:$B90,T!$H74:$H90),IF(AND(I51="4D4",I53=3),LOOKUP(I75,T!$C74:$C90,T!$H74:$H90),IF(AND(I51="4D4",I53=4),LOOKUP(I75,T!$D74:$D90,T!$H74:$H90),IF(AND(I51="4D4",I53=5),LOOKUP(I75,T!$E74:$E90,T!$H74:$H90),IF(AND(I51="4D4",I53=6),LOOKUP(I75,T!$F74:$F89,T!$H74:$H90),IF(AND(I51="4D4",I53=7),LOOKUP(I75,T!$G74:$G89,T!$H74:$H90),IF(AND(I51="4D5",I53=2),LOOKUP(I75,T!$B96:$B102,T!$I96:$I102),IF(AND(I51="4D5",I53=3),LOOKUP(I75,T!$C96:$C102,T!$I96:$I102),IF(AND(I51="4D5",I53=4),LOOKUP(I75,T!$D96:$D102,T!$I96:$I102),IF(AND(I51="4D5",I53=5),LOOKUP(I75,T!$E96:$E102,T!$I96:$I102),IF(AND(I51="4D5",I53=6),LOOKUP(I75,T!$F96:$F102,T!$I96:$I102),IF(AND(I51="4D5",I53=7),LOOKUP(I75,T!$G96:$G102,T!$I96:$I102),"-")))))))))))))))))))))))))))))))))))))))))),IF(ISNUMBER(SEARCH("4E",I51)),IF(AND(I51="4E1",I53=2),LOOKUP(I75,T!$B108:$B124,T!$M108:$M129),IF(AND(I51="4E1",I53=3),LOOKUP(I75,T!$C108:$C124,T!$M108:$M129),IF(AND(I51="4E1",I53=4),LOOKUP(I75,T!$D108:$D127,T!$M108:$M129),IF(AND(I51="4E1",I53=5),LOOKUP(I75,T!$E108:$E127,T!$M108:$M129),IF(AND(I51="4E1",I53=6),LOOKUP(I75,T!$F108:$F129,T!$M108:$M129),IF(AND(I51="4E1",I53=7),LOOKUP(I75,T!$G108:$G129,T!$M108:$M129),IF(AND(I51="4E1",I53=8),LOOKUP(I75,T!$H115:$H129,T!$M115:$M129),IF(AND(I51="4E1",I53=9),LOOKUP(I75,T!$I115:$I129,T!$M115:$M129),IF(AND(I51="4E1",I53=10),LOOKUP(I75,T!$J115:$J129,T!$M115:$M129),IF(AND(I51="4E1",I53=11),LOOKUP(I75,T!$K115:$K129,T!$M115:$M129),IF(AND(I51="4E1",I53=12),LOOKUP(I75,T!$L115:$L129,T!$M115:$M129),IF(AND(I51="4E2",I53=2),LOOKUP(I75,T!$B134:$B151,T!$J134:$J152),IF(AND(I51="4E2",I53=3),LOOKUP(I75,T!$C134:$C151,T!$J134:$J152),IF(AND(I51="4E2",I53=4),LOOKUP(I75,T!$D134:$D152,T!$J134:$J152),IF(AND(I51="4E2",I53=5),LOOKUP(I75,T!$E134:$E152,T!$J134:$J152),IF(AND(I51="4E2",I53=6),LOOKUP(I75,T!$F134:$F152,T!$J134:$J152),IF(AND(I51="4E2",I53=7),LOOKUP(I75,T!$G134:$G152,T!$J134:$J152),IF(AND(I51="4E2",I53=8),LOOKUP(I75,T!$H134:$H152,T!$J134:$J152),IF(AND(I51="4E2",I53=9),LOOKUP(I75,T!$I134:$I152,T!$J134:$J152),IF(AND(I51="4E3",I53=2),LOOKUP(I75,T!$B158:$B170,T!$M158:$M170),IF(AND(I51="4E3",I53=3),LOOKUP(I75,T!$C158:$C170,T!$M158:$M170),IF(AND(I51="4E3",I53=4),LOOKUP(I75,T!$D158:$D170,T!$M158:$M170),IF(AND(I51="4E3",I53=5),LOOKUP(I75,T!$E158:$E170,T!$M158:$M170),IF(AND(I51="4E3",I53=6),LOOKUP(I75,T!$F158:$F170,T!$M158:$M170),IF(AND(I51="4E3",I53=7),LOOKUP(I75,T!$G158:$G170,T!$M158:$M170),IF(AND(I51="4E3",I53=8),LOOKUP(I75,T!$H158:$H170,T!$M158:$M170),IF(AND(I51="4E3",I53=9),LOOKUP(I75,T!$I158:$I170,T!$M158:$M170),IF(AND(I51="4E3",I53=10),LOOKUP(I75,T!$J158:$J170,T!$M158:$M170),IF(AND(I51="4E3",I53=11),LOOKUP(I75,T!$K158:$K170,T!$M158:$M170),IF(AND(I51="4E3",I53=12),LOOKUP(I75,T!$L158:$L170,T!$M158:$M170),IF(AND(I51="4E4",I53=2),LOOKUP(I75,T!$B176:$B192,T!$H176:$H192),IF(AND(I51="4E4",I53=3),LOOKUP(I75,T!$C176:$C192,T!$H176:$H192),IF(AND(I51="4E4",I53=4),LOOKUP(I75,T!$D176:$D192,T!$H176:$H192),IF(AND(I51="4E4",I53=5),LOOKUP(I75,T!$E176:$E192,T!$H176:$H192),IF(AND(I51="4E4",I53=6),LOOKUP(I75,T!$F176:$F191,T!$H176:$H192),IF(AND(I51="4E4",I53=7),LOOKUP(I75,T!$G176:$G191,T!$H176:$H192),"-")))))))))))))))))))))))))))))))))))),IF(ISNUMBER(SEARCH("4F",I51)),IF(AND(I51="4F1",I53=2),LOOKUP(I75,T!$B198:$B202,T!$E198:$E214),IF(AND(I51="4F1",I53=3),LOOKUP(I75,T!$C198:$C211,T!$E198:$E214),IF(AND(I51="4F1",I53=4),LOOKUP(I75,T!$D203:$D214,T!$E203:$E214),IF(AND(I51="4F2",I53=2),LOOKUP(I75,T!$B220:$B224,T!$E220:$E236),IF(AND(I51="4F2",I53=3),LOOKUP(I75,T!$C220:$C233,T!$E220:$E236),IF(AND(I51="4F2",I53=4),LOOKUP(I75,T!$D225:$D236,T!$E225:$E236),IF(AND(I51="4F3",I53=2),LOOKUP(I75,T!$B242:$B248,T!$E242:$E248),IF(AND(I51="4F3",I53=3),LOOKUP(I75,T!$C242:$C248,T!$E242:$E248),"-")))))))),""))))</f>
        <v>25</v>
      </c>
      <c r="J78" s="129">
        <f>IF(J29="","",IF(ISNUMBER(SEARCH("4D",J51)),IF(AND(J51="4D1",J53=2),LOOKUP(J75,T!$B6:$B22,T!$M6:$M27),IF(AND(J51="4D1",J53=3),LOOKUP(J75,T!$C6:$C22,T!$M6:$M27),IF(AND(J51="4D1",J53=4),LOOKUP(J75,T!$D6:$D25,T!$M6:$M27),IF(AND(J51="4D1",J53=5),LOOKUP(J75,T!$E6:$E25,T!$M6:$M27),IF(AND(J51="4D1",J53=6),LOOKUP(J75,T!$F6:$F27,T!$M6:$M27),IF(AND(J51="4D1",J53=7),LOOKUP(J75,T!$G6:$G27,T!$M6:$M27),IF(AND(J51="4D1",J53=8),LOOKUP(J75,T!$H13:$H27,T!$M13:$M27),IF(AND(J51="4D1",J53=9),LOOKUP(J75,T!$I13:$I27,T!$M13:$M27),IF(AND(J51="4D1",J53=10),LOOKUP(J75,T!$J13:$J27,T!$M13:$M27),IF(AND(J51="4D1",J53=11),LOOKUP(J75,T!$K13:$K27,T!$M13:$M27),IF(AND(J51="4D1",J53=12),LOOKUP(J75,T!$L13:$L27,T!$M13:$M27),IF(AND(J51="4D2",J53=2),LOOKUP(J75,T!$B33:$B49,T!$J33:$J50),IF(AND(J51="4D2",J53=3),LOOKUP(J75,T!$C33:$C49,T!$J33:$J50),IF(AND(J51="4D2",J53=4),LOOKUP(J75,T!$D33:$D50,T!$J33:$J50),IF(AND(J51="4D2",J53=5),LOOKUP(J75,T!$E33:$E50,T!$J33:$J50),IF(AND(J51="4D2",J53=6),LOOKUP(J75,T!$F33:$F50,T!$J33:$J50),IF(AND(J51="4D2",J53=7),LOOKUP(J75,T!$G33:$G50,T!$J33:$J50),IF(AND(J51="4D2",J53=8),LOOKUP(J75,T!$H33:$H50,T!$J33:$J50),IF(AND(J51="4D2",J53=9),LOOKUP(J75,T!$I33:$I50,T!$J33:$J50),IF(AND(J51="4D3",J53=2),LOOKUP(J75,T!$B56:$B68,T!$M56:$M68),IF(AND(J51="4D3",J53=3),LOOKUP(J75,T!$C56:$C68,T!$M56:$M68),IF(AND(J51="4D3",J53=4),LOOKUP(J75,T!$D56:$D$68,T!$M56:$M68),IF(AND(J51="4D3",J53=5),LOOKUP(J75,T!$E56:$E68,T!$M56:$M68),IF(AND(J51="4D3",J53=6),LOOKUP(J75,T!$F56:$F68,T!$M56:$M68),IF(AND(J51="4D3",J53=7),LOOKUP(J75,T!$G56:$G68,T!$M56:$M68),IF(AND(J51="4D3",J53=8),LOOKUP(J75,T!$H56:$H68,T!$M56:$M68),IF(AND(J51="4D3",J53=9),LOOKUP(J75,T!$I56:$I68,T!$M56:$M68),IF(AND(J51="4D3",J53=10),LOOKUP(J75,T!$J56:$J68,T!$M56:$M68),IF(AND(J51="4D3",J53=11),LOOKUP(J75,T!$K56:$K68,T!$M56:$M68),IF(AND(J51="4D3",J53=12),LOOKUP(J75,T!$L56:$L68,T!$M56:$M68),IF(AND(J51="4D4",J53=2),LOOKUP(J75,T!$B74:$B90,T!$H74:$H90),IF(AND(J51="4D4",J53=3),LOOKUP(J75,T!$C74:$C90,T!$H74:$H90),IF(AND(J51="4D4",J53=4),LOOKUP(J75,T!$D74:$D90,T!$H74:$H90),IF(AND(J51="4D4",J53=5),LOOKUP(J75,T!$E74:$E90,T!$H74:$H90),IF(AND(J51="4D4",J53=6),LOOKUP(J75,T!$F74:$F89,T!$H74:$H90),IF(AND(J51="4D4",J53=7),LOOKUP(J75,T!$G74:$G89,T!$H74:$H90),IF(AND(J51="4D5",J53=2),LOOKUP(J75,T!$B96:$B102,T!$I96:$I102),IF(AND(J51="4D5",J53=3),LOOKUP(J75,T!$C96:$C102,T!$I96:$I102),IF(AND(J51="4D5",J53=4),LOOKUP(J75,T!$D96:$D102,T!$I96:$I102),IF(AND(J51="4D5",J53=5),LOOKUP(J75,T!$E96:$E102,T!$I96:$I102),IF(AND(J51="4D5",J53=6),LOOKUP(J75,T!$F96:$F102,T!$I96:$I102),IF(AND(J51="4D5",J53=7),LOOKUP(J75,T!$G96:$G102,T!$I96:$I102),"-")))))))))))))))))))))))))))))))))))))))))),IF(ISNUMBER(SEARCH("4E",J51)),IF(AND(J51="4E1",J53=2),LOOKUP(J75,T!$B108:$B124,T!$M108:$M129),IF(AND(J51="4E1",J53=3),LOOKUP(J75,T!$C108:$C124,T!$M108:$M129),IF(AND(J51="4E1",J53=4),LOOKUP(J75,T!$D108:$D127,T!$M108:$M129),IF(AND(J51="4E1",J53=5),LOOKUP(J75,T!$E108:$E127,T!$M108:$M129),IF(AND(J51="4E1",J53=6),LOOKUP(J75,T!$F108:$F129,T!$M108:$M129),IF(AND(J51="4E1",J53=7),LOOKUP(J75,T!$G108:$G129,T!$M108:$M129),IF(AND(J51="4E1",J53=8),LOOKUP(J75,T!$H115:$H129,T!$M115:$M129),IF(AND(J51="4E1",J53=9),LOOKUP(J75,T!$I115:$I129,T!$M115:$M129),IF(AND(J51="4E1",J53=10),LOOKUP(J75,T!$J115:$J129,T!$M115:$M129),IF(AND(J51="4E1",J53=11),LOOKUP(J75,T!$K115:$K129,T!$M115:$M129),IF(AND(J51="4E1",J53=12),LOOKUP(J75,T!$L115:$L129,T!$M115:$M129),IF(AND(J51="4E2",J53=2),LOOKUP(J75,T!$B134:$B151,T!$J134:$J152),IF(AND(J51="4E2",J53=3),LOOKUP(J75,T!$C134:$C151,T!$J134:$J152),IF(AND(J51="4E2",J53=4),LOOKUP(J75,T!$D134:$D152,T!$J134:$J152),IF(AND(J51="4E2",J53=5),LOOKUP(J75,T!$E134:$E152,T!$J134:$J152),IF(AND(J51="4E2",J53=6),LOOKUP(J75,T!$F134:$F152,T!$J134:$J152),IF(AND(J51="4E2",J53=7),LOOKUP(J75,T!$G134:$G152,T!$J134:$J152),IF(AND(J51="4E2",J53=8),LOOKUP(J75,T!$H134:$H152,T!$J134:$J152),IF(AND(J51="4E2",J53=9),LOOKUP(J75,T!$I134:$I152,T!$J134:$J152),IF(AND(J51="4E3",J53=2),LOOKUP(J75,T!$B158:$B170,T!$M158:$M170),IF(AND(J51="4E3",J53=3),LOOKUP(J75,T!$C158:$C170,T!$M158:$M170),IF(AND(J51="4E3",J53=4),LOOKUP(J75,T!$D158:$D170,T!$M158:$M170),IF(AND(J51="4E3",J53=5),LOOKUP(J75,T!$E158:$E170,T!$M158:$M170),IF(AND(J51="4E3",J53=6),LOOKUP(J75,T!$F158:$F170,T!$M158:$M170),IF(AND(J51="4E3",J53=7),LOOKUP(J75,T!$G158:$G170,T!$M158:$M170),IF(AND(J51="4E3",J53=8),LOOKUP(J75,T!$H158:$H170,T!$M158:$M170),IF(AND(J51="4E3",J53=9),LOOKUP(J75,T!$I158:$I170,T!$M158:$M170),IF(AND(J51="4E3",J53=10),LOOKUP(J75,T!$J158:$J170,T!$M158:$M170),IF(AND(J51="4E3",J53=11),LOOKUP(J75,T!$K158:$K170,T!$M158:$M170),IF(AND(J51="4E3",J53=12),LOOKUP(J75,T!$L158:$L170,T!$M158:$M170),IF(AND(J51="4E4",J53=2),LOOKUP(J75,T!$B176:$B192,T!$H176:$H192),IF(AND(J51="4E4",J53=3),LOOKUP(J75,T!$C176:$C192,T!$H176:$H192),IF(AND(J51="4E4",J53=4),LOOKUP(J75,T!$D176:$D192,T!$H176:$H192),IF(AND(J51="4E4",J53=5),LOOKUP(J75,T!$E176:$E192,T!$H176:$H192),IF(AND(J51="4E4",J53=6),LOOKUP(J75,T!$F176:$F191,T!$H176:$H192),IF(AND(J51="4E4",J53=7),LOOKUP(J75,T!$G176:$G191,T!$H176:$H192),"-")))))))))))))))))))))))))))))))))))),IF(ISNUMBER(SEARCH("4F",J51)),IF(AND(J51="4F1",J53=2),LOOKUP(J75,T!$B198:$B202,T!$E198:$E214),IF(AND(J51="4F1",J53=3),LOOKUP(J75,T!$C198:$C211,T!$E198:$E214),IF(AND(J51="4F1",J53=4),LOOKUP(J75,T!$D203:$D214,T!$E203:$E214),IF(AND(J51="4F2",J53=2),LOOKUP(J75,T!$B220:$B224,T!$E220:$E236),IF(AND(J51="4F2",J53=3),LOOKUP(J75,T!$C220:$C233,T!$E220:$E236),IF(AND(J51="4F2",J53=4),LOOKUP(J75,T!$D225:$D236,T!$E225:$E236),IF(AND(J51="4F3",J53=2),LOOKUP(J75,T!$B242:$B248,T!$E242:$E248),IF(AND(J51="4F3",J53=3),LOOKUP(J75,T!$C242:$C248,T!$E242:$E248),"-")))))))),""))))</f>
        <v>4</v>
      </c>
      <c r="K78" s="129">
        <f>IF(K29="","",IF(ISNUMBER(SEARCH("4D",K51)),IF(AND(K51="4D1",K53=2),LOOKUP(K75,T!$B6:$B22,T!$M6:$M27),IF(AND(K51="4D1",K53=3),LOOKUP(K75,T!$C6:$C22,T!$M6:$M27),IF(AND(K51="4D1",K53=4),LOOKUP(K75,T!$D6:$D25,T!$M6:$M27),IF(AND(K51="4D1",K53=5),LOOKUP(K75,T!$E6:$E25,T!$M6:$M27),IF(AND(K51="4D1",K53=6),LOOKUP(K75,T!$F6:$F27,T!$M6:$M27),IF(AND(K51="4D1",K53=7),LOOKUP(K75,T!$G6:$G27,T!$M6:$M27),IF(AND(K51="4D1",K53=8),LOOKUP(K75,T!$H13:$H27,T!$M13:$M27),IF(AND(K51="4D1",K53=9),LOOKUP(K75,T!$I13:$I27,T!$M13:$M27),IF(AND(K51="4D1",K53=10),LOOKUP(K75,T!$J13:$J27,T!$M13:$M27),IF(AND(K51="4D1",K53=11),LOOKUP(K75,T!$K13:$K27,T!$M13:$M27),IF(AND(K51="4D1",K53=12),LOOKUP(K75,T!$L13:$L27,T!$M13:$M27),IF(AND(K51="4D2",K53=2),LOOKUP(K75,T!$B33:$B49,T!$J33:$J50),IF(AND(K51="4D2",K53=3),LOOKUP(K75,T!$C33:$C49,T!$J33:$J50),IF(AND(K51="4D2",K53=4),LOOKUP(K75,T!$D33:$D50,T!$J33:$J50),IF(AND(K51="4D2",K53=5),LOOKUP(K75,T!$E33:$E50,T!$J33:$J50),IF(AND(K51="4D2",K53=6),LOOKUP(K75,T!$F33:$F50,T!$J33:$J50),IF(AND(K51="4D2",K53=7),LOOKUP(K75,T!$G33:$G50,T!$J33:$J50),IF(AND(K51="4D2",K53=8),LOOKUP(K75,T!$H33:$H50,T!$J33:$J50),IF(AND(K51="4D2",K53=9),LOOKUP(K75,T!$I33:$I50,T!$J33:$J50),IF(AND(K51="4D3",K53=2),LOOKUP(K75,T!$B56:$B68,T!$M56:$M68),IF(AND(K51="4D3",K53=3),LOOKUP(K75,T!$C56:$C68,T!$M56:$M68),IF(AND(K51="4D3",K53=4),LOOKUP(K75,T!$D56:$D$68,T!$M56:$M68),IF(AND(K51="4D3",K53=5),LOOKUP(K75,T!$E56:$E68,T!$M56:$M68),IF(AND(K51="4D3",K53=6),LOOKUP(K75,T!$F56:$F68,T!$M56:$M68),IF(AND(K51="4D3",K53=7),LOOKUP(K75,T!$G56:$G68,T!$M56:$M68),IF(AND(K51="4D3",K53=8),LOOKUP(K75,T!$H56:$H68,T!$M56:$M68),IF(AND(K51="4D3",K53=9),LOOKUP(K75,T!$I56:$I68,T!$M56:$M68),IF(AND(K51="4D3",K53=10),LOOKUP(K75,T!$J56:$J68,T!$M56:$M68),IF(AND(K51="4D3",K53=11),LOOKUP(K75,T!$K56:$K68,T!$M56:$M68),IF(AND(K51="4D3",K53=12),LOOKUP(K75,T!$L56:$L68,T!$M56:$M68),IF(AND(K51="4D4",K53=2),LOOKUP(K75,T!$B74:$B90,T!$H74:$H90),IF(AND(K51="4D4",K53=3),LOOKUP(K75,T!$C74:$C90,T!$H74:$H90),IF(AND(K51="4D4",K53=4),LOOKUP(K75,T!$D74:$D90,T!$H74:$H90),IF(AND(K51="4D4",K53=5),LOOKUP(K75,T!$E74:$E90,T!$H74:$H90),IF(AND(K51="4D4",K53=6),LOOKUP(K75,T!$F74:$F89,T!$H74:$H90),IF(AND(K51="4D4",K53=7),LOOKUP(K75,T!$G74:$G89,T!$H74:$H90),IF(AND(K51="4D5",K53=2),LOOKUP(K75,T!$B96:$B102,T!$I96:$I102),IF(AND(K51="4D5",K53=3),LOOKUP(K75,T!$C96:$C102,T!$I96:$I102),IF(AND(K51="4D5",K53=4),LOOKUP(K75,T!$D96:$D102,T!$I96:$I102),IF(AND(K51="4D5",K53=5),LOOKUP(K75,T!$E96:$E102,T!$I96:$I102),IF(AND(K51="4D5",K53=6),LOOKUP(K75,T!$F96:$F102,T!$I96:$I102),IF(AND(K51="4D5",K53=7),LOOKUP(K75,T!$G96:$G102,T!$I96:$I102),"-")))))))))))))))))))))))))))))))))))))))))),IF(ISNUMBER(SEARCH("4E",K51)),IF(AND(K51="4E1",K53=2),LOOKUP(K75,T!$B108:$B124,T!$M108:$M129),IF(AND(K51="4E1",K53=3),LOOKUP(K75,T!$C108:$C124,T!$M108:$M129),IF(AND(K51="4E1",K53=4),LOOKUP(K75,T!$D108:$D127,T!$M108:$M129),IF(AND(K51="4E1",K53=5),LOOKUP(K75,T!$E108:$E127,T!$M108:$M129),IF(AND(K51="4E1",K53=6),LOOKUP(K75,T!$F108:$F129,T!$M108:$M129),IF(AND(K51="4E1",K53=7),LOOKUP(K75,T!$G108:$G129,T!$M108:$M129),IF(AND(K51="4E1",K53=8),LOOKUP(K75,T!$H115:$H129,T!$M115:$M129),IF(AND(K51="4E1",K53=9),LOOKUP(K75,T!$I115:$I129,T!$M115:$M129),IF(AND(K51="4E1",K53=10),LOOKUP(K75,T!$J115:$J129,T!$M115:$M129),IF(AND(K51="4E1",K53=11),LOOKUP(K75,T!$K115:$K129,T!$M115:$M129),IF(AND(K51="4E1",K53=12),LOOKUP(K75,T!$L115:$L129,T!$M115:$M129),IF(AND(K51="4E2",K53=2),LOOKUP(K75,T!$B134:$B151,T!$J134:$J152),IF(AND(K51="4E2",K53=3),LOOKUP(K75,T!$C134:$C151,T!$J134:$J152),IF(AND(K51="4E2",K53=4),LOOKUP(K75,T!$D134:$D152,T!$J134:$J152),IF(AND(K51="4E2",K53=5),LOOKUP(K75,T!$E134:$E152,T!$J134:$J152),IF(AND(K51="4E2",K53=6),LOOKUP(K75,T!$F134:$F152,T!$J134:$J152),IF(AND(K51="4E2",K53=7),LOOKUP(K75,T!$G134:$G152,T!$J134:$J152),IF(AND(K51="4E2",K53=8),LOOKUP(K75,T!$H134:$H152,T!$J134:$J152),IF(AND(K51="4E2",K53=9),LOOKUP(K75,T!$I134:$I152,T!$J134:$J152),IF(AND(K51="4E3",K53=2),LOOKUP(K75,T!$B158:$B170,T!$M158:$M170),IF(AND(K51="4E3",K53=3),LOOKUP(K75,T!$C158:$C170,T!$M158:$M170),IF(AND(K51="4E3",K53=4),LOOKUP(K75,T!$D158:$D170,T!$M158:$M170),IF(AND(K51="4E3",K53=5),LOOKUP(K75,T!$E158:$E170,T!$M158:$M170),IF(AND(K51="4E3",K53=6),LOOKUP(K75,T!$F158:$F170,T!$M158:$M170),IF(AND(K51="4E3",K53=7),LOOKUP(K75,T!$G158:$G170,T!$M158:$M170),IF(AND(K51="4E3",K53=8),LOOKUP(K75,T!$H158:$H170,T!$M158:$M170),IF(AND(K51="4E3",K53=9),LOOKUP(K75,T!$I158:$I170,T!$M158:$M170),IF(AND(K51="4E3",K53=10),LOOKUP(K75,T!$J158:$J170,T!$M158:$M170),IF(AND(K51="4E3",K53=11),LOOKUP(K75,T!$K158:$K170,T!$M158:$M170),IF(AND(K51="4E3",K53=12),LOOKUP(K75,T!$L158:$L170,T!$M158:$M170),IF(AND(K51="4E4",K53=2),LOOKUP(K75,T!$B176:$B192,T!$H176:$H192),IF(AND(K51="4E4",K53=3),LOOKUP(K75,T!$C176:$C192,T!$H176:$H192),IF(AND(K51="4E4",K53=4),LOOKUP(K75,T!$D176:$D192,T!$H176:$H192),IF(AND(K51="4E4",K53=5),LOOKUP(K75,T!$E176:$E192,T!$H176:$H192),IF(AND(K51="4E4",K53=6),LOOKUP(K75,T!$F176:$F191,T!$H176:$H192),IF(AND(K51="4E4",K53=7),LOOKUP(K75,T!$G176:$G191,T!$H176:$H192),"-")))))))))))))))))))))))))))))))))))),IF(ISNUMBER(SEARCH("4F",K51)),IF(AND(K51="4F1",K53=2),LOOKUP(K75,T!$B198:$B202,T!$E198:$E214),IF(AND(K51="4F1",K53=3),LOOKUP(K75,T!$C198:$C211,T!$E198:$E214),IF(AND(K51="4F1",K53=4),LOOKUP(K75,T!$D203:$D214,T!$E203:$E214),IF(AND(K51="4F2",K53=2),LOOKUP(K75,T!$B220:$B224,T!$E220:$E236),IF(AND(K51="4F2",K53=3),LOOKUP(K75,T!$C220:$C233,T!$E220:$E236),IF(AND(K51="4F2",K53=4),LOOKUP(K75,T!$D225:$D236,T!$E225:$E236),IF(AND(K51="4F3",K53=2),LOOKUP(K75,T!$B242:$B248,T!$E242:$E248),IF(AND(K51="4F3",K53=3),LOOKUP(K75,T!$C242:$C248,T!$E242:$E248),"-")))))))),""))))</f>
        <v>1.5</v>
      </c>
      <c r="L78" s="129">
        <f>IF(L29="","",IF(ISNUMBER(SEARCH("4D",L51)),IF(AND(L51="4D1",L53=2),LOOKUP(L75,T!$B6:$B22,T!$M6:$M27),IF(AND(L51="4D1",L53=3),LOOKUP(L75,T!$C6:$C22,T!$M6:$M27),IF(AND(L51="4D1",L53=4),LOOKUP(L75,T!$D6:$D25,T!$M6:$M27),IF(AND(L51="4D1",L53=5),LOOKUP(L75,T!$E6:$E25,T!$M6:$M27),IF(AND(L51="4D1",L53=6),LOOKUP(L75,T!$F6:$F27,T!$M6:$M27),IF(AND(L51="4D1",L53=7),LOOKUP(L75,T!$G6:$G27,T!$M6:$M27),IF(AND(L51="4D1",L53=8),LOOKUP(L75,T!$H13:$H27,T!$M13:$M27),IF(AND(L51="4D1",L53=9),LOOKUP(L75,T!$I13:$I27,T!$M13:$M27),IF(AND(L51="4D1",L53=10),LOOKUP(L75,T!$J13:$J27,T!$M13:$M27),IF(AND(L51="4D1",L53=11),LOOKUP(L75,T!$K13:$K27,T!$M13:$M27),IF(AND(L51="4D1",L53=12),LOOKUP(L75,T!$L13:$L27,T!$M13:$M27),IF(AND(L51="4D2",L53=2),LOOKUP(L75,T!$B33:$B49,T!$J33:$J50),IF(AND(L51="4D2",L53=3),LOOKUP(L75,T!$C33:$C49,T!$J33:$J50),IF(AND(L51="4D2",L53=4),LOOKUP(L75,T!$D33:$D50,T!$J33:$J50),IF(AND(L51="4D2",L53=5),LOOKUP(L75,T!$E33:$E50,T!$J33:$J50),IF(AND(L51="4D2",L53=6),LOOKUP(L75,T!$F33:$F50,T!$J33:$J50),IF(AND(L51="4D2",L53=7),LOOKUP(L75,T!$G33:$G50,T!$J33:$J50),IF(AND(L51="4D2",L53=8),LOOKUP(L75,T!$H33:$H50,T!$J33:$J50),IF(AND(L51="4D2",L53=9),LOOKUP(L75,T!$I33:$I50,T!$J33:$J50),IF(AND(L51="4D3",L53=2),LOOKUP(L75,T!$B56:$B68,T!$M56:$M68),IF(AND(L51="4D3",L53=3),LOOKUP(L75,T!$C56:$C68,T!$M56:$M68),IF(AND(L51="4D3",L53=4),LOOKUP(L75,T!$D56:$D$68,T!$M56:$M68),IF(AND(L51="4D3",L53=5),LOOKUP(L75,T!$E56:$E68,T!$M56:$M68),IF(AND(L51="4D3",L53=6),LOOKUP(L75,T!$F56:$F68,T!$M56:$M68),IF(AND(L51="4D3",L53=7),LOOKUP(L75,T!$G56:$G68,T!$M56:$M68),IF(AND(L51="4D3",L53=8),LOOKUP(L75,T!$H56:$H68,T!$M56:$M68),IF(AND(L51="4D3",L53=9),LOOKUP(L75,T!$I56:$I68,T!$M56:$M68),IF(AND(L51="4D3",L53=10),LOOKUP(L75,T!$J56:$J68,T!$M56:$M68),IF(AND(L51="4D3",L53=11),LOOKUP(L75,T!$K56:$K68,T!$M56:$M68),IF(AND(L51="4D3",L53=12),LOOKUP(L75,T!$L56:$L68,T!$M56:$M68),IF(AND(L51="4D4",L53=2),LOOKUP(L75,T!$B74:$B90,T!$H74:$H90),IF(AND(L51="4D4",L53=3),LOOKUP(L75,T!$C74:$C90,T!$H74:$H90),IF(AND(L51="4D4",L53=4),LOOKUP(L75,T!$D74:$D90,T!$H74:$H90),IF(AND(L51="4D4",L53=5),LOOKUP(L75,T!$E74:$E90,T!$H74:$H90),IF(AND(L51="4D4",L53=6),LOOKUP(L75,T!$F74:$F89,T!$H74:$H90),IF(AND(L51="4D4",L53=7),LOOKUP(L75,T!$G74:$G89,T!$H74:$H90),IF(AND(L51="4D5",L53=2),LOOKUP(L75,T!$B96:$B102,T!$I96:$I102),IF(AND(L51="4D5",L53=3),LOOKUP(L75,T!$C96:$C102,T!$I96:$I102),IF(AND(L51="4D5",L53=4),LOOKUP(L75,T!$D96:$D102,T!$I96:$I102),IF(AND(L51="4D5",L53=5),LOOKUP(L75,T!$E96:$E102,T!$I96:$I102),IF(AND(L51="4D5",L53=6),LOOKUP(L75,T!$F96:$F102,T!$I96:$I102),IF(AND(L51="4D5",L53=7),LOOKUP(L75,T!$G96:$G102,T!$I96:$I102),"-")))))))))))))))))))))))))))))))))))))))))),IF(ISNUMBER(SEARCH("4E",L51)),IF(AND(L51="4E1",L53=2),LOOKUP(L75,T!$B108:$B124,T!$M108:$M129),IF(AND(L51="4E1",L53=3),LOOKUP(L75,T!$C108:$C124,T!$M108:$M129),IF(AND(L51="4E1",L53=4),LOOKUP(L75,T!$D108:$D127,T!$M108:$M129),IF(AND(L51="4E1",L53=5),LOOKUP(L75,T!$E108:$E127,T!$M108:$M129),IF(AND(L51="4E1",L53=6),LOOKUP(L75,T!$F108:$F129,T!$M108:$M129),IF(AND(L51="4E1",L53=7),LOOKUP(L75,T!$G108:$G129,T!$M108:$M129),IF(AND(L51="4E1",L53=8),LOOKUP(L75,T!$H115:$H129,T!$M115:$M129),IF(AND(L51="4E1",L53=9),LOOKUP(L75,T!$I115:$I129,T!$M115:$M129),IF(AND(L51="4E1",L53=10),LOOKUP(L75,T!$J115:$J129,T!$M115:$M129),IF(AND(L51="4E1",L53=11),LOOKUP(L75,T!$K115:$K129,T!$M115:$M129),IF(AND(L51="4E1",L53=12),LOOKUP(L75,T!$L115:$L129,T!$M115:$M129),IF(AND(L51="4E2",L53=2),LOOKUP(L75,T!$B134:$B151,T!$J134:$J152),IF(AND(L51="4E2",L53=3),LOOKUP(L75,T!$C134:$C151,T!$J134:$J152),IF(AND(L51="4E2",L53=4),LOOKUP(L75,T!$D134:$D152,T!$J134:$J152),IF(AND(L51="4E2",L53=5),LOOKUP(L75,T!$E134:$E152,T!$J134:$J152),IF(AND(L51="4E2",L53=6),LOOKUP(L75,T!$F134:$F152,T!$J134:$J152),IF(AND(L51="4E2",L53=7),LOOKUP(L75,T!$G134:$G152,T!$J134:$J152),IF(AND(L51="4E2",L53=8),LOOKUP(L75,T!$H134:$H152,T!$J134:$J152),IF(AND(L51="4E2",L53=9),LOOKUP(L75,T!$I134:$I152,T!$J134:$J152),IF(AND(L51="4E3",L53=2),LOOKUP(L75,T!$B158:$B170,T!$M158:$M170),IF(AND(L51="4E3",L53=3),LOOKUP(L75,T!$C158:$C170,T!$M158:$M170),IF(AND(L51="4E3",L53=4),LOOKUP(L75,T!$D158:$D170,T!$M158:$M170),IF(AND(L51="4E3",L53=5),LOOKUP(L75,T!$E158:$E170,T!$M158:$M170),IF(AND(L51="4E3",L53=6),LOOKUP(L75,T!$F158:$F170,T!$M158:$M170),IF(AND(L51="4E3",L53=7),LOOKUP(L75,T!$G158:$G170,T!$M158:$M170),IF(AND(L51="4E3",L53=8),LOOKUP(L75,T!$H158:$H170,T!$M158:$M170),IF(AND(L51="4E3",L53=9),LOOKUP(L75,T!$I158:$I170,T!$M158:$M170),IF(AND(L51="4E3",L53=10),LOOKUP(L75,T!$J158:$J170,T!$M158:$M170),IF(AND(L51="4E3",L53=11),LOOKUP(L75,T!$K158:$K170,T!$M158:$M170),IF(AND(L51="4E3",L53=12),LOOKUP(L75,T!$L158:$L170,T!$M158:$M170),IF(AND(L51="4E4",L53=2),LOOKUP(L75,T!$B176:$B192,T!$H176:$H192),IF(AND(L51="4E4",L53=3),LOOKUP(L75,T!$C176:$C192,T!$H176:$H192),IF(AND(L51="4E4",L53=4),LOOKUP(L75,T!$D176:$D192,T!$H176:$H192),IF(AND(L51="4E4",L53=5),LOOKUP(L75,T!$E176:$E192,T!$H176:$H192),IF(AND(L51="4E4",L53=6),LOOKUP(L75,T!$F176:$F191,T!$H176:$H192),IF(AND(L51="4E4",L53=7),LOOKUP(L75,T!$G176:$G191,T!$H176:$H192),"-")))))))))))))))))))))))))))))))))))),IF(ISNUMBER(SEARCH("4F",L51)),IF(AND(L51="4F1",L53=2),LOOKUP(L75,T!$B198:$B202,T!$E198:$E214),IF(AND(L51="4F1",L53=3),LOOKUP(L75,T!$C198:$C211,T!$E198:$E214),IF(AND(L51="4F1",L53=4),LOOKUP(L75,T!$D203:$D214,T!$E203:$E214),IF(AND(L51="4F2",L53=2),LOOKUP(L75,T!$B220:$B224,T!$E220:$E236),IF(AND(L51="4F2",L53=3),LOOKUP(L75,T!$C220:$C233,T!$E220:$E236),IF(AND(L51="4F2",L53=4),LOOKUP(L75,T!$D225:$D236,T!$E225:$E236),IF(AND(L51="4F3",L53=2),LOOKUP(L75,T!$B242:$B248,T!$E242:$E248),IF(AND(L51="4F3",L53=3),LOOKUP(L75,T!$C242:$C248,T!$E242:$E248),"-")))))))),""))))</f>
        <v>1.5</v>
      </c>
      <c r="M78" s="129" t="str">
        <f>IF(M29="","",IF(ISNUMBER(SEARCH("4D",M51)),IF(AND(M51="4D1",M53=2),LOOKUP(M75,T!$B6:$B22,T!$M6:$M27),IF(AND(M51="4D1",M53=3),LOOKUP(M75,T!$C6:$C22,T!$M6:$M27),IF(AND(M51="4D1",M53=4),LOOKUP(M75,T!$D6:$D25,T!$M6:$M27),IF(AND(M51="4D1",M53=5),LOOKUP(M75,T!$E6:$E25,T!$M6:$M27),IF(AND(M51="4D1",M53=6),LOOKUP(M75,T!$F6:$F27,T!$M6:$M27),IF(AND(M51="4D1",M53=7),LOOKUP(M75,T!$G6:$G27,T!$M6:$M27),IF(AND(M51="4D1",M53=8),LOOKUP(M75,T!$H13:$H27,T!$M13:$M27),IF(AND(M51="4D1",M53=9),LOOKUP(M75,T!$I13:$I27,T!$M13:$M27),IF(AND(M51="4D1",M53=10),LOOKUP(M75,T!$J13:$J27,T!$M13:$M27),IF(AND(M51="4D1",M53=11),LOOKUP(M75,T!$K13:$K27,T!$M13:$M27),IF(AND(M51="4D1",M53=12),LOOKUP(M75,T!$L13:$L27,T!$M13:$M27),IF(AND(M51="4D2",M53=2),LOOKUP(M75,T!$B33:$B49,T!$J33:$J50),IF(AND(M51="4D2",M53=3),LOOKUP(M75,T!$C33:$C49,T!$J33:$J50),IF(AND(M51="4D2",M53=4),LOOKUP(M75,T!$D33:$D50,T!$J33:$J50),IF(AND(M51="4D2",M53=5),LOOKUP(M75,T!$E33:$E50,T!$J33:$J50),IF(AND(M51="4D2",M53=6),LOOKUP(M75,T!$F33:$F50,T!$J33:$J50),IF(AND(M51="4D2",M53=7),LOOKUP(M75,T!$G33:$G50,T!$J33:$J50),IF(AND(M51="4D2",M53=8),LOOKUP(M75,T!$H33:$H50,T!$J33:$J50),IF(AND(M51="4D2",M53=9),LOOKUP(M75,T!$I33:$I50,T!$J33:$J50),IF(AND(M51="4D3",M53=2),LOOKUP(M75,T!$B56:$B68,T!$M56:$M68),IF(AND(M51="4D3",M53=3),LOOKUP(M75,T!$C56:$C68,T!$M56:$M68),IF(AND(M51="4D3",M53=4),LOOKUP(M75,T!$D56:$D$68,T!$M56:$M68),IF(AND(M51="4D3",M53=5),LOOKUP(M75,T!$E56:$E68,T!$M56:$M68),IF(AND(M51="4D3",M53=6),LOOKUP(M75,T!$F56:$F68,T!$M56:$M68),IF(AND(M51="4D3",M53=7),LOOKUP(M75,T!$G56:$G68,T!$M56:$M68),IF(AND(M51="4D3",M53=8),LOOKUP(M75,T!$H56:$H68,T!$M56:$M68),IF(AND(M51="4D3",M53=9),LOOKUP(M75,T!$I56:$I68,T!$M56:$M68),IF(AND(M51="4D3",M53=10),LOOKUP(M75,T!$J56:$J68,T!$M56:$M68),IF(AND(M51="4D3",M53=11),LOOKUP(M75,T!$K56:$K68,T!$M56:$M68),IF(AND(M51="4D3",M53=12),LOOKUP(M75,T!$L56:$L68,T!$M56:$M68),IF(AND(M51="4D4",M53=2),LOOKUP(M75,T!$B74:$B90,T!$H74:$H90),IF(AND(M51="4D4",M53=3),LOOKUP(M75,T!$C74:$C90,T!$H74:$H90),IF(AND(M51="4D4",M53=4),LOOKUP(M75,T!$D74:$D90,T!$H74:$H90),IF(AND(M51="4D4",M53=5),LOOKUP(M75,T!$E74:$E90,T!$H74:$H90),IF(AND(M51="4D4",M53=6),LOOKUP(M75,T!$F74:$F89,T!$H74:$H90),IF(AND(M51="4D4",M53=7),LOOKUP(M75,T!$G74:$G89,T!$H74:$H90),IF(AND(M51="4D5",M53=2),LOOKUP(M75,T!$B96:$B102,T!$I96:$I102),IF(AND(M51="4D5",M53=3),LOOKUP(M75,T!$C96:$C102,T!$I96:$I102),IF(AND(M51="4D5",M53=4),LOOKUP(M75,T!$D96:$D102,T!$I96:$I102),IF(AND(M51="4D5",M53=5),LOOKUP(M75,T!$E96:$E102,T!$I96:$I102),IF(AND(M51="4D5",M53=6),LOOKUP(M75,T!$F96:$F102,T!$I96:$I102),IF(AND(M51="4D5",M53=7),LOOKUP(M75,T!$G96:$G102,T!$I96:$I102),"-")))))))))))))))))))))))))))))))))))))))))),IF(ISNUMBER(SEARCH("4E",M51)),IF(AND(M51="4E1",M53=2),LOOKUP(M75,T!$B108:$B124,T!$M108:$M129),IF(AND(M51="4E1",M53=3),LOOKUP(M75,T!$C108:$C124,T!$M108:$M129),IF(AND(M51="4E1",M53=4),LOOKUP(M75,T!$D108:$D127,T!$M108:$M129),IF(AND(M51="4E1",M53=5),LOOKUP(M75,T!$E108:$E127,T!$M108:$M129),IF(AND(M51="4E1",M53=6),LOOKUP(M75,T!$F108:$F129,T!$M108:$M129),IF(AND(M51="4E1",M53=7),LOOKUP(M75,T!$G108:$G129,T!$M108:$M129),IF(AND(M51="4E1",M53=8),LOOKUP(M75,T!$H115:$H129,T!$M115:$M129),IF(AND(M51="4E1",M53=9),LOOKUP(M75,T!$I115:$I129,T!$M115:$M129),IF(AND(M51="4E1",M53=10),LOOKUP(M75,T!$J115:$J129,T!$M115:$M129),IF(AND(M51="4E1",M53=11),LOOKUP(M75,T!$K115:$K129,T!$M115:$M129),IF(AND(M51="4E1",M53=12),LOOKUP(M75,T!$L115:$L129,T!$M115:$M129),IF(AND(M51="4E2",M53=2),LOOKUP(M75,T!$B134:$B151,T!$J134:$J152),IF(AND(M51="4E2",M53=3),LOOKUP(M75,T!$C134:$C151,T!$J134:$J152),IF(AND(M51="4E2",M53=4),LOOKUP(M75,T!$D134:$D152,T!$J134:$J152),IF(AND(M51="4E2",M53=5),LOOKUP(M75,T!$E134:$E152,T!$J134:$J152),IF(AND(M51="4E2",M53=6),LOOKUP(M75,T!$F134:$F152,T!$J134:$J152),IF(AND(M51="4E2",M53=7),LOOKUP(M75,T!$G134:$G152,T!$J134:$J152),IF(AND(M51="4E2",M53=8),LOOKUP(M75,T!$H134:$H152,T!$J134:$J152),IF(AND(M51="4E2",M53=9),LOOKUP(M75,T!$I134:$I152,T!$J134:$J152),IF(AND(M51="4E3",M53=2),LOOKUP(M75,T!$B158:$B170,T!$M158:$M170),IF(AND(M51="4E3",M53=3),LOOKUP(M75,T!$C158:$C170,T!$M158:$M170),IF(AND(M51="4E3",M53=4),LOOKUP(M75,T!$D158:$D170,T!$M158:$M170),IF(AND(M51="4E3",M53=5),LOOKUP(M75,T!$E158:$E170,T!$M158:$M170),IF(AND(M51="4E3",M53=6),LOOKUP(M75,T!$F158:$F170,T!$M158:$M170),IF(AND(M51="4E3",M53=7),LOOKUP(M75,T!$G158:$G170,T!$M158:$M170),IF(AND(M51="4E3",M53=8),LOOKUP(M75,T!$H158:$H170,T!$M158:$M170),IF(AND(M51="4E3",M53=9),LOOKUP(M75,T!$I158:$I170,T!$M158:$M170),IF(AND(M51="4E3",M53=10),LOOKUP(M75,T!$J158:$J170,T!$M158:$M170),IF(AND(M51="4E3",M53=11),LOOKUP(M75,T!$K158:$K170,T!$M158:$M170),IF(AND(M51="4E3",M53=12),LOOKUP(M75,T!$L158:$L170,T!$M158:$M170),IF(AND(M51="4E4",M53=2),LOOKUP(M75,T!$B176:$B192,T!$H176:$H192),IF(AND(M51="4E4",M53=3),LOOKUP(M75,T!$C176:$C192,T!$H176:$H192),IF(AND(M51="4E4",M53=4),LOOKUP(M75,T!$D176:$D192,T!$H176:$H192),IF(AND(M51="4E4",M53=5),LOOKUP(M75,T!$E176:$E192,T!$H176:$H192),IF(AND(M51="4E4",M53=6),LOOKUP(M75,T!$F176:$F191,T!$H176:$H192),IF(AND(M51="4E4",M53=7),LOOKUP(M75,T!$G176:$G191,T!$H176:$H192),"-")))))))))))))))))))))))))))))))))))),IF(ISNUMBER(SEARCH("4F",M51)),IF(AND(M51="4F1",M53=2),LOOKUP(M75,T!$B198:$B202,T!$E198:$E214),IF(AND(M51="4F1",M53=3),LOOKUP(M75,T!$C198:$C211,T!$E198:$E214),IF(AND(M51="4F1",M53=4),LOOKUP(M75,T!$D203:$D214,T!$E203:$E214),IF(AND(M51="4F2",M53=2),LOOKUP(M75,T!$B220:$B224,T!$E220:$E236),IF(AND(M51="4F2",M53=3),LOOKUP(M75,T!$C220:$C233,T!$E220:$E236),IF(AND(M51="4F2",M53=4),LOOKUP(M75,T!$D225:$D236,T!$E225:$E236),IF(AND(M51="4F3",M53=2),LOOKUP(M75,T!$B242:$B248,T!$E242:$E248),IF(AND(M51="4F3",M53=3),LOOKUP(M75,T!$C242:$C248,T!$E242:$E248),"-")))))))),""))))</f>
        <v/>
      </c>
      <c r="N78" s="129">
        <f>IF(N29="","",IF(ISNUMBER(SEARCH("4D",N51)),IF(AND(N51="4D1",N53=2),LOOKUP(N75,T!$B6:$B22,T!$M6:$M27),IF(AND(N51="4D1",N53=3),LOOKUP(N75,T!$C6:$C22,T!$M6:$M27),IF(AND(N51="4D1",N53=4),LOOKUP(N75,T!$D6:$D25,T!$M6:$M27),IF(AND(N51="4D1",N53=5),LOOKUP(N75,T!$E6:$E25,T!$M6:$M27),IF(AND(N51="4D1",N53=6),LOOKUP(N75,T!$F6:$F27,T!$M6:$M27),IF(AND(N51="4D1",N53=7),LOOKUP(N75,T!$G6:$G27,T!$M6:$M27),IF(AND(N51="4D1",N53=8),LOOKUP(N75,T!$H13:$H27,T!$M13:$M27),IF(AND(N51="4D1",N53=9),LOOKUP(N75,T!$I13:$I27,T!$M13:$M27),IF(AND(N51="4D1",N53=10),LOOKUP(N75,T!$J13:$J27,T!$M13:$M27),IF(AND(N51="4D1",N53=11),LOOKUP(N75,T!$K13:$K27,T!$M13:$M27),IF(AND(N51="4D1",N53=12),LOOKUP(N75,T!$L13:$L27,T!$M13:$M27),IF(AND(N51="4D2",N53=2),LOOKUP(N75,T!$B33:$B49,T!$J33:$J50),IF(AND(N51="4D2",N53=3),LOOKUP(N75,T!$C33:$C49,T!$J33:$J50),IF(AND(N51="4D2",N53=4),LOOKUP(N75,T!$D33:$D50,T!$J33:$J50),IF(AND(N51="4D2",N53=5),LOOKUP(N75,T!$E33:$E50,T!$J33:$J50),IF(AND(N51="4D2",N53=6),LOOKUP(N75,T!$F33:$F50,T!$J33:$J50),IF(AND(N51="4D2",N53=7),LOOKUP(N75,T!$G33:$G50,T!$J33:$J50),IF(AND(N51="4D2",N53=8),LOOKUP(N75,T!$H33:$H50,T!$J33:$J50),IF(AND(N51="4D2",N53=9),LOOKUP(N75,T!$I33:$I50,T!$J33:$J50),IF(AND(N51="4D3",N53=2),LOOKUP(N75,T!$B56:$B68,T!$M56:$M68),IF(AND(N51="4D3",N53=3),LOOKUP(N75,T!$C56:$C68,T!$M56:$M68),IF(AND(N51="4D3",N53=4),LOOKUP(N75,T!$D56:$D$68,T!$M56:$M68),IF(AND(N51="4D3",N53=5),LOOKUP(N75,T!$E56:$E68,T!$M56:$M68),IF(AND(N51="4D3",N53=6),LOOKUP(N75,T!$F56:$F68,T!$M56:$M68),IF(AND(N51="4D3",N53=7),LOOKUP(N75,T!$G56:$G68,T!$M56:$M68),IF(AND(N51="4D3",N53=8),LOOKUP(N75,T!$H56:$H68,T!$M56:$M68),IF(AND(N51="4D3",N53=9),LOOKUP(N75,T!$I56:$I68,T!$M56:$M68),IF(AND(N51="4D3",N53=10),LOOKUP(N75,T!$J56:$J68,T!$M56:$M68),IF(AND(N51="4D3",N53=11),LOOKUP(N75,T!$K56:$K68,T!$M56:$M68),IF(AND(N51="4D3",N53=12),LOOKUP(N75,T!$L56:$L68,T!$M56:$M68),IF(AND(N51="4D4",N53=2),LOOKUP(N75,T!$B74:$B90,T!$H74:$H90),IF(AND(N51="4D4",N53=3),LOOKUP(N75,T!$C74:$C90,T!$H74:$H90),IF(AND(N51="4D4",N53=4),LOOKUP(N75,T!$D74:$D90,T!$H74:$H90),IF(AND(N51="4D4",N53=5),LOOKUP(N75,T!$E74:$E90,T!$H74:$H90),IF(AND(N51="4D4",N53=6),LOOKUP(N75,T!$F74:$F89,T!$H74:$H90),IF(AND(N51="4D4",N53=7),LOOKUP(N75,T!$G74:$G89,T!$H74:$H90),IF(AND(N51="4D5",N53=2),LOOKUP(N75,T!$B96:$B102,T!$I96:$I102),IF(AND(N51="4D5",N53=3),LOOKUP(N75,T!$C96:$C102,T!$I96:$I102),IF(AND(N51="4D5",N53=4),LOOKUP(N75,T!$D96:$D102,T!$I96:$I102),IF(AND(N51="4D5",N53=5),LOOKUP(N75,T!$E96:$E102,T!$I96:$I102),IF(AND(N51="4D5",N53=6),LOOKUP(N75,T!$F96:$F102,T!$I96:$I102),IF(AND(N51="4D5",N53=7),LOOKUP(N75,T!$G96:$G102,T!$I96:$I102),"-")))))))))))))))))))))))))))))))))))))))))),IF(ISNUMBER(SEARCH("4E",N51)),IF(AND(N51="4E1",N53=2),LOOKUP(N75,T!$B108:$B124,T!$M108:$M129),IF(AND(N51="4E1",N53=3),LOOKUP(N75,T!$C108:$C124,T!$M108:$M129),IF(AND(N51="4E1",N53=4),LOOKUP(N75,T!$D108:$D127,T!$M108:$M129),IF(AND(N51="4E1",N53=5),LOOKUP(N75,T!$E108:$E127,T!$M108:$M129),IF(AND(N51="4E1",N53=6),LOOKUP(N75,T!$F108:$F129,T!$M108:$M129),IF(AND(N51="4E1",N53=7),LOOKUP(N75,T!$G108:$G129,T!$M108:$M129),IF(AND(N51="4E1",N53=8),LOOKUP(N75,T!$H115:$H129,T!$M115:$M129),IF(AND(N51="4E1",N53=9),LOOKUP(N75,T!$I115:$I129,T!$M115:$M129),IF(AND(N51="4E1",N53=10),LOOKUP(N75,T!$J115:$J129,T!$M115:$M129),IF(AND(N51="4E1",N53=11),LOOKUP(N75,T!$K115:$K129,T!$M115:$M129),IF(AND(N51="4E1",N53=12),LOOKUP(N75,T!$L115:$L129,T!$M115:$M129),IF(AND(N51="4E2",N53=2),LOOKUP(N75,T!$B134:$B151,T!$J134:$J152),IF(AND(N51="4E2",N53=3),LOOKUP(N75,T!$C134:$C151,T!$J134:$J152),IF(AND(N51="4E2",N53=4),LOOKUP(N75,T!$D134:$D152,T!$J134:$J152),IF(AND(N51="4E2",N53=5),LOOKUP(N75,T!$E134:$E152,T!$J134:$J152),IF(AND(N51="4E2",N53=6),LOOKUP(N75,T!$F134:$F152,T!$J134:$J152),IF(AND(N51="4E2",N53=7),LOOKUP(N75,T!$G134:$G152,T!$J134:$J152),IF(AND(N51="4E2",N53=8),LOOKUP(N75,T!$H134:$H152,T!$J134:$J152),IF(AND(N51="4E2",N53=9),LOOKUP(N75,T!$I134:$I152,T!$J134:$J152),IF(AND(N51="4E3",N53=2),LOOKUP(N75,T!$B158:$B170,T!$M158:$M170),IF(AND(N51="4E3",N53=3),LOOKUP(N75,T!$C158:$C170,T!$M158:$M170),IF(AND(N51="4E3",N53=4),LOOKUP(N75,T!$D158:$D170,T!$M158:$M170),IF(AND(N51="4E3",N53=5),LOOKUP(N75,T!$E158:$E170,T!$M158:$M170),IF(AND(N51="4E3",N53=6),LOOKUP(N75,T!$F158:$F170,T!$M158:$M170),IF(AND(N51="4E3",N53=7),LOOKUP(N75,T!$G158:$G170,T!$M158:$M170),IF(AND(N51="4E3",N53=8),LOOKUP(N75,T!$H158:$H170,T!$M158:$M170),IF(AND(N51="4E3",N53=9),LOOKUP(N75,T!$I158:$I170,T!$M158:$M170),IF(AND(N51="4E3",N53=10),LOOKUP(N75,T!$J158:$J170,T!$M158:$M170),IF(AND(N51="4E3",N53=11),LOOKUP(N75,T!$K158:$K170,T!$M158:$M170),IF(AND(N51="4E3",N53=12),LOOKUP(N75,T!$L158:$L170,T!$M158:$M170),IF(AND(N51="4E4",N53=2),LOOKUP(N75,T!$B176:$B192,T!$H176:$H192),IF(AND(N51="4E4",N53=3),LOOKUP(N75,T!$C176:$C192,T!$H176:$H192),IF(AND(N51="4E4",N53=4),LOOKUP(N75,T!$D176:$D192,T!$H176:$H192),IF(AND(N51="4E4",N53=5),LOOKUP(N75,T!$E176:$E192,T!$H176:$H192),IF(AND(N51="4E4",N53=6),LOOKUP(N75,T!$F176:$F191,T!$H176:$H192),IF(AND(N51="4E4",N53=7),LOOKUP(N75,T!$G176:$G191,T!$H176:$H192),"-")))))))))))))))))))))))))))))))))))),IF(ISNUMBER(SEARCH("4F",N51)),IF(AND(N51="4F1",N53=2),LOOKUP(N75,T!$B198:$B202,T!$E198:$E214),IF(AND(N51="4F1",N53=3),LOOKUP(N75,T!$C198:$C211,T!$E198:$E214),IF(AND(N51="4F1",N53=4),LOOKUP(N75,T!$D203:$D214,T!$E203:$E214),IF(AND(N51="4F2",N53=2),LOOKUP(N75,T!$B220:$B224,T!$E220:$E236),IF(AND(N51="4F2",N53=3),LOOKUP(N75,T!$C220:$C233,T!$E220:$E236),IF(AND(N51="4F2",N53=4),LOOKUP(N75,T!$D225:$D236,T!$E225:$E236),IF(AND(N51="4F3",N53=2),LOOKUP(N75,T!$B242:$B248,T!$E242:$E248),IF(AND(N51="4F3",N53=3),LOOKUP(N75,T!$C242:$C248,T!$E242:$E248),"-")))))))),""))))</f>
        <v>120</v>
      </c>
      <c r="O78" s="143" t="str">
        <f t="shared" ref="O78:O83" si="18">IF(N78&lt;&gt;"","mm²","")</f>
        <v>mm²</v>
      </c>
    </row>
    <row r="79" spans="1:43" s="123" customFormat="1" ht="16">
      <c r="A79" s="152"/>
      <c r="B79" s="178"/>
      <c r="C79" s="152"/>
      <c r="D79" s="152" t="str">
        <f>IF(D29="","",IF(ISNUMBER(SEARCH("4G",D51)),IF(AND(D51="4G1",D53=2,D59="500V"),LOOKUP(D76,T!$B255:$B258,T!$J255:$J258),IF(AND(D51="4G1",D53=3,D59="500V"),LOOKUP(D76,T!$C255:$C258,T!$J255:$J258),IF(AND(D51="4G1",D53=4,D59="500V"),LOOKUP(D76,T!$D255:$D258,T!$J255:$J258),IF(AND(D51="4G1",D53=5,D59="500V"),LOOKUP(D76,T!$E255:$E258,T!$J255:$J258),IF(AND(D51="4G1",D53=6,D59="500V"),LOOKUP(D76,T!$F255:$F258,T!$J255:$J258),IF(AND(D51="4G1",D53=7,D59="500V"),LOOKUP(D76,T!$G255:$G258,T!$J255:$J258),IF(AND(D51="4G1",D53=8,D59="500V"),LOOKUP(D76,T!$H255:$H258,T!$J255:$J258),IF(AND(D51="4G1",D53=9,D59="500V"),LOOKUP(D76,T!$I255:$I258,T!$J255:$J258),IF(AND(D51="4G1",D53=2,D59="750V"),LOOKUP(D76,T!$B260:$B275,T!$J260:$J275),IF(AND(D51="4G1",D53=3,D59="750V"),LOOKUP(D76,T!$C260:$C275,T!$J260:$J275),IF(AND(D51="4G1",D53=4,D59="750V"),LOOKUP(D76,T!$D260:$D275,T!$J260:$J275),IF(AND(D51="4G1",D53=5,D59="750V"),LOOKUP(D76,T!$E260:$E275,T!$J260:$J275),IF(AND(D51="4G1",D53=6,D59="750V"),LOOKUP(D76,T!$F260:$F275,T!$J260:$J275),IF(AND(D51="4G1",D53=7,D59="750V"),LOOKUP(D76,T!$G260:$G275,T!$J260:$J275),IF(AND(D51="4G1",D53=8,D59="750V"),LOOKUP(D76,T!$H260:$H275,T!$J260:$J275),IF(AND(D51="4G1",D53=9,D59="750V"),LOOKUP(D76,T!$I260:$I275,T!$J260:$J275),IF(AND(D51="4G2",D53=2,D59="500V"),LOOKUP(D76,T!$B282:$B285,T!$J282:$J285),IF(AND(D51="4G2",D53=3,D59="500V"),LOOKUP(D76,T!$C282:$C285,T!$J282:$J285),IF(AND(D51="4G2",D53=4,D59="500V"),LOOKUP(D76,T!$D282:$D285,T!$J282:$J285),IF(AND(D51="4G2",D53=5,D59="500V"),LOOKUP(D76,T!$E282:$E285,T!$J282:$J285),IF(AND(D51="4G2",D53=6,D59="500V"),LOOKUP(D76,T!$F282:$F285,T!$J282:$J285),IF(AND(D51="4G2",D53=7,D59="500V"),LOOKUP(D76,T!$G282:$G285,T!$J282:$J285),IF(AND(D51="4G2",D53=8,D59="500V"),LOOKUP(D76,T!$H282:$H285,T!$J282:$J285),IF(AND(D51="4G2",D53=9,D59="500V"),LOOKUP(D76,T!$I282:$I285,T!$J282:$J285),IF(AND(D51="4G2",D53=2,D59="750V"),LOOKUP(D76,T!$B287:$B302,T!$J287:$J302),IF(AND(D51="4G2",D53=3,D59="750V"),LOOKUP(D76,T!$C287:$C302,T!$J287:$J302),IF(AND(D51="4G2",D53=4,D59="750V"),LOOKUP(D76,T!$D287:$D302,T!$J287:$J302),IF(AND(D51="4G2",D53=5,D59="750V"),LOOKUP(D76,T!$E287:$E302,T!$J287:$J302),IF(AND(D51="4G2",D53=6,D59="750V"),LOOKUP(D76,T!$F287:$F302,T!$J287:$J302),IF(AND(D51="4G2",D53=7,D59="750V"),LOOKUP(D76,T!$G287:$G302,T!$J287:$J302),IF(AND(D51="4G2",D53=8,D59="750V"),LOOKUP(D76,T!$H287:$H302,T!$J287:$J302),IF(AND(D51="4G2",D53=9,D59="750V"),LOOKUP(D76,T!$I287:$I302,T!$J287:$J302),"-")))))))))))))))))))))))))))))))),""))</f>
        <v/>
      </c>
      <c r="E79" s="152" t="str">
        <f ca="1">IF(E29="","",IF(ISNUMBER(SEARCH("4G",E51)),IF(AND(E51="4G1",E53=2,E59="500V"),LOOKUP(E76,T!$B255:$B258,T!$J255:$J258),IF(AND(E51="4G1",E53=3,E59="500V"),LOOKUP(E76,T!$C255:$C258,T!$J255:$J258),IF(AND(E51="4G1",E53=4,E59="500V"),LOOKUP(E76,T!$D255:$D258,T!$J255:$J258),IF(AND(E51="4G1",E53=5,E59="500V"),LOOKUP(E76,T!$E255:$E258,T!$J255:$J258),IF(AND(E51="4G1",E53=6,E59="500V"),LOOKUP(E76,T!$F255:$F258,T!$J255:$J258),IF(AND(E51="4G1",E53=7,E59="500V"),LOOKUP(E76,T!$G255:$G258,T!$J255:$J258),IF(AND(E51="4G1",E53=8,E59="500V"),LOOKUP(E76,T!$H255:$H258,T!$J255:$J258),IF(AND(E51="4G1",E53=9,E59="500V"),LOOKUP(E76,T!$I255:$I258,T!$J255:$J258),IF(AND(E51="4G1",E53=2,E59="750V"),LOOKUP(E76,T!$B260:$B275,T!$J260:$J275),IF(AND(E51="4G1",E53=3,E59="750V"),LOOKUP(E76,T!$C260:$C275,T!$J260:$J275),IF(AND(E51="4G1",E53=4,E59="750V"),LOOKUP(E76,T!$D260:$D275,T!$J260:$J275),IF(AND(E51="4G1",E53=5,E59="750V"),LOOKUP(E76,T!$E260:$E275,T!$J260:$J275),IF(AND(E51="4G1",E53=6,E59="750V"),LOOKUP(E76,T!$F260:$F275,T!$J260:$J275),IF(AND(E51="4G1",E53=7,E59="750V"),LOOKUP(E76,T!$G260:$G275,T!$J260:$J275),IF(AND(E51="4G1",E53=8,E59="750V"),LOOKUP(E76,T!$H260:$H275,T!$J260:$J275),IF(AND(E51="4G1",E53=9,E59="750V"),LOOKUP(E76,T!$I260:$I275,T!$J260:$J275),IF(AND(E51="4G2",E53=2,E59="500V"),LOOKUP(E76,T!$B282:$B285,T!$J282:$J285),IF(AND(E51="4G2",E53=3,E59="500V"),LOOKUP(E76,T!$C282:$C285,T!$J282:$J285),IF(AND(E51="4G2",E53=4,E59="500V"),LOOKUP(E76,T!$D282:$D285,T!$J282:$J285),IF(AND(E51="4G2",E53=5,E59="500V"),LOOKUP(E76,T!$E282:$E285,T!$J282:$J285),IF(AND(E51="4G2",E53=6,E59="500V"),LOOKUP(E76,T!$F282:$F285,T!$J282:$J285),IF(AND(E51="4G2",E53=7,E59="500V"),LOOKUP(E76,T!$G282:$G285,T!$J282:$J285),IF(AND(E51="4G2",E53=8,E59="500V"),LOOKUP(E76,T!$H282:$H285,T!$J282:$J285),IF(AND(E51="4G2",E53=9,E59="500V"),LOOKUP(E76,T!$I282:$I285,T!$J282:$J285),IF(AND(E51="4G2",E53=2,E59="750V"),LOOKUP(E76,T!$B287:$B302,T!$J287:$J302),IF(AND(E51="4G2",E53=3,E59="750V"),LOOKUP(E76,T!$C287:$C302,T!$J287:$J302),IF(AND(E51="4G2",E53=4,E59="750V"),LOOKUP(E76,T!$D287:$D302,T!$J287:$J302),IF(AND(E51="4G2",E53=5,E59="750V"),LOOKUP(E76,T!$E287:$E302,T!$J287:$J302),IF(AND(E51="4G2",E53=6,E59="750V"),LOOKUP(E76,T!$F287:$F302,T!$J287:$J302),IF(AND(E51="4G2",E53=7,E59="750V"),LOOKUP(E76,T!$G287:$G302,T!$J287:$J302),IF(AND(E51="4G2",E53=8,E59="750V"),LOOKUP(E76,T!$H287:$H302,T!$J287:$J302),IF(AND(E51="4G2",E53=9,E59="750V"),LOOKUP(E76,T!$I287:$I302,T!$J287:$J302),"-")))))))))))))))))))))))))))))))),""))</f>
        <v/>
      </c>
      <c r="F79" s="152" t="str">
        <f ca="1">IF(F29="","",IF(ISNUMBER(SEARCH("4G",F51)),IF(AND(F51="4G1",F53=2,F59="500V"),LOOKUP(F76,T!$B255:$B258,T!$J255:$J258),IF(AND(F51="4G1",F53=3,F59="500V"),LOOKUP(F76,T!$C255:$C258,T!$J255:$J258),IF(AND(F51="4G1",F53=4,F59="500V"),LOOKUP(F76,T!$D255:$D258,T!$J255:$J258),IF(AND(F51="4G1",F53=5,F59="500V"),LOOKUP(F76,T!$E255:$E258,T!$J255:$J258),IF(AND(F51="4G1",F53=6,F59="500V"),LOOKUP(F76,T!$F255:$F258,T!$J255:$J258),IF(AND(F51="4G1",F53=7,F59="500V"),LOOKUP(F76,T!$G255:$G258,T!$J255:$J258),IF(AND(F51="4G1",F53=8,F59="500V"),LOOKUP(F76,T!$H255:$H258,T!$J255:$J258),IF(AND(F51="4G1",F53=9,F59="500V"),LOOKUP(F76,T!$I255:$I258,T!$J255:$J258),IF(AND(F51="4G1",F53=2,F59="750V"),LOOKUP(F76,T!$B260:$B275,T!$J260:$J275),IF(AND(F51="4G1",F53=3,F59="750V"),LOOKUP(F76,T!$C260:$C275,T!$J260:$J275),IF(AND(F51="4G1",F53=4,F59="750V"),LOOKUP(F76,T!$D260:$D275,T!$J260:$J275),IF(AND(F51="4G1",F53=5,F59="750V"),LOOKUP(F76,T!$E260:$E275,T!$J260:$J275),IF(AND(F51="4G1",F53=6,F59="750V"),LOOKUP(F76,T!$F260:$F275,T!$J260:$J275),IF(AND(F51="4G1",F53=7,F59="750V"),LOOKUP(F76,T!$G260:$G275,T!$J260:$J275),IF(AND(F51="4G1",F53=8,F59="750V"),LOOKUP(F76,T!$H260:$H275,T!$J260:$J275),IF(AND(F51="4G1",F53=9,F59="750V"),LOOKUP(F76,T!$I260:$I275,T!$J260:$J275),IF(AND(F51="4G2",F53=2,F59="500V"),LOOKUP(F76,T!$B282:$B285,T!$J282:$J285),IF(AND(F51="4G2",F53=3,F59="500V"),LOOKUP(F76,T!$C282:$C285,T!$J282:$J285),IF(AND(F51="4G2",F53=4,F59="500V"),LOOKUP(F76,T!$D282:$D285,T!$J282:$J285),IF(AND(F51="4G2",F53=5,F59="500V"),LOOKUP(F76,T!$E282:$E285,T!$J282:$J285),IF(AND(F51="4G2",F53=6,F59="500V"),LOOKUP(F76,T!$F282:$F285,T!$J282:$J285),IF(AND(F51="4G2",F53=7,F59="500V"),LOOKUP(F76,T!$G282:$G285,T!$J282:$J285),IF(AND(F51="4G2",F53=8,F59="500V"),LOOKUP(F76,T!$H282:$H285,T!$J282:$J285),IF(AND(F51="4G2",F53=9,F59="500V"),LOOKUP(F76,T!$I282:$I285,T!$J282:$J285),IF(AND(F51="4G2",F53=2,F59="750V"),LOOKUP(F76,T!$B287:$B302,T!$J287:$J302),IF(AND(F51="4G2",F53=3,F59="750V"),LOOKUP(F76,T!$C287:$C302,T!$J287:$J302),IF(AND(F51="4G2",F53=4,F59="750V"),LOOKUP(F76,T!$D287:$D302,T!$J287:$J302),IF(AND(F51="4G2",F53=5,F59="750V"),LOOKUP(F76,T!$E287:$E302,T!$J287:$J302),IF(AND(F51="4G2",F53=6,F59="750V"),LOOKUP(F76,T!$F287:$F302,T!$J287:$J302),IF(AND(F51="4G2",F53=7,F59="750V"),LOOKUP(F76,T!$G287:$G302,T!$J287:$J302),IF(AND(F51="4G2",F53=8,F59="750V"),LOOKUP(F76,T!$H287:$H302,T!$J287:$J302),IF(AND(F51="4G2",F53=9,F59="750V"),LOOKUP(F76,T!$I287:$I302,T!$J287:$J302),"-")))))))))))))))))))))))))))))))),""))</f>
        <v/>
      </c>
      <c r="G79" s="152" t="str">
        <f ca="1">IF(G29="","",IF(ISNUMBER(SEARCH("4G",G51)),IF(AND(G51="4G1",G53=2,G59="500V"),LOOKUP(G76,T!$B255:$B258,T!$J255:$J258),IF(AND(G51="4G1",G53=3,G59="500V"),LOOKUP(G76,T!$C255:$C258,T!$J255:$J258),IF(AND(G51="4G1",G53=4,G59="500V"),LOOKUP(G76,T!$D255:$D258,T!$J255:$J258),IF(AND(G51="4G1",G53=5,G59="500V"),LOOKUP(G76,T!$E255:$E258,T!$J255:$J258),IF(AND(G51="4G1",G53=6,G59="500V"),LOOKUP(G76,T!$F255:$F258,T!$J255:$J258),IF(AND(G51="4G1",G53=7,G59="500V"),LOOKUP(G76,T!$G255:$G258,T!$J255:$J258),IF(AND(G51="4G1",G53=8,G59="500V"),LOOKUP(G76,T!$H255:$H258,T!$J255:$J258),IF(AND(G51="4G1",G53=9,G59="500V"),LOOKUP(G76,T!$I255:$I258,T!$J255:$J258),IF(AND(G51="4G1",G53=2,G59="750V"),LOOKUP(G76,T!$B260:$B275,T!$J260:$J275),IF(AND(G51="4G1",G53=3,G59="750V"),LOOKUP(G76,T!$C260:$C275,T!$J260:$J275),IF(AND(G51="4G1",G53=4,G59="750V"),LOOKUP(G76,T!$D260:$D275,T!$J260:$J275),IF(AND(G51="4G1",G53=5,G59="750V"),LOOKUP(G76,T!$E260:$E275,T!$J260:$J275),IF(AND(G51="4G1",G53=6,G59="750V"),LOOKUP(G76,T!$F260:$F275,T!$J260:$J275),IF(AND(G51="4G1",G53=7,G59="750V"),LOOKUP(G76,T!$G260:$G275,T!$J260:$J275),IF(AND(G51="4G1",G53=8,G59="750V"),LOOKUP(G76,T!$H260:$H275,T!$J260:$J275),IF(AND(G51="4G1",G53=9,G59="750V"),LOOKUP(G76,T!$I260:$I275,T!$J260:$J275),IF(AND(G51="4G2",G53=2,G59="500V"),LOOKUP(G76,T!$B282:$B285,T!$J282:$J285),IF(AND(G51="4G2",G53=3,G59="500V"),LOOKUP(G76,T!$C282:$C285,T!$J282:$J285),IF(AND(G51="4G2",G53=4,G59="500V"),LOOKUP(G76,T!$D282:$D285,T!$J282:$J285),IF(AND(G51="4G2",G53=5,G59="500V"),LOOKUP(G76,T!$E282:$E285,T!$J282:$J285),IF(AND(G51="4G2",G53=6,G59="500V"),LOOKUP(G76,T!$F282:$F285,T!$J282:$J285),IF(AND(G51="4G2",G53=7,G59="500V"),LOOKUP(G76,T!$G282:$G285,T!$J282:$J285),IF(AND(G51="4G2",G53=8,G59="500V"),LOOKUP(G76,T!$H282:$H285,T!$J282:$J285),IF(AND(G51="4G2",G53=9,G59="500V"),LOOKUP(G76,T!$I282:$I285,T!$J282:$J285),IF(AND(G51="4G2",G53=2,G59="750V"),LOOKUP(G76,T!$B287:$B302,T!$J287:$J302),IF(AND(G51="4G2",G53=3,G59="750V"),LOOKUP(G76,T!$C287:$C302,T!$J287:$J302),IF(AND(G51="4G2",G53=4,G59="750V"),LOOKUP(G76,T!$D287:$D302,T!$J287:$J302),IF(AND(G51="4G2",G53=5,G59="750V"),LOOKUP(G76,T!$E287:$E302,T!$J287:$J302),IF(AND(G51="4G2",G53=6,G59="750V"),LOOKUP(G76,T!$F287:$F302,T!$J287:$J302),IF(AND(G51="4G2",G53=7,G59="750V"),LOOKUP(G76,T!$G287:$G302,T!$J287:$J302),IF(AND(G51="4G2",G53=8,G59="750V"),LOOKUP(G76,T!$H287:$H302,T!$J287:$J302),IF(AND(G51="4G2",G53=9,G59="750V"),LOOKUP(G76,T!$I287:$I302,T!$J287:$J302),"-")))))))))))))))))))))))))))))))),""))</f>
        <v/>
      </c>
      <c r="H79" s="152" t="str">
        <f ca="1">IF(H29="","",IF(ISNUMBER(SEARCH("4G",H51)),IF(AND(H51="4G1",H53=2,H59="500V"),LOOKUP(H76,T!$B255:$B258,T!$J255:$J258),IF(AND(H51="4G1",H53=3,H59="500V"),LOOKUP(H76,T!$C255:$C258,T!$J255:$J258),IF(AND(H51="4G1",H53=4,H59="500V"),LOOKUP(H76,T!$D255:$D258,T!$J255:$J258),IF(AND(H51="4G1",H53=5,H59="500V"),LOOKUP(H76,T!$E255:$E258,T!$J255:$J258),IF(AND(H51="4G1",H53=6,H59="500V"),LOOKUP(H76,T!$F255:$F258,T!$J255:$J258),IF(AND(H51="4G1",H53=7,H59="500V"),LOOKUP(H76,T!$G255:$G258,T!$J255:$J258),IF(AND(H51="4G1",H53=8,H59="500V"),LOOKUP(H76,T!$H255:$H258,T!$J255:$J258),IF(AND(H51="4G1",H53=9,H59="500V"),LOOKUP(H76,T!$I255:$I258,T!$J255:$J258),IF(AND(H51="4G1",H53=2,H59="750V"),LOOKUP(H76,T!$B260:$B275,T!$J260:$J275),IF(AND(H51="4G1",H53=3,H59="750V"),LOOKUP(H76,T!$C260:$C275,T!$J260:$J275),IF(AND(H51="4G1",H53=4,H59="750V"),LOOKUP(H76,T!$D260:$D275,T!$J260:$J275),IF(AND(H51="4G1",H53=5,H59="750V"),LOOKUP(H76,T!$E260:$E275,T!$J260:$J275),IF(AND(H51="4G1",H53=6,H59="750V"),LOOKUP(H76,T!$F260:$F275,T!$J260:$J275),IF(AND(H51="4G1",H53=7,H59="750V"),LOOKUP(H76,T!$G260:$G275,T!$J260:$J275),IF(AND(H51="4G1",H53=8,H59="750V"),LOOKUP(H76,T!$H260:$H275,T!$J260:$J275),IF(AND(H51="4G1",H53=9,H59="750V"),LOOKUP(H76,T!$I260:$I275,T!$J260:$J275),IF(AND(H51="4G2",H53=2,H59="500V"),LOOKUP(H76,T!$B282:$B285,T!$J282:$J285),IF(AND(H51="4G2",H53=3,H59="500V"),LOOKUP(H76,T!$C282:$C285,T!$J282:$J285),IF(AND(H51="4G2",H53=4,H59="500V"),LOOKUP(H76,T!$D282:$D285,T!$J282:$J285),IF(AND(H51="4G2",H53=5,H59="500V"),LOOKUP(H76,T!$E282:$E285,T!$J282:$J285),IF(AND(H51="4G2",H53=6,H59="500V"),LOOKUP(H76,T!$F282:$F285,T!$J282:$J285),IF(AND(H51="4G2",H53=7,H59="500V"),LOOKUP(H76,T!$G282:$G285,T!$J282:$J285),IF(AND(H51="4G2",H53=8,H59="500V"),LOOKUP(H76,T!$H282:$H285,T!$J282:$J285),IF(AND(H51="4G2",H53=9,H59="500V"),LOOKUP(H76,T!$I282:$I285,T!$J282:$J285),IF(AND(H51="4G2",H53=2,H59="750V"),LOOKUP(H76,T!$B287:$B302,T!$J287:$J302),IF(AND(H51="4G2",H53=3,H59="750V"),LOOKUP(H76,T!$C287:$C302,T!$J287:$J302),IF(AND(H51="4G2",H53=4,H59="750V"),LOOKUP(H76,T!$D287:$D302,T!$J287:$J302),IF(AND(H51="4G2",H53=5,H59="750V"),LOOKUP(H76,T!$E287:$E302,T!$J287:$J302),IF(AND(H51="4G2",H53=6,H59="750V"),LOOKUP(H76,T!$F287:$F302,T!$J287:$J302),IF(AND(H51="4G2",H53=7,H59="750V"),LOOKUP(H76,T!$G287:$G302,T!$J287:$J302),IF(AND(H51="4G2",H53=8,H59="750V"),LOOKUP(H76,T!$H287:$H302,T!$J287:$J302),IF(AND(H51="4G2",H53=9,H59="750V"),LOOKUP(H76,T!$I287:$I302,T!$J287:$J302),"-")))))))))))))))))))))))))))))))),""))</f>
        <v/>
      </c>
      <c r="I79" s="152" t="str">
        <f>IF(I29="","",IF(ISNUMBER(SEARCH("4G",I51)),IF(AND(I51="4G1",I53=2,I59="500V"),LOOKUP(I76,T!$B255:$B258,T!$J255:$J258),IF(AND(I51="4G1",I53=3,I59="500V"),LOOKUP(I76,T!$C255:$C258,T!$J255:$J258),IF(AND(I51="4G1",I53=4,I59="500V"),LOOKUP(I76,T!$D255:$D258,T!$J255:$J258),IF(AND(I51="4G1",I53=5,I59="500V"),LOOKUP(I76,T!$E255:$E258,T!$J255:$J258),IF(AND(I51="4G1",I53=6,I59="500V"),LOOKUP(I76,T!$F255:$F258,T!$J255:$J258),IF(AND(I51="4G1",I53=7,I59="500V"),LOOKUP(I76,T!$G255:$G258,T!$J255:$J258),IF(AND(I51="4G1",I53=8,I59="500V"),LOOKUP(I76,T!$H255:$H258,T!$J255:$J258),IF(AND(I51="4G1",I53=9,I59="500V"),LOOKUP(I76,T!$I255:$I258,T!$J255:$J258),IF(AND(I51="4G1",I53=2,I59="750V"),LOOKUP(I76,T!$B260:$B275,T!$J260:$J275),IF(AND(I51="4G1",I53=3,I59="750V"),LOOKUP(I76,T!$C260:$C275,T!$J260:$J275),IF(AND(I51="4G1",I53=4,I59="750V"),LOOKUP(I76,T!$D260:$D275,T!$J260:$J275),IF(AND(I51="4G1",I53=5,I59="750V"),LOOKUP(I76,T!$E260:$E275,T!$J260:$J275),IF(AND(I51="4G1",I53=6,I59="750V"),LOOKUP(I76,T!$F260:$F275,T!$J260:$J275),IF(AND(I51="4G1",I53=7,I59="750V"),LOOKUP(I76,T!$G260:$G275,T!$J260:$J275),IF(AND(I51="4G1",I53=8,I59="750V"),LOOKUP(I76,T!$H260:$H275,T!$J260:$J275),IF(AND(I51="4G1",I53=9,I59="750V"),LOOKUP(I76,T!$I260:$I275,T!$J260:$J275),IF(AND(I51="4G2",I53=2,I59="500V"),LOOKUP(I76,T!$B282:$B285,T!$J282:$J285),IF(AND(I51="4G2",I53=3,I59="500V"),LOOKUP(I76,T!$C282:$C285,T!$J282:$J285),IF(AND(I51="4G2",I53=4,I59="500V"),LOOKUP(I76,T!$D282:$D285,T!$J282:$J285),IF(AND(I51="4G2",I53=5,I59="500V"),LOOKUP(I76,T!$E282:$E285,T!$J282:$J285),IF(AND(I51="4G2",I53=6,I59="500V"),LOOKUP(I76,T!$F282:$F285,T!$J282:$J285),IF(AND(I51="4G2",I53=7,I59="500V"),LOOKUP(I76,T!$G282:$G285,T!$J282:$J285),IF(AND(I51="4G2",I53=8,I59="500V"),LOOKUP(I76,T!$H282:$H285,T!$J282:$J285),IF(AND(I51="4G2",I53=9,I59="500V"),LOOKUP(I76,T!$I282:$I285,T!$J282:$J285),IF(AND(I51="4G2",I53=2,I59="750V"),LOOKUP(I76,T!$B287:$B302,T!$J287:$J302),IF(AND(I51="4G2",I53=3,I59="750V"),LOOKUP(I76,T!$C287:$C302,T!$J287:$J302),IF(AND(I51="4G2",I53=4,I59="750V"),LOOKUP(I76,T!$D287:$D302,T!$J287:$J302),IF(AND(I51="4G2",I53=5,I59="750V"),LOOKUP(I76,T!$E287:$E302,T!$J287:$J302),IF(AND(I51="4G2",I53=6,I59="750V"),LOOKUP(I76,T!$F287:$F302,T!$J287:$J302),IF(AND(I51="4G2",I53=7,I59="750V"),LOOKUP(I76,T!$G287:$G302,T!$J287:$J302),IF(AND(I51="4G2",I53=8,I59="750V"),LOOKUP(I76,T!$H287:$H302,T!$J287:$J302),IF(AND(I51="4G2",I53=9,I59="750V"),LOOKUP(I76,T!$I287:$I302,T!$J287:$J302),"-")))))))))))))))))))))))))))))))),""))</f>
        <v/>
      </c>
      <c r="J79" s="152" t="str">
        <f>IF(J29="","",IF(ISNUMBER(SEARCH("4G",J51)),IF(AND(J51="4G1",J53=2,J59="500V"),LOOKUP(J76,T!$B255:$B258,T!$J255:$J258),IF(AND(J51="4G1",J53=3,J59="500V"),LOOKUP(J76,T!$C255:$C258,T!$J255:$J258),IF(AND(J51="4G1",J53=4,J59="500V"),LOOKUP(J76,T!$D255:$D258,T!$J255:$J258),IF(AND(J51="4G1",J53=5,J59="500V"),LOOKUP(J76,T!$E255:$E258,T!$J255:$J258),IF(AND(J51="4G1",J53=6,J59="500V"),LOOKUP(J76,T!$F255:$F258,T!$J255:$J258),IF(AND(J51="4G1",J53=7,J59="500V"),LOOKUP(J76,T!$G255:$G258,T!$J255:$J258),IF(AND(J51="4G1",J53=8,J59="500V"),LOOKUP(J76,T!$H255:$H258,T!$J255:$J258),IF(AND(J51="4G1",J53=9,J59="500V"),LOOKUP(J76,T!$I255:$I258,T!$J255:$J258),IF(AND(J51="4G1",J53=2,J59="750V"),LOOKUP(J76,T!$B260:$B275,T!$J260:$J275),IF(AND(J51="4G1",J53=3,J59="750V"),LOOKUP(J76,T!$C260:$C275,T!$J260:$J275),IF(AND(J51="4G1",J53=4,J59="750V"),LOOKUP(J76,T!$D260:$D275,T!$J260:$J275),IF(AND(J51="4G1",J53=5,J59="750V"),LOOKUP(J76,T!$E260:$E275,T!$J260:$J275),IF(AND(J51="4G1",J53=6,J59="750V"),LOOKUP(J76,T!$F260:$F275,T!$J260:$J275),IF(AND(J51="4G1",J53=7,J59="750V"),LOOKUP(J76,T!$G260:$G275,T!$J260:$J275),IF(AND(J51="4G1",J53=8,J59="750V"),LOOKUP(J76,T!$H260:$H275,T!$J260:$J275),IF(AND(J51="4G1",J53=9,J59="750V"),LOOKUP(J76,T!$I260:$I275,T!$J260:$J275),IF(AND(J51="4G2",J53=2,J59="500V"),LOOKUP(J76,T!$B282:$B285,T!$J282:$J285),IF(AND(J51="4G2",J53=3,J59="500V"),LOOKUP(J76,T!$C282:$C285,T!$J282:$J285),IF(AND(J51="4G2",J53=4,J59="500V"),LOOKUP(J76,T!$D282:$D285,T!$J282:$J285),IF(AND(J51="4G2",J53=5,J59="500V"),LOOKUP(J76,T!$E282:$E285,T!$J282:$J285),IF(AND(J51="4G2",J53=6,J59="500V"),LOOKUP(J76,T!$F282:$F285,T!$J282:$J285),IF(AND(J51="4G2",J53=7,J59="500V"),LOOKUP(J76,T!$G282:$G285,T!$J282:$J285),IF(AND(J51="4G2",J53=8,J59="500V"),LOOKUP(J76,T!$H282:$H285,T!$J282:$J285),IF(AND(J51="4G2",J53=9,J59="500V"),LOOKUP(J76,T!$I282:$I285,T!$J282:$J285),IF(AND(J51="4G2",J53=2,J59="750V"),LOOKUP(J76,T!$B287:$B302,T!$J287:$J302),IF(AND(J51="4G2",J53=3,J59="750V"),LOOKUP(J76,T!$C287:$C302,T!$J287:$J302),IF(AND(J51="4G2",J53=4,J59="750V"),LOOKUP(J76,T!$D287:$D302,T!$J287:$J302),IF(AND(J51="4G2",J53=5,J59="750V"),LOOKUP(J76,T!$E287:$E302,T!$J287:$J302),IF(AND(J51="4G2",J53=6,J59="750V"),LOOKUP(J76,T!$F287:$F302,T!$J287:$J302),IF(AND(J51="4G2",J53=7,J59="750V"),LOOKUP(J76,T!$G287:$G302,T!$J287:$J302),IF(AND(J51="4G2",J53=8,J59="750V"),LOOKUP(J76,T!$H287:$H302,T!$J287:$J302),IF(AND(J51="4G2",J53=9,J59="750V"),LOOKUP(J76,T!$I287:$I302,T!$J287:$J302),"-")))))))))))))))))))))))))))))))),""))</f>
        <v/>
      </c>
      <c r="K79" s="152" t="str">
        <f>IF(K29="","",IF(ISNUMBER(SEARCH("4G",K51)),IF(AND(K51="4G1",K53=2,K59="500V"),LOOKUP(K76,T!$B255:$B258,T!$J255:$J258),IF(AND(K51="4G1",K53=3,K59="500V"),LOOKUP(K76,T!$C255:$C258,T!$J255:$J258),IF(AND(K51="4G1",K53=4,K59="500V"),LOOKUP(K76,T!$D255:$D258,T!$J255:$J258),IF(AND(K51="4G1",K53=5,K59="500V"),LOOKUP(K76,T!$E255:$E258,T!$J255:$J258),IF(AND(K51="4G1",K53=6,K59="500V"),LOOKUP(K76,T!$F255:$F258,T!$J255:$J258),IF(AND(K51="4G1",K53=7,K59="500V"),LOOKUP(K76,T!$G255:$G258,T!$J255:$J258),IF(AND(K51="4G1",K53=8,K59="500V"),LOOKUP(K76,T!$H255:$H258,T!$J255:$J258),IF(AND(K51="4G1",K53=9,K59="500V"),LOOKUP(K76,T!$I255:$I258,T!$J255:$J258),IF(AND(K51="4G1",K53=2,K59="750V"),LOOKUP(K76,T!$B260:$B275,T!$J260:$J275),IF(AND(K51="4G1",K53=3,K59="750V"),LOOKUP(K76,T!$C260:$C275,T!$J260:$J275),IF(AND(K51="4G1",K53=4,K59="750V"),LOOKUP(K76,T!$D260:$D275,T!$J260:$J275),IF(AND(K51="4G1",K53=5,K59="750V"),LOOKUP(K76,T!$E260:$E275,T!$J260:$J275),IF(AND(K51="4G1",K53=6,K59="750V"),LOOKUP(K76,T!$F260:$F275,T!$J260:$J275),IF(AND(K51="4G1",K53=7,K59="750V"),LOOKUP(K76,T!$G260:$G275,T!$J260:$J275),IF(AND(K51="4G1",K53=8,K59="750V"),LOOKUP(K76,T!$H260:$H275,T!$J260:$J275),IF(AND(K51="4G1",K53=9,K59="750V"),LOOKUP(K76,T!$I260:$I275,T!$J260:$J275),IF(AND(K51="4G2",K53=2,K59="500V"),LOOKUP(K76,T!$B282:$B285,T!$J282:$J285),IF(AND(K51="4G2",K53=3,K59="500V"),LOOKUP(K76,T!$C282:$C285,T!$J282:$J285),IF(AND(K51="4G2",K53=4,K59="500V"),LOOKUP(K76,T!$D282:$D285,T!$J282:$J285),IF(AND(K51="4G2",K53=5,K59="500V"),LOOKUP(K76,T!$E282:$E285,T!$J282:$J285),IF(AND(K51="4G2",K53=6,K59="500V"),LOOKUP(K76,T!$F282:$F285,T!$J282:$J285),IF(AND(K51="4G2",K53=7,K59="500V"),LOOKUP(K76,T!$G282:$G285,T!$J282:$J285),IF(AND(K51="4G2",K53=8,K59="500V"),LOOKUP(K76,T!$H282:$H285,T!$J282:$J285),IF(AND(K51="4G2",K53=9,K59="500V"),LOOKUP(K76,T!$I282:$I285,T!$J282:$J285),IF(AND(K51="4G2",K53=2,K59="750V"),LOOKUP(K76,T!$B287:$B302,T!$J287:$J302),IF(AND(K51="4G2",K53=3,K59="750V"),LOOKUP(K76,T!$C287:$C302,T!$J287:$J302),IF(AND(K51="4G2",K53=4,K59="750V"),LOOKUP(K76,T!$D287:$D302,T!$J287:$J302),IF(AND(K51="4G2",K53=5,K59="750V"),LOOKUP(K76,T!$E287:$E302,T!$J287:$J302),IF(AND(K51="4G2",K53=6,K59="750V"),LOOKUP(K76,T!$F287:$F302,T!$J287:$J302),IF(AND(K51="4G2",K53=7,K59="750V"),LOOKUP(K76,T!$G287:$G302,T!$J287:$J302),IF(AND(K51="4G2",K53=8,K59="750V"),LOOKUP(K76,T!$H287:$H302,T!$J287:$J302),IF(AND(K51="4G2",K53=9,K59="750V"),LOOKUP(K76,T!$I287:$I302,T!$J287:$J302),"-")))))))))))))))))))))))))))))))),""))</f>
        <v/>
      </c>
      <c r="L79" s="152" t="str">
        <f>IF(L29="","",IF(ISNUMBER(SEARCH("4G",L51)),IF(AND(L51="4G1",L53=2,L59="500V"),LOOKUP(L76,T!$B255:$B258,T!$J255:$J258),IF(AND(L51="4G1",L53=3,L59="500V"),LOOKUP(L76,T!$C255:$C258,T!$J255:$J258),IF(AND(L51="4G1",L53=4,L59="500V"),LOOKUP(L76,T!$D255:$D258,T!$J255:$J258),IF(AND(L51="4G1",L53=5,L59="500V"),LOOKUP(L76,T!$E255:$E258,T!$J255:$J258),IF(AND(L51="4G1",L53=6,L59="500V"),LOOKUP(L76,T!$F255:$F258,T!$J255:$J258),IF(AND(L51="4G1",L53=7,L59="500V"),LOOKUP(L76,T!$G255:$G258,T!$J255:$J258),IF(AND(L51="4G1",L53=8,L59="500V"),LOOKUP(L76,T!$H255:$H258,T!$J255:$J258),IF(AND(L51="4G1",L53=9,L59="500V"),LOOKUP(L76,T!$I255:$I258,T!$J255:$J258),IF(AND(L51="4G1",L53=2,L59="750V"),LOOKUP(L76,T!$B260:$B275,T!$J260:$J275),IF(AND(L51="4G1",L53=3,L59="750V"),LOOKUP(L76,T!$C260:$C275,T!$J260:$J275),IF(AND(L51="4G1",L53=4,L59="750V"),LOOKUP(L76,T!$D260:$D275,T!$J260:$J275),IF(AND(L51="4G1",L53=5,L59="750V"),LOOKUP(L76,T!$E260:$E275,T!$J260:$J275),IF(AND(L51="4G1",L53=6,L59="750V"),LOOKUP(L76,T!$F260:$F275,T!$J260:$J275),IF(AND(L51="4G1",L53=7,L59="750V"),LOOKUP(L76,T!$G260:$G275,T!$J260:$J275),IF(AND(L51="4G1",L53=8,L59="750V"),LOOKUP(L76,T!$H260:$H275,T!$J260:$J275),IF(AND(L51="4G1",L53=9,L59="750V"),LOOKUP(L76,T!$I260:$I275,T!$J260:$J275),IF(AND(L51="4G2",L53=2,L59="500V"),LOOKUP(L76,T!$B282:$B285,T!$J282:$J285),IF(AND(L51="4G2",L53=3,L59="500V"),LOOKUP(L76,T!$C282:$C285,T!$J282:$J285),IF(AND(L51="4G2",L53=4,L59="500V"),LOOKUP(L76,T!$D282:$D285,T!$J282:$J285),IF(AND(L51="4G2",L53=5,L59="500V"),LOOKUP(L76,T!$E282:$E285,T!$J282:$J285),IF(AND(L51="4G2",L53=6,L59="500V"),LOOKUP(L76,T!$F282:$F285,T!$J282:$J285),IF(AND(L51="4G2",L53=7,L59="500V"),LOOKUP(L76,T!$G282:$G285,T!$J282:$J285),IF(AND(L51="4G2",L53=8,L59="500V"),LOOKUP(L76,T!$H282:$H285,T!$J282:$J285),IF(AND(L51="4G2",L53=9,L59="500V"),LOOKUP(L76,T!$I282:$I285,T!$J282:$J285),IF(AND(L51="4G2",L53=2,L59="750V"),LOOKUP(L76,T!$B287:$B302,T!$J287:$J302),IF(AND(L51="4G2",L53=3,L59="750V"),LOOKUP(L76,T!$C287:$C302,T!$J287:$J302),IF(AND(L51="4G2",L53=4,L59="750V"),LOOKUP(L76,T!$D287:$D302,T!$J287:$J302),IF(AND(L51="4G2",L53=5,L59="750V"),LOOKUP(L76,T!$E287:$E302,T!$J287:$J302),IF(AND(L51="4G2",L53=6,L59="750V"),LOOKUP(L76,T!$F287:$F302,T!$J287:$J302),IF(AND(L51="4G2",L53=7,L59="750V"),LOOKUP(L76,T!$G287:$G302,T!$J287:$J302),IF(AND(L51="4G2",L53=8,L59="750V"),LOOKUP(L76,T!$H287:$H302,T!$J287:$J302),IF(AND(L51="4G2",L53=9,L59="750V"),LOOKUP(L76,T!$I287:$I302,T!$J287:$J302),"-")))))))))))))))))))))))))))))))),""))</f>
        <v/>
      </c>
      <c r="M79" s="152" t="str">
        <f>IF(M29="","",IF(ISNUMBER(SEARCH("4G",M51)),IF(AND(M51="4G1",M53=2,M59="500V"),LOOKUP(M76,T!$B255:$B258,T!$J255:$J258),IF(AND(M51="4G1",M53=3,M59="500V"),LOOKUP(M76,T!$C255:$C258,T!$J255:$J258),IF(AND(M51="4G1",M53=4,M59="500V"),LOOKUP(M76,T!$D255:$D258,T!$J255:$J258),IF(AND(M51="4G1",M53=5,M59="500V"),LOOKUP(M76,T!$E255:$E258,T!$J255:$J258),IF(AND(M51="4G1",M53=6,M59="500V"),LOOKUP(M76,T!$F255:$F258,T!$J255:$J258),IF(AND(M51="4G1",M53=7,M59="500V"),LOOKUP(M76,T!$G255:$G258,T!$J255:$J258),IF(AND(M51="4G1",M53=8,M59="500V"),LOOKUP(M76,T!$H255:$H258,T!$J255:$J258),IF(AND(M51="4G1",M53=9,M59="500V"),LOOKUP(M76,T!$I255:$I258,T!$J255:$J258),IF(AND(M51="4G1",M53=2,M59="750V"),LOOKUP(M76,T!$B260:$B275,T!$J260:$J275),IF(AND(M51="4G1",M53=3,M59="750V"),LOOKUP(M76,T!$C260:$C275,T!$J260:$J275),IF(AND(M51="4G1",M53=4,M59="750V"),LOOKUP(M76,T!$D260:$D275,T!$J260:$J275),IF(AND(M51="4G1",M53=5,M59="750V"),LOOKUP(M76,T!$E260:$E275,T!$J260:$J275),IF(AND(M51="4G1",M53=6,M59="750V"),LOOKUP(M76,T!$F260:$F275,T!$J260:$J275),IF(AND(M51="4G1",M53=7,M59="750V"),LOOKUP(M76,T!$G260:$G275,T!$J260:$J275),IF(AND(M51="4G1",M53=8,M59="750V"),LOOKUP(M76,T!$H260:$H275,T!$J260:$J275),IF(AND(M51="4G1",M53=9,M59="750V"),LOOKUP(M76,T!$I260:$I275,T!$J260:$J275),IF(AND(M51="4G2",M53=2,M59="500V"),LOOKUP(M76,T!$B282:$B285,T!$J282:$J285),IF(AND(M51="4G2",M53=3,M59="500V"),LOOKUP(M76,T!$C282:$C285,T!$J282:$J285),IF(AND(M51="4G2",M53=4,M59="500V"),LOOKUP(M76,T!$D282:$D285,T!$J282:$J285),IF(AND(M51="4G2",M53=5,M59="500V"),LOOKUP(M76,T!$E282:$E285,T!$J282:$J285),IF(AND(M51="4G2",M53=6,M59="500V"),LOOKUP(M76,T!$F282:$F285,T!$J282:$J285),IF(AND(M51="4G2",M53=7,M59="500V"),LOOKUP(M76,T!$G282:$G285,T!$J282:$J285),IF(AND(M51="4G2",M53=8,M59="500V"),LOOKUP(M76,T!$H282:$H285,T!$J282:$J285),IF(AND(M51="4G2",M53=9,M59="500V"),LOOKUP(M76,T!$I282:$I285,T!$J282:$J285),IF(AND(M51="4G2",M53=2,M59="750V"),LOOKUP(M76,T!$B287:$B302,T!$J287:$J302),IF(AND(M51="4G2",M53=3,M59="750V"),LOOKUP(M76,T!$C287:$C302,T!$J287:$J302),IF(AND(M51="4G2",M53=4,M59="750V"),LOOKUP(M76,T!$D287:$D302,T!$J287:$J302),IF(AND(M51="4G2",M53=5,M59="750V"),LOOKUP(M76,T!$E287:$E302,T!$J287:$J302),IF(AND(M51="4G2",M53=6,M59="750V"),LOOKUP(M76,T!$F287:$F302,T!$J287:$J302),IF(AND(M51="4G2",M53=7,M59="750V"),LOOKUP(M76,T!$G287:$G302,T!$J287:$J302),IF(AND(M51="4G2",M53=8,M59="750V"),LOOKUP(M76,T!$H287:$H302,T!$J287:$J302),IF(AND(M51="4G2",M53=9,M59="750V"),LOOKUP(M76,T!$I287:$I302,T!$J287:$J302),"-")))))))))))))))))))))))))))))))),""))</f>
        <v/>
      </c>
      <c r="N79" s="152" t="str">
        <f>IF(N29="","",IF(ISNUMBER(SEARCH("4G",N51)),IF(AND(N51="4G1",N53=2,N59="500V"),LOOKUP(N76,T!$B255:$B258,T!$J255:$J258),IF(AND(N51="4G1",N53=3,N59="500V"),LOOKUP(N76,T!$C255:$C258,T!$J255:$J258),IF(AND(N51="4G1",N53=4,N59="500V"),LOOKUP(N76,T!$D255:$D258,T!$J255:$J258),IF(AND(N51="4G1",N53=5,N59="500V"),LOOKUP(N76,T!$E255:$E258,T!$J255:$J258),IF(AND(N51="4G1",N53=6,N59="500V"),LOOKUP(N76,T!$F255:$F258,T!$J255:$J258),IF(AND(N51="4G1",N53=7,N59="500V"),LOOKUP(N76,T!$G255:$G258,T!$J255:$J258),IF(AND(N51="4G1",N53=8,N59="500V"),LOOKUP(N76,T!$H255:$H258,T!$J255:$J258),IF(AND(N51="4G1",N53=9,N59="500V"),LOOKUP(N76,T!$I255:$I258,T!$J255:$J258),IF(AND(N51="4G1",N53=2,N59="750V"),LOOKUP(N76,T!$B260:$B275,T!$J260:$J275),IF(AND(N51="4G1",N53=3,N59="750V"),LOOKUP(N76,T!$C260:$C275,T!$J260:$J275),IF(AND(N51="4G1",N53=4,N59="750V"),LOOKUP(N76,T!$D260:$D275,T!$J260:$J275),IF(AND(N51="4G1",N53=5,N59="750V"),LOOKUP(N76,T!$E260:$E275,T!$J260:$J275),IF(AND(N51="4G1",N53=6,N59="750V"),LOOKUP(N76,T!$F260:$F275,T!$J260:$J275),IF(AND(N51="4G1",N53=7,N59="750V"),LOOKUP(N76,T!$G260:$G275,T!$J260:$J275),IF(AND(N51="4G1",N53=8,N59="750V"),LOOKUP(N76,T!$H260:$H275,T!$J260:$J275),IF(AND(N51="4G1",N53=9,N59="750V"),LOOKUP(N76,T!$I260:$I275,T!$J260:$J275),IF(AND(N51="4G2",N53=2,N59="500V"),LOOKUP(N76,T!$B282:$B285,T!$J282:$J285),IF(AND(N51="4G2",N53=3,N59="500V"),LOOKUP(N76,T!$C282:$C285,T!$J282:$J285),IF(AND(N51="4G2",N53=4,N59="500V"),LOOKUP(N76,T!$D282:$D285,T!$J282:$J285),IF(AND(N51="4G2",N53=5,N59="500V"),LOOKUP(N76,T!$E282:$E285,T!$J282:$J285),IF(AND(N51="4G2",N53=6,N59="500V"),LOOKUP(N76,T!$F282:$F285,T!$J282:$J285),IF(AND(N51="4G2",N53=7,N59="500V"),LOOKUP(N76,T!$G282:$G285,T!$J282:$J285),IF(AND(N51="4G2",N53=8,N59="500V"),LOOKUP(N76,T!$H282:$H285,T!$J282:$J285),IF(AND(N51="4G2",N53=9,N59="500V"),LOOKUP(N76,T!$I282:$I285,T!$J282:$J285),IF(AND(N51="4G2",N53=2,N59="750V"),LOOKUP(N76,T!$B287:$B302,T!$J287:$J302),IF(AND(N51="4G2",N53=3,N59="750V"),LOOKUP(N76,T!$C287:$C302,T!$J287:$J302),IF(AND(N51="4G2",N53=4,N59="750V"),LOOKUP(N76,T!$D287:$D302,T!$J287:$J302),IF(AND(N51="4G2",N53=5,N59="750V"),LOOKUP(N76,T!$E287:$E302,T!$J287:$J302),IF(AND(N51="4G2",N53=6,N59="750V"),LOOKUP(N76,T!$F287:$F302,T!$J287:$J302),IF(AND(N51="4G2",N53=7,N59="750V"),LOOKUP(N76,T!$G287:$G302,T!$J287:$J302),IF(AND(N51="4G2",N53=8,N59="750V"),LOOKUP(N76,T!$H287:$H302,T!$J287:$J302),IF(AND(N51="4G2",N53=9,N59="750V"),LOOKUP(N76,T!$I287:$I302,T!$J287:$J302),"-")))))))))))))))))))))))))))))))),""))</f>
        <v/>
      </c>
      <c r="O79" s="143" t="str">
        <f t="shared" si="18"/>
        <v/>
      </c>
    </row>
    <row r="80" spans="1:43" s="123" customFormat="1" ht="16">
      <c r="A80" s="152"/>
      <c r="B80" s="178"/>
      <c r="C80" s="152"/>
      <c r="D80" s="152" t="str" cm="1">
        <f t="array" ref="D80">IF(D27="","",IF(OR(D51="4H1",D51="4H2",D51="4H3",D51="4H4"),IF(D27="","",IF(AND(D51="4H1",D53=2),LOOKUP(D77,T!$B308:$B315,T!$M308:$M321),IF(AND(D51="4H1",D53=3),LOOKUP(D77,T!$C308:$C315,T!$M308:$M321),IF(AND(D51="4H1",D53=4),LOOKUP(D77,T!$D308:$D318,T!$M308:$M321),IF(AND(D51="4H1",D53=5),LOOKUP(D77,T!$E308:$E318,T!$M308:$M321),IF(AND(D51="4H1",D53=6),LOOKUP(D77,T!$F308:$F321,T!$M308:$M321),IF(AND(D51="4H1",D53=7),LOOKUP(D77,T!$G308:$G321,T!$M308:$M321),IF(AND(D51="4H1",D53=8),LOOKUP(D77,T!$H308:$H321,T!$M308:$M321),IF(AND(D51="4H1",D53=9),LOOKUP(D77,T!$I305:$I321,T!$M308:$M321),IF(AND(D51="4H1",D53=10),LOOKUP(D77,T!$J308:$J321,T!$M308:$M321),IF(AND(D51="4H1",D53=11),LOOKUP(D77,T!$K308:$K321,T!$M308:$M321),IF(AND(D51="4H1",D53=12),LOOKUP(D77,T!$L308:$L321,T!$M308:$M321),IF(AND(D51="4H2",D53=2),LOOKUP(D77,T!$B327:$B332,T!$J327:$J337),IF(AND(D51="4H2",D53=3),LOOKUP(D77,T!$C327:$C337,T!$J327:$J337),IF(AND(D51="4H2",D53=4),LOOKUP(D77,T!$D327:$D332,T!$J327:$J337),IF(AND(D51="4H2",D53=5),LOOKUP(D77,T!$E327:$E337,T!$J327:$J337),IF(AND(D51="4H2",D53=6),LOOKUP(D77,T!$F327:$F332,T!$J327:$J337),IF(AND(D51="4H2",D53=7),LOOKUP(D77,T!$G327:$G337,T!$G327:$J337),IF(AND(D51="4H2",D53=8),LOOKUP(D77,T!$H327:$H332,T!$J327:$J337),IF(AND(D51="4H2",D53=9),LOOKUP(D77,T!$I327:$I337,T!$J327:$J337),IF(AND(D51="4H3",D53=2),LOOKUP(D77,T!$B343:$B356,T!$M343:$M356),IF(AND(D51="4H3",D53=3),LOOKUP(D77,T!$C343:$C356,T!$M343:$M356),IF(AND(D51="4H3",D53=4),LOOKUP(D77,T!$D343:$D356,T!$M343:$M356),IF(AND(D51="4H3",D53=5),LOOKUP(D77,T!$E343:$E356,T!$M343:$M356),IF(AND(D51="4H3",D53=6),LOOKUP(D77,T!$F343:$F356,T!$M343:$M356),IF(AND(D51="4H3",D53=7),LOOKUP(D77,T!$G343:$G356,T!$M343:$M356),IF(AND(D51="4H3",D53=8),LOOKUP(D77,T!$H343:$H356,T!$M343:$M356),IF(AND(D51="4H3",D53=9),LOOKUP(D77,T!$I343:$I356,T!$M343:$M356),IF(AND(D51="4H3",D53=10),LOOKUP(D77,T!$J343:$J356,T!$M343:$M356),IF(AND(D51="4H3",D53=11),LOOKUP(D77,T!$K343:$K356,T!$M343:$M356),IF(AND(D51="4H3",D53=12),LOOKUP(D77,T!$L343:$L356,T!$M343:$M356),IF(AND(D51="4H4",D53=2),LOOKUP(D77,T!$B362:$B367,T!$H362:$H372),IF(AND(D51="4H4",D53=3),LOOKUP(D77,T!$C362:$C372,T!$H362:$H372),IF(AND(D51="4H4",D53=4),LOOKUP(D77,T!$D362:$D367,T!$H362:$H372),IF(AND(D51="4H4",D53=5),LOOKUP(D77,T!$E362:$E372,T!$H362:$H372),IF(AND(D51="4H4",D53=6),LOOKUP(D77,T!$F363:$F367,T!$H363:$H372),IF(AND(D51="4H4",D53=7),LOOKUP(T!$G363:$G372,T!$H363:$H372),"-"))))))))))))))))))))))))))))))))))))),IF(OR(D51="4J1",D51="4J2",D51="4J3",D51="4J4"),IF(AND(D51="4J1",D53=2),LOOKUP(D77,T!$B378:$B385,T!$M378:$M391),IF(AND(D51="4J1",D53=3),LOOKUP(D77,T!$C378:$C385,T!$M378:$M391),IF(AND(D51="4J1",D53=4),LOOKUP(D77,T!$D378:$D385,T!$M378:$M391),IF(AND(D51="4J1",D53=5),LOOKUP(D77,T!$E378:$E385,T!$M378:$M391),IF(AND(D51="4J1",D53=6),LOOKUP(D77,T!$F378:$F391,T!$M378:$M391),IF(AND(D51="4J1",D53=7),LOOKUP(D77,T!$G378:$G391,T!$M378:$M391),IF(AND(D51="4J1",D53=8),LOOKUP(D77,T!$H378:$H391,T!$M378:$M391),IF(AND(D51="4J1",D53=9),LOOKUP(D77,T!$I378:$I391,T!$M378:$M391),IF(AND(D51="4J1",D53=10),LOOKUP(D77,T!$J378:$J391,T!$M378:$M391),IF(AND(D51="4J1",D53=11),LOOKUP(D77,T!$K378:$K391,T!$M378:$M391),IF(AND(D51="4J1",D53=12),LOOKUP(D77,T!$L378:$L391,T!$M378:$M391),IF(AND(D51="4J2",D53=2),LOOKUP(D77,T!$B397:$B402,T!$J397:$J407),IF(AND(D51="4J2",D53=3),LOOKUP(D77,T!$C397:$C407,T!$J397:$J407),IF(AND(D51="4J2",D53=4),LOOKUP(D77,T!$D397:$D$402,T!$J397:$J407),IF(AND(D51="4J2",D53=5),LOOKUP(D77,T!$E397:$E407),IF(AND(D51="4J2",D53=6),LOOKUP(D77,T!$F397:$F402,T!$J397:$J407),IF(AND(D51="4J2",D53=7),LOOKUP(D77,T!$G397:$G407,T!$J397:$J407),IF(AND(D51="4J2",D53=8),LOOKUP(D77,T!$H397:$H402,T!$J397:$J407),IF(AND(D51="4J2",D53=9),LOOKUP(D77,T!$I397:$I407,T!$J397:$J407),IF(AND(D51="4J3",D53=2),LOOKUP(D77,T!$B413:$B426,T!$M413:$M426),IF(AND(D51="4J3",D53=3),LOOKUP(D77,T!$C413:$C426,T!$M413:$M426),IF(AND(D51="4J3",D53=4),LOOKUP(D77,T!$D413:$D426,T!$M413:$M426),IF(AND(D51="4J3",D53=5),LOOKUP(D77,T!$E413:$E426,T!$M413:$M426),IF(AND(D51="4J3",D53=6),LOOKUP(D77,T!$F413:$F426,T!$M413:$M426),IF(AND(D51="4J3",D53=7),LOOKUP(D77,T!$G413:$G426,T!$M413:$M426),IF(AND(D51="4J3",D53=8),LOOKUP(D77,T!$H413:$H426,T!$M413:$M426),IF(AND(D51="4J3",D53=9),LOOKUP(D77,T!$I413:$I426,T!$M413:$M426),IF(AND(D51="4J3",D53=10),LOOKUP(D77,T!$J413:$J426,T!$M413:$M426),IF(AND(D51="4J3",D53=11),LOOKUP(D77,T!$K413:$K426,T!$M413:$M426),IF(AND(D51="4J3",D53=12),LOOKUP(D77,T!$L413:$L426,T!$M413:$M426),IF(AND(D51="4J4",D53=2),LOOKUP(D77,T!$B432:$B437,T!$H432:$H442),IF(AND(D51="4J4",D53=3),LOOKUP(D77,T!$C432:$C442,T!$H432:$H442),IF(AND(D51="4J4",D53=4),LOOKUP(D77,T!$D872:$D877,T!$H432:$H442),IF(AND(D51="4J4",D53=5),LOOKUP(D77,T!$E432:$E442,T!$H432:$H442),IF(AND(D51="4J4",D53=6),LOOKUP(D77,T!$F432:$F437,T!$H432:$H442),IF(AND(D51="4J4",D53=7),LOOKUP(D77,T!$G432:$G442,T!$H432:$H442),"-")))))))))))))))))))))))))))))))))))),"")))</f>
        <v/>
      </c>
      <c r="E80" s="152" t="str" cm="1">
        <f t="array" aca="1" ref="E80" ca="1">IF(E27="","",IF(OR(E51="4H1",E51="4H2",E51="4H3",E51="4H4"),IF(E27="","",IF(AND(E51="4H1",E53=2),LOOKUP(E77,T!$B308:$B315,T!$M308:$M321),IF(AND(E51="4H1",E53=3),LOOKUP(E77,T!$C308:$C315,T!$M308:$M321),IF(AND(E51="4H1",E53=4),LOOKUP(E77,T!$D308:$D318,T!$M308:$M321),IF(AND(E51="4H1",E53=5),LOOKUP(E77,T!$E308:$E318,T!$M308:$M321),IF(AND(E51="4H1",E53=6),LOOKUP(E77,T!$F308:$F321,T!$M308:$M321),IF(AND(E51="4H1",E53=7),LOOKUP(E77,T!$G308:$G321,T!$M308:$M321),IF(AND(E51="4H1",E53=8),LOOKUP(E77,T!$H308:$H321,T!$M308:$M321),IF(AND(E51="4H1",E53=9),LOOKUP(E77,T!$I305:$I321,T!$M308:$M321),IF(AND(E51="4H1",E53=10),LOOKUP(E77,T!$J308:$J321,T!$M308:$M321),IF(AND(E51="4H1",E53=11),LOOKUP(E77,T!$K308:$K321,T!$M308:$M321),IF(AND(E51="4H1",E53=12),LOOKUP(E77,T!$L308:$L321,T!$M308:$M321),IF(AND(E51="4H2",E53=2),LOOKUP(E77,T!$B327:$B332,T!$J327:$J337),IF(AND(E51="4H2",E53=3),LOOKUP(E77,T!$C327:$C337,T!$J327:$J337),IF(AND(E51="4H2",E53=4),LOOKUP(E77,T!$D327:$D332,T!$J327:$J337),IF(AND(E51="4H2",E53=5),LOOKUP(E77,T!$E327:$E337,T!$J327:$J337),IF(AND(E51="4H2",E53=6),LOOKUP(E77,T!$F327:$F332,T!$J327:$J337),IF(AND(E51="4H2",E53=7),LOOKUP(E77,T!$G327:$G337,T!$G327:$J337),IF(AND(E51="4H2",E53=8),LOOKUP(E77,T!$H327:$H332,T!$J327:$J337),IF(AND(E51="4H2",E53=9),LOOKUP(E77,T!$I327:$I337,T!$J327:$J337),IF(AND(E51="4H3",E53=2),LOOKUP(E77,T!$B343:$B356,T!$M343:$M356),IF(AND(E51="4H3",E53=3),LOOKUP(E77,T!$C343:$C356,T!$M343:$M356),IF(AND(E51="4H3",E53=4),LOOKUP(E77,T!$D343:$D356,T!$M343:$M356),IF(AND(E51="4H3",E53=5),LOOKUP(E77,T!$E343:$E356,T!$M343:$M356),IF(AND(E51="4H3",E53=6),LOOKUP(E77,T!$F343:$F356,T!$M343:$M356),IF(AND(E51="4H3",E53=7),LOOKUP(E77,T!$G343:$G356,T!$M343:$M356),IF(AND(E51="4H3",E53=8),LOOKUP(E77,T!$H343:$H356,T!$M343:$M356),IF(AND(E51="4H3",E53=9),LOOKUP(E77,T!$I343:$I356,T!$M343:$M356),IF(AND(E51="4H3",E53=10),LOOKUP(E77,T!$J343:$J356,T!$M343:$M356),IF(AND(E51="4H3",E53=11),LOOKUP(E77,T!$K343:$K356,T!$M343:$M356),IF(AND(E51="4H3",E53=12),LOOKUP(E77,T!$L343:$L356,T!$M343:$M356),IF(AND(E51="4H4",E53=2),LOOKUP(E77,T!$B362:$B367,T!$H362:$H372),IF(AND(E51="4H4",E53=3),LOOKUP(E77,T!$C362:$C372,T!$H362:$H372),IF(AND(E51="4H4",E53=4),LOOKUP(E77,T!$D362:$D367,T!$H362:$H372),IF(AND(E51="4H4",E53=5),LOOKUP(E77,T!$E362:$E372,T!$H362:$H372),IF(AND(E51="4H4",E53=6),LOOKUP(E77,T!$F363:$F367,T!$H363:$H372),IF(AND(E51="4H4",E53=7),LOOKUP(T!$G363:$G372,T!$H363:$H372),"-"))))))))))))))))))))))))))))))))))))),IF(OR(E51="4J1",E51="4J2",E51="4J3",E51="4J4"),IF(AND(E51="4J1",E53=2),LOOKUP(E77,T!$B378:$B385,T!$M378:$M391),IF(AND(E51="4J1",E53=3),LOOKUP(E77,T!$C378:$C385,T!$M378:$M391),IF(AND(E51="4J1",E53=4),LOOKUP(E77,T!$D378:$D385,T!$M378:$M391),IF(AND(E51="4J1",E53=5),LOOKUP(E77,T!$E378:$E385,T!$M378:$M391),IF(AND(E51="4J1",E53=6),LOOKUP(E77,T!$F378:$F391,T!$M378:$M391),IF(AND(E51="4J1",E53=7),LOOKUP(E77,T!$G378:$G391,T!$M378:$M391),IF(AND(E51="4J1",E53=8),LOOKUP(E77,T!$H378:$H391,T!$M378:$M391),IF(AND(E51="4J1",E53=9),LOOKUP(E77,T!$I378:$I391,T!$M378:$M391),IF(AND(E51="4J1",E53=10),LOOKUP(E77,T!$J378:$J391,T!$M378:$M391),IF(AND(E51="4J1",E53=11),LOOKUP(E77,T!$K378:$K391,T!$M378:$M391),IF(AND(E51="4J1",E53=12),LOOKUP(E77,T!$L378:$L391,T!$M378:$M391),IF(AND(E51="4J2",E53=2),LOOKUP(E77,T!$B397:$B402,T!$J397:$J407),IF(AND(E51="4J2",E53=3),LOOKUP(E77,T!$C397:$C407,T!$J397:$J407),IF(AND(E51="4J2",E53=4),LOOKUP(E77,T!$D397:$D$402,T!$J397:$J407),IF(AND(E51="4J2",E53=5),LOOKUP(E77,T!$E397:$E407),IF(AND(E51="4J2",E53=6),LOOKUP(E77,T!$F397:$F402,T!$J397:$J407),IF(AND(E51="4J2",E53=7),LOOKUP(E77,T!$G397:$G407,T!$J397:$J407),IF(AND(E51="4J2",E53=8),LOOKUP(E77,T!$H397:$H402,T!$J397:$J407),IF(AND(E51="4J2",E53=9),LOOKUP(E77,T!$I397:$I407,T!$J397:$J407),IF(AND(E51="4J3",E53=2),LOOKUP(E77,T!$B413:$B426,T!$M413:$M426),IF(AND(E51="4J3",E53=3),LOOKUP(E77,T!$C413:$C426,T!$M413:$M426),IF(AND(E51="4J3",E53=4),LOOKUP(E77,T!$D413:$D426,T!$M413:$M426),IF(AND(E51="4J3",E53=5),LOOKUP(E77,T!$E413:$E426,T!$M413:$M426),IF(AND(E51="4J3",E53=6),LOOKUP(E77,T!$F413:$F426,T!$M413:$M426),IF(AND(E51="4J3",E53=7),LOOKUP(E77,T!$G413:$G426,T!$M413:$M426),IF(AND(E51="4J3",E53=8),LOOKUP(E77,T!$H413:$H426,T!$M413:$M426),IF(AND(E51="4J3",E53=9),LOOKUP(E77,T!$I413:$I426,T!$M413:$M426),IF(AND(E51="4J3",E53=10),LOOKUP(E77,T!$J413:$J426,T!$M413:$M426),IF(AND(E51="4J3",E53=11),LOOKUP(E77,T!$K413:$K426,T!$M413:$M426),IF(AND(E51="4J3",E53=12),LOOKUP(E77,T!$L413:$L426,T!$M413:$M426),IF(AND(E51="4J4",E53=2),LOOKUP(E77,T!$B432:$B437,T!$H432:$H442),IF(AND(E51="4J4",E53=3),LOOKUP(E77,T!$C432:$C442,T!$H432:$H442),IF(AND(E51="4J4",E53=4),LOOKUP(E77,T!$D872:$D877,T!$H432:$H442),IF(AND(E51="4J4",E53=5),LOOKUP(E77,T!$E432:$E442,T!$H432:$H442),IF(AND(E51="4J4",E53=6),LOOKUP(E77,T!$F432:$F437,T!$H432:$H442),IF(AND(E51="4J4",E53=7),LOOKUP(E77,T!$G432:$G442,T!$H432:$H442),"-")))))))))))))))))))))))))))))))))))),"")))</f>
        <v/>
      </c>
      <c r="F80" s="152" t="str" cm="1">
        <f t="array" aca="1" ref="F80" ca="1">IF(F27="","",IF(OR(F51="4H1",F51="4H2",F51="4H3",F51="4H4"),IF(F27="","",IF(AND(F51="4H1",F53=2),LOOKUP(F77,T!$B308:$B315,T!$M308:$M321),IF(AND(F51="4H1",F53=3),LOOKUP(F77,T!$C308:$C315,T!$M308:$M321),IF(AND(F51="4H1",F53=4),LOOKUP(F77,T!$D308:$D318,T!$M308:$M321),IF(AND(F51="4H1",F53=5),LOOKUP(F77,T!$E308:$E318,T!$M308:$M321),IF(AND(F51="4H1",F53=6),LOOKUP(F77,T!$F308:$F321,T!$M308:$M321),IF(AND(F51="4H1",F53=7),LOOKUP(F77,T!$G308:$G321,T!$M308:$M321),IF(AND(F51="4H1",F53=8),LOOKUP(F77,T!$H308:$H321,T!$M308:$M321),IF(AND(F51="4H1",F53=9),LOOKUP(F77,T!$I305:$I321,T!$M308:$M321),IF(AND(F51="4H1",F53=10),LOOKUP(F77,T!$J308:$J321,T!$M308:$M321),IF(AND(F51="4H1",F53=11),LOOKUP(F77,T!$K308:$K321,T!$M308:$M321),IF(AND(F51="4H1",F53=12),LOOKUP(F77,T!$L308:$L321,T!$M308:$M321),IF(AND(F51="4H2",F53=2),LOOKUP(F77,T!$B327:$B332,T!$J327:$J337),IF(AND(F51="4H2",F53=3),LOOKUP(F77,T!$C327:$C337,T!$J327:$J337),IF(AND(F51="4H2",F53=4),LOOKUP(F77,T!$D327:$D332,T!$J327:$J337),IF(AND(F51="4H2",F53=5),LOOKUP(F77,T!$E327:$E337,T!$J327:$J337),IF(AND(F51="4H2",F53=6),LOOKUP(F77,T!$F327:$F332,T!$J327:$J337),IF(AND(F51="4H2",F53=7),LOOKUP(F77,T!$G327:$G337,T!$G327:$J337),IF(AND(F51="4H2",F53=8),LOOKUP(F77,T!$H327:$H332,T!$J327:$J337),IF(AND(F51="4H2",F53=9),LOOKUP(F77,T!$I327:$I337,T!$J327:$J337),IF(AND(F51="4H3",F53=2),LOOKUP(F77,T!$B343:$B356,T!$M343:$M356),IF(AND(F51="4H3",F53=3),LOOKUP(F77,T!$C343:$C356,T!$M343:$M356),IF(AND(F51="4H3",F53=4),LOOKUP(F77,T!$D343:$D356,T!$M343:$M356),IF(AND(F51="4H3",F53=5),LOOKUP(F77,T!$E343:$E356,T!$M343:$M356),IF(AND(F51="4H3",F53=6),LOOKUP(F77,T!$F343:$F356,T!$M343:$M356),IF(AND(F51="4H3",F53=7),LOOKUP(F77,T!$G343:$G356,T!$M343:$M356),IF(AND(F51="4H3",F53=8),LOOKUP(F77,T!$H343:$H356,T!$M343:$M356),IF(AND(F51="4H3",F53=9),LOOKUP(F77,T!$I343:$I356,T!$M343:$M356),IF(AND(F51="4H3",F53=10),LOOKUP(F77,T!$J343:$J356,T!$M343:$M356),IF(AND(F51="4H3",F53=11),LOOKUP(F77,T!$K343:$K356,T!$M343:$M356),IF(AND(F51="4H3",F53=12),LOOKUP(F77,T!$L343:$L356,T!$M343:$M356),IF(AND(F51="4H4",F53=2),LOOKUP(F77,T!$B362:$B367,T!$H362:$H372),IF(AND(F51="4H4",F53=3),LOOKUP(F77,T!$C362:$C372,T!$H362:$H372),IF(AND(F51="4H4",F53=4),LOOKUP(F77,T!$D362:$D367,T!$H362:$H372),IF(AND(F51="4H4",F53=5),LOOKUP(F77,T!$E362:$E372,T!$H362:$H372),IF(AND(F51="4H4",F53=6),LOOKUP(F77,T!$F363:$F367,T!$H363:$H372),IF(AND(F51="4H4",F53=7),LOOKUP(T!$G363:$G372,T!$H363:$H372),"-"))))))))))))))))))))))))))))))))))))),IF(OR(F51="4J1",F51="4J2",F51="4J3",F51="4J4"),IF(AND(F51="4J1",F53=2),LOOKUP(F77,T!$B378:$B385,T!$M378:$M391),IF(AND(F51="4J1",F53=3),LOOKUP(F77,T!$C378:$C385,T!$M378:$M391),IF(AND(F51="4J1",F53=4),LOOKUP(F77,T!$D378:$D385,T!$M378:$M391),IF(AND(F51="4J1",F53=5),LOOKUP(F77,T!$E378:$E385,T!$M378:$M391),IF(AND(F51="4J1",F53=6),LOOKUP(F77,T!$F378:$F391,T!$M378:$M391),IF(AND(F51="4J1",F53=7),LOOKUP(F77,T!$G378:$G391,T!$M378:$M391),IF(AND(F51="4J1",F53=8),LOOKUP(F77,T!$H378:$H391,T!$M378:$M391),IF(AND(F51="4J1",F53=9),LOOKUP(F77,T!$I378:$I391,T!$M378:$M391),IF(AND(F51="4J1",F53=10),LOOKUP(F77,T!$J378:$J391,T!$M378:$M391),IF(AND(F51="4J1",F53=11),LOOKUP(F77,T!$K378:$K391,T!$M378:$M391),IF(AND(F51="4J1",F53=12),LOOKUP(F77,T!$L378:$L391,T!$M378:$M391),IF(AND(F51="4J2",F53=2),LOOKUP(F77,T!$B397:$B402,T!$J397:$J407),IF(AND(F51="4J2",F53=3),LOOKUP(F77,T!$C397:$C407,T!$J397:$J407),IF(AND(F51="4J2",F53=4),LOOKUP(F77,T!$D397:$D$402,T!$J397:$J407),IF(AND(F51="4J2",F53=5),LOOKUP(F77,T!$E397:$E407),IF(AND(F51="4J2",F53=6),LOOKUP(F77,T!$F397:$F402,T!$J397:$J407),IF(AND(F51="4J2",F53=7),LOOKUP(F77,T!$G397:$G407,T!$J397:$J407),IF(AND(F51="4J2",F53=8),LOOKUP(F77,T!$H397:$H402,T!$J397:$J407),IF(AND(F51="4J2",F53=9),LOOKUP(F77,T!$I397:$I407,T!$J397:$J407),IF(AND(F51="4J3",F53=2),LOOKUP(F77,T!$B413:$B426,T!$M413:$M426),IF(AND(F51="4J3",F53=3),LOOKUP(F77,T!$C413:$C426,T!$M413:$M426),IF(AND(F51="4J3",F53=4),LOOKUP(F77,T!$D413:$D426,T!$M413:$M426),IF(AND(F51="4J3",F53=5),LOOKUP(F77,T!$E413:$E426,T!$M413:$M426),IF(AND(F51="4J3",F53=6),LOOKUP(F77,T!$F413:$F426,T!$M413:$M426),IF(AND(F51="4J3",F53=7),LOOKUP(F77,T!$G413:$G426,T!$M413:$M426),IF(AND(F51="4J3",F53=8),LOOKUP(F77,T!$H413:$H426,T!$M413:$M426),IF(AND(F51="4J3",F53=9),LOOKUP(F77,T!$I413:$I426,T!$M413:$M426),IF(AND(F51="4J3",F53=10),LOOKUP(F77,T!$J413:$J426,T!$M413:$M426),IF(AND(F51="4J3",F53=11),LOOKUP(F77,T!$K413:$K426,T!$M413:$M426),IF(AND(F51="4J3",F53=12),LOOKUP(F77,T!$L413:$L426,T!$M413:$M426),IF(AND(F51="4J4",F53=2),LOOKUP(F77,T!$B432:$B437,T!$H432:$H442),IF(AND(F51="4J4",F53=3),LOOKUP(F77,T!$C432:$C442,T!$H432:$H442),IF(AND(F51="4J4",F53=4),LOOKUP(F77,T!$D872:$D877,T!$H432:$H442),IF(AND(F51="4J4",F53=5),LOOKUP(F77,T!$E432:$E442,T!$H432:$H442),IF(AND(F51="4J4",F53=6),LOOKUP(F77,T!$F432:$F437,T!$H432:$H442),IF(AND(F51="4J4",F53=7),LOOKUP(F77,T!$G432:$G442,T!$H432:$H442),"-")))))))))))))))))))))))))))))))))))),"")))</f>
        <v/>
      </c>
      <c r="G80" s="152" t="str" cm="1">
        <f t="array" aca="1" ref="G80" ca="1">IF(G27="","",IF(OR(G51="4H1",G51="4H2",G51="4H3",G51="4H4"),IF(G27="","",IF(AND(G51="4H1",G53=2),LOOKUP(G77,T!$B308:$B315,T!$M308:$M321),IF(AND(G51="4H1",G53=3),LOOKUP(G77,T!$C308:$C315,T!$M308:$M321),IF(AND(G51="4H1",G53=4),LOOKUP(G77,T!$D308:$D318,T!$M308:$M321),IF(AND(G51="4H1",G53=5),LOOKUP(G77,T!$E308:$E318,T!$M308:$M321),IF(AND(G51="4H1",G53=6),LOOKUP(G77,T!$F308:$F321,T!$M308:$M321),IF(AND(G51="4H1",G53=7),LOOKUP(G77,T!$G308:$G321,T!$M308:$M321),IF(AND(G51="4H1",G53=8),LOOKUP(G77,T!$H308:$H321,T!$M308:$M321),IF(AND(G51="4H1",G53=9),LOOKUP(G77,T!$I305:$I321,T!$M308:$M321),IF(AND(G51="4H1",G53=10),LOOKUP(G77,T!$J308:$J321,T!$M308:$M321),IF(AND(G51="4H1",G53=11),LOOKUP(G77,T!$K308:$K321,T!$M308:$M321),IF(AND(G51="4H1",G53=12),LOOKUP(G77,T!$L308:$L321,T!$M308:$M321),IF(AND(G51="4H2",G53=2),LOOKUP(G77,T!$B327:$B332,T!$J327:$J337),IF(AND(G51="4H2",G53=3),LOOKUP(G77,T!$C327:$C337,T!$J327:$J337),IF(AND(G51="4H2",G53=4),LOOKUP(G77,T!$D327:$D332,T!$J327:$J337),IF(AND(G51="4H2",G53=5),LOOKUP(G77,T!$E327:$E337,T!$J327:$J337),IF(AND(G51="4H2",G53=6),LOOKUP(G77,T!$F327:$F332,T!$J327:$J337),IF(AND(G51="4H2",G53=7),LOOKUP(G77,T!$G327:$G337,T!$G327:$J337),IF(AND(G51="4H2",G53=8),LOOKUP(G77,T!$H327:$H332,T!$J327:$J337),IF(AND(G51="4H2",G53=9),LOOKUP(G77,T!$I327:$I337,T!$J327:$J337),IF(AND(G51="4H3",G53=2),LOOKUP(G77,T!$B343:$B356,T!$M343:$M356),IF(AND(G51="4H3",G53=3),LOOKUP(G77,T!$C343:$C356,T!$M343:$M356),IF(AND(G51="4H3",G53=4),LOOKUP(G77,T!$D343:$D356,T!$M343:$M356),IF(AND(G51="4H3",G53=5),LOOKUP(G77,T!$E343:$E356,T!$M343:$M356),IF(AND(G51="4H3",G53=6),LOOKUP(G77,T!$F343:$F356,T!$M343:$M356),IF(AND(G51="4H3",G53=7),LOOKUP(G77,T!$G343:$G356,T!$M343:$M356),IF(AND(G51="4H3",G53=8),LOOKUP(G77,T!$H343:$H356,T!$M343:$M356),IF(AND(G51="4H3",G53=9),LOOKUP(G77,T!$I343:$I356,T!$M343:$M356),IF(AND(G51="4H3",G53=10),LOOKUP(G77,T!$J343:$J356,T!$M343:$M356),IF(AND(G51="4H3",G53=11),LOOKUP(G77,T!$K343:$K356,T!$M343:$M356),IF(AND(G51="4H3",G53=12),LOOKUP(G77,T!$L343:$L356,T!$M343:$M356),IF(AND(G51="4H4",G53=2),LOOKUP(G77,T!$B362:$B367,T!$H362:$H372),IF(AND(G51="4H4",G53=3),LOOKUP(G77,T!$C362:$C372,T!$H362:$H372),IF(AND(G51="4H4",G53=4),LOOKUP(G77,T!$D362:$D367,T!$H362:$H372),IF(AND(G51="4H4",G53=5),LOOKUP(G77,T!$E362:$E372,T!$H362:$H372),IF(AND(G51="4H4",G53=6),LOOKUP(G77,T!$F363:$F367,T!$H363:$H372),IF(AND(G51="4H4",G53=7),LOOKUP(T!$G363:$G372,T!$H363:$H372),"-"))))))))))))))))))))))))))))))))))))),IF(OR(G51="4J1",G51="4J2",G51="4J3",G51="4J4"),IF(AND(G51="4J1",G53=2),LOOKUP(G77,T!$B378:$B385,T!$M378:$M391),IF(AND(G51="4J1",G53=3),LOOKUP(G77,T!$C378:$C385,T!$M378:$M391),IF(AND(G51="4J1",G53=4),LOOKUP(G77,T!$D378:$D385,T!$M378:$M391),IF(AND(G51="4J1",G53=5),LOOKUP(G77,T!$E378:$E385,T!$M378:$M391),IF(AND(G51="4J1",G53=6),LOOKUP(G77,T!$F378:$F391,T!$M378:$M391),IF(AND(G51="4J1",G53=7),LOOKUP(G77,T!$G378:$G391,T!$M378:$M391),IF(AND(G51="4J1",G53=8),LOOKUP(G77,T!$H378:$H391,T!$M378:$M391),IF(AND(G51="4J1",G53=9),LOOKUP(G77,T!$I378:$I391,T!$M378:$M391),IF(AND(G51="4J1",G53=10),LOOKUP(G77,T!$J378:$J391,T!$M378:$M391),IF(AND(G51="4J1",G53=11),LOOKUP(G77,T!$K378:$K391,T!$M378:$M391),IF(AND(G51="4J1",G53=12),LOOKUP(G77,T!$L378:$L391,T!$M378:$M391),IF(AND(G51="4J2",G53=2),LOOKUP(G77,T!$B397:$B402,T!$J397:$J407),IF(AND(G51="4J2",G53=3),LOOKUP(G77,T!$C397:$C407,T!$J397:$J407),IF(AND(G51="4J2",G53=4),LOOKUP(G77,T!$D397:$D$402,T!$J397:$J407),IF(AND(G51="4J2",G53=5),LOOKUP(G77,T!$E397:$E407),IF(AND(G51="4J2",G53=6),LOOKUP(G77,T!$F397:$F402,T!$J397:$J407),IF(AND(G51="4J2",G53=7),LOOKUP(G77,T!$G397:$G407,T!$J397:$J407),IF(AND(G51="4J2",G53=8),LOOKUP(G77,T!$H397:$H402,T!$J397:$J407),IF(AND(G51="4J2",G53=9),LOOKUP(G77,T!$I397:$I407,T!$J397:$J407),IF(AND(G51="4J3",G53=2),LOOKUP(G77,T!$B413:$B426,T!$M413:$M426),IF(AND(G51="4J3",G53=3),LOOKUP(G77,T!$C413:$C426,T!$M413:$M426),IF(AND(G51="4J3",G53=4),LOOKUP(G77,T!$D413:$D426,T!$M413:$M426),IF(AND(G51="4J3",G53=5),LOOKUP(G77,T!$E413:$E426,T!$M413:$M426),IF(AND(G51="4J3",G53=6),LOOKUP(G77,T!$F413:$F426,T!$M413:$M426),IF(AND(G51="4J3",G53=7),LOOKUP(G77,T!$G413:$G426,T!$M413:$M426),IF(AND(G51="4J3",G53=8),LOOKUP(G77,T!$H413:$H426,T!$M413:$M426),IF(AND(G51="4J3",G53=9),LOOKUP(G77,T!$I413:$I426,T!$M413:$M426),IF(AND(G51="4J3",G53=10),LOOKUP(G77,T!$J413:$J426,T!$M413:$M426),IF(AND(G51="4J3",G53=11),LOOKUP(G77,T!$K413:$K426,T!$M413:$M426),IF(AND(G51="4J3",G53=12),LOOKUP(G77,T!$L413:$L426,T!$M413:$M426),IF(AND(G51="4J4",G53=2),LOOKUP(G77,T!$B432:$B437,T!$H432:$H442),IF(AND(G51="4J4",G53=3),LOOKUP(G77,T!$C432:$C442,T!$H432:$H442),IF(AND(G51="4J4",G53=4),LOOKUP(G77,T!$D872:$D877,T!$H432:$H442),IF(AND(G51="4J4",G53=5),LOOKUP(G77,T!$E432:$E442,T!$H432:$H442),IF(AND(G51="4J4",G53=6),LOOKUP(G77,T!$F432:$F437,T!$H432:$H442),IF(AND(G51="4J4",G53=7),LOOKUP(G77,T!$G432:$G442,T!$H432:$H442),"-")))))))))))))))))))))))))))))))))))),"")))</f>
        <v/>
      </c>
      <c r="H80" s="152" t="str" cm="1">
        <f t="array" aca="1" ref="H80" ca="1">IF(H27="","",IF(OR(H51="4H1",H51="4H2",H51="4H3",H51="4H4"),IF(H27="","",IF(AND(H51="4H1",H53=2),LOOKUP(H77,T!$B308:$B315,T!$M308:$M321),IF(AND(H51="4H1",H53=3),LOOKUP(H77,T!$C308:$C315,T!$M308:$M321),IF(AND(H51="4H1",H53=4),LOOKUP(H77,T!$D308:$D318,T!$M308:$M321),IF(AND(H51="4H1",H53=5),LOOKUP(H77,T!$E308:$E318,T!$M308:$M321),IF(AND(H51="4H1",H53=6),LOOKUP(H77,T!$F308:$F321,T!$M308:$M321),IF(AND(H51="4H1",H53=7),LOOKUP(H77,T!$G308:$G321,T!$M308:$M321),IF(AND(H51="4H1",H53=8),LOOKUP(H77,T!$H308:$H321,T!$M308:$M321),IF(AND(H51="4H1",H53=9),LOOKUP(H77,T!$I305:$I321,T!$M308:$M321),IF(AND(H51="4H1",H53=10),LOOKUP(H77,T!$J308:$J321,T!$M308:$M321),IF(AND(H51="4H1",H53=11),LOOKUP(H77,T!$K308:$K321,T!$M308:$M321),IF(AND(H51="4H1",H53=12),LOOKUP(H77,T!$L308:$L321,T!$M308:$M321),IF(AND(H51="4H2",H53=2),LOOKUP(H77,T!$B327:$B332,T!$J327:$J337),IF(AND(H51="4H2",H53=3),LOOKUP(H77,T!$C327:$C337,T!$J327:$J337),IF(AND(H51="4H2",H53=4),LOOKUP(H77,T!$D327:$D332,T!$J327:$J337),IF(AND(H51="4H2",H53=5),LOOKUP(H77,T!$E327:$E337,T!$J327:$J337),IF(AND(H51="4H2",H53=6),LOOKUP(H77,T!$F327:$F332,T!$J327:$J337),IF(AND(H51="4H2",H53=7),LOOKUP(H77,T!$G327:$G337,T!$G327:$J337),IF(AND(H51="4H2",H53=8),LOOKUP(H77,T!$H327:$H332,T!$J327:$J337),IF(AND(H51="4H2",H53=9),LOOKUP(H77,T!$I327:$I337,T!$J327:$J337),IF(AND(H51="4H3",H53=2),LOOKUP(H77,T!$B343:$B356,T!$M343:$M356),IF(AND(H51="4H3",H53=3),LOOKUP(H77,T!$C343:$C356,T!$M343:$M356),IF(AND(H51="4H3",H53=4),LOOKUP(H77,T!$D343:$D356,T!$M343:$M356),IF(AND(H51="4H3",H53=5),LOOKUP(H77,T!$E343:$E356,T!$M343:$M356),IF(AND(H51="4H3",H53=6),LOOKUP(H77,T!$F343:$F356,T!$M343:$M356),IF(AND(H51="4H3",H53=7),LOOKUP(H77,T!$G343:$G356,T!$M343:$M356),IF(AND(H51="4H3",H53=8),LOOKUP(H77,T!$H343:$H356,T!$M343:$M356),IF(AND(H51="4H3",H53=9),LOOKUP(H77,T!$I343:$I356,T!$M343:$M356),IF(AND(H51="4H3",H53=10),LOOKUP(H77,T!$J343:$J356,T!$M343:$M356),IF(AND(H51="4H3",H53=11),LOOKUP(H77,T!$K343:$K356,T!$M343:$M356),IF(AND(H51="4H3",H53=12),LOOKUP(H77,T!$L343:$L356,T!$M343:$M356),IF(AND(H51="4H4",H53=2),LOOKUP(H77,T!$B362:$B367,T!$H362:$H372),IF(AND(H51="4H4",H53=3),LOOKUP(H77,T!$C362:$C372,T!$H362:$H372),IF(AND(H51="4H4",H53=4),LOOKUP(H77,T!$D362:$D367,T!$H362:$H372),IF(AND(H51="4H4",H53=5),LOOKUP(H77,T!$E362:$E372,T!$H362:$H372),IF(AND(H51="4H4",H53=6),LOOKUP(H77,T!$F363:$F367,T!$H363:$H372),IF(AND(H51="4H4",H53=7),LOOKUP(T!$G363:$G372,T!$H363:$H372),"-"))))))))))))))))))))))))))))))))))))),IF(OR(H51="4J1",H51="4J2",H51="4J3",H51="4J4"),IF(AND(H51="4J1",H53=2),LOOKUP(H77,T!$B378:$B385,T!$M378:$M391),IF(AND(H51="4J1",H53=3),LOOKUP(H77,T!$C378:$C385,T!$M378:$M391),IF(AND(H51="4J1",H53=4),LOOKUP(H77,T!$D378:$D385,T!$M378:$M391),IF(AND(H51="4J1",H53=5),LOOKUP(H77,T!$E378:$E385,T!$M378:$M391),IF(AND(H51="4J1",H53=6),LOOKUP(H77,T!$F378:$F391,T!$M378:$M391),IF(AND(H51="4J1",H53=7),LOOKUP(H77,T!$G378:$G391,T!$M378:$M391),IF(AND(H51="4J1",H53=8),LOOKUP(H77,T!$H378:$H391,T!$M378:$M391),IF(AND(H51="4J1",H53=9),LOOKUP(H77,T!$I378:$I391,T!$M378:$M391),IF(AND(H51="4J1",H53=10),LOOKUP(H77,T!$J378:$J391,T!$M378:$M391),IF(AND(H51="4J1",H53=11),LOOKUP(H77,T!$K378:$K391,T!$M378:$M391),IF(AND(H51="4J1",H53=12),LOOKUP(H77,T!$L378:$L391,T!$M378:$M391),IF(AND(H51="4J2",H53=2),LOOKUP(H77,T!$B397:$B402,T!$J397:$J407),IF(AND(H51="4J2",H53=3),LOOKUP(H77,T!$C397:$C407,T!$J397:$J407),IF(AND(H51="4J2",H53=4),LOOKUP(H77,T!$D397:$D$402,T!$J397:$J407),IF(AND(H51="4J2",H53=5),LOOKUP(H77,T!$E397:$E407),IF(AND(H51="4J2",H53=6),LOOKUP(H77,T!$F397:$F402,T!$J397:$J407),IF(AND(H51="4J2",H53=7),LOOKUP(H77,T!$G397:$G407,T!$J397:$J407),IF(AND(H51="4J2",H53=8),LOOKUP(H77,T!$H397:$H402,T!$J397:$J407),IF(AND(H51="4J2",H53=9),LOOKUP(H77,T!$I397:$I407,T!$J397:$J407),IF(AND(H51="4J3",H53=2),LOOKUP(H77,T!$B413:$B426,T!$M413:$M426),IF(AND(H51="4J3",H53=3),LOOKUP(H77,T!$C413:$C426,T!$M413:$M426),IF(AND(H51="4J3",H53=4),LOOKUP(H77,T!$D413:$D426,T!$M413:$M426),IF(AND(H51="4J3",H53=5),LOOKUP(H77,T!$E413:$E426,T!$M413:$M426),IF(AND(H51="4J3",H53=6),LOOKUP(H77,T!$F413:$F426,T!$M413:$M426),IF(AND(H51="4J3",H53=7),LOOKUP(H77,T!$G413:$G426,T!$M413:$M426),IF(AND(H51="4J3",H53=8),LOOKUP(H77,T!$H413:$H426,T!$M413:$M426),IF(AND(H51="4J3",H53=9),LOOKUP(H77,T!$I413:$I426,T!$M413:$M426),IF(AND(H51="4J3",H53=10),LOOKUP(H77,T!$J413:$J426,T!$M413:$M426),IF(AND(H51="4J3",H53=11),LOOKUP(H77,T!$K413:$K426,T!$M413:$M426),IF(AND(H51="4J3",H53=12),LOOKUP(H77,T!$L413:$L426,T!$M413:$M426),IF(AND(H51="4J4",H53=2),LOOKUP(H77,T!$B432:$B437,T!$H432:$H442),IF(AND(H51="4J4",H53=3),LOOKUP(H77,T!$C432:$C442,T!$H432:$H442),IF(AND(H51="4J4",H53=4),LOOKUP(H77,T!$D872:$D877,T!$H432:$H442),IF(AND(H51="4J4",H53=5),LOOKUP(H77,T!$E432:$E442,T!$H432:$H442),IF(AND(H51="4J4",H53=6),LOOKUP(H77,T!$F432:$F437,T!$H432:$H442),IF(AND(H51="4J4",H53=7),LOOKUP(H77,T!$G432:$G442,T!$H432:$H442),"-")))))))))))))))))))))))))))))))))))),"")))</f>
        <v/>
      </c>
      <c r="I80" s="152" t="str" cm="1">
        <f t="array" ref="I80">IF(I27="","",IF(OR(I51="4H1",I51="4H2",I51="4H3",I51="4H4"),IF(I27="","",IF(AND(I51="4H1",I53=2),LOOKUP(I77,T!$B308:$B315,T!$M308:$M321),IF(AND(I51="4H1",I53=3),LOOKUP(I77,T!$C308:$C315,T!$M308:$M321),IF(AND(I51="4H1",I53=4),LOOKUP(I77,T!$D308:$D318,T!$M308:$M321),IF(AND(I51="4H1",I53=5),LOOKUP(I77,T!$E308:$E318,T!$M308:$M321),IF(AND(I51="4H1",I53=6),LOOKUP(I77,T!$F308:$F321,T!$M308:$M321),IF(AND(I51="4H1",I53=7),LOOKUP(I77,T!$G308:$G321,T!$M308:$M321),IF(AND(I51="4H1",I53=8),LOOKUP(I77,T!$H308:$H321,T!$M308:$M321),IF(AND(I51="4H1",I53=9),LOOKUP(I77,T!$I305:$I321,T!$M308:$M321),IF(AND(I51="4H1",I53=10),LOOKUP(I77,T!$J308:$J321,T!$M308:$M321),IF(AND(I51="4H1",I53=11),LOOKUP(I77,T!$K308:$K321,T!$M308:$M321),IF(AND(I51="4H1",I53=12),LOOKUP(I77,T!$L308:$L321,T!$M308:$M321),IF(AND(I51="4H2",I53=2),LOOKUP(I77,T!$B327:$B332,T!$J327:$J337),IF(AND(I51="4H2",I53=3),LOOKUP(I77,T!$C327:$C337,T!$J327:$J337),IF(AND(I51="4H2",I53=4),LOOKUP(I77,T!$D327:$D332,T!$J327:$J337),IF(AND(I51="4H2",I53=5),LOOKUP(I77,T!$E327:$E337,T!$J327:$J337),IF(AND(I51="4H2",I53=6),LOOKUP(I77,T!$F327:$F332,T!$J327:$J337),IF(AND(I51="4H2",I53=7),LOOKUP(I77,T!$G327:$G337,T!$G327:$J337),IF(AND(I51="4H2",I53=8),LOOKUP(I77,T!$H327:$H332,T!$J327:$J337),IF(AND(I51="4H2",I53=9),LOOKUP(I77,T!$I327:$I337,T!$J327:$J337),IF(AND(I51="4H3",I53=2),LOOKUP(I77,T!$B343:$B356,T!$M343:$M356),IF(AND(I51="4H3",I53=3),LOOKUP(I77,T!$C343:$C356,T!$M343:$M356),IF(AND(I51="4H3",I53=4),LOOKUP(I77,T!$D343:$D356,T!$M343:$M356),IF(AND(I51="4H3",I53=5),LOOKUP(I77,T!$E343:$E356,T!$M343:$M356),IF(AND(I51="4H3",I53=6),LOOKUP(I77,T!$F343:$F356,T!$M343:$M356),IF(AND(I51="4H3",I53=7),LOOKUP(I77,T!$G343:$G356,T!$M343:$M356),IF(AND(I51="4H3",I53=8),LOOKUP(I77,T!$H343:$H356,T!$M343:$M356),IF(AND(I51="4H3",I53=9),LOOKUP(I77,T!$I343:$I356,T!$M343:$M356),IF(AND(I51="4H3",I53=10),LOOKUP(I77,T!$J343:$J356,T!$M343:$M356),IF(AND(I51="4H3",I53=11),LOOKUP(I77,T!$K343:$K356,T!$M343:$M356),IF(AND(I51="4H3",I53=12),LOOKUP(I77,T!$L343:$L356,T!$M343:$M356),IF(AND(I51="4H4",I53=2),LOOKUP(I77,T!$B362:$B367,T!$H362:$H372),IF(AND(I51="4H4",I53=3),LOOKUP(I77,T!$C362:$C372,T!$H362:$H372),IF(AND(I51="4H4",I53=4),LOOKUP(I77,T!$D362:$D367,T!$H362:$H372),IF(AND(I51="4H4",I53=5),LOOKUP(I77,T!$E362:$E372,T!$H362:$H372),IF(AND(I51="4H4",I53=6),LOOKUP(I77,T!$F363:$F367,T!$H363:$H372),IF(AND(I51="4H4",I53=7),LOOKUP(T!$G363:$G372,T!$H363:$H372),"-"))))))))))))))))))))))))))))))))))))),IF(OR(I51="4J1",I51="4J2",I51="4J3",I51="4J4"),IF(AND(I51="4J1",I53=2),LOOKUP(I77,T!$B378:$B385,T!$M378:$M391),IF(AND(I51="4J1",I53=3),LOOKUP(I77,T!$C378:$C385,T!$M378:$M391),IF(AND(I51="4J1",I53=4),LOOKUP(I77,T!$D378:$D385,T!$M378:$M391),IF(AND(I51="4J1",I53=5),LOOKUP(I77,T!$E378:$E385,T!$M378:$M391),IF(AND(I51="4J1",I53=6),LOOKUP(I77,T!$F378:$F391,T!$M378:$M391),IF(AND(I51="4J1",I53=7),LOOKUP(I77,T!$G378:$G391,T!$M378:$M391),IF(AND(I51="4J1",I53=8),LOOKUP(I77,T!$H378:$H391,T!$M378:$M391),IF(AND(I51="4J1",I53=9),LOOKUP(I77,T!$I378:$I391,T!$M378:$M391),IF(AND(I51="4J1",I53=10),LOOKUP(I77,T!$J378:$J391,T!$M378:$M391),IF(AND(I51="4J1",I53=11),LOOKUP(I77,T!$K378:$K391,T!$M378:$M391),IF(AND(I51="4J1",I53=12),LOOKUP(I77,T!$L378:$L391,T!$M378:$M391),IF(AND(I51="4J2",I53=2),LOOKUP(I77,T!$B397:$B402,T!$J397:$J407),IF(AND(I51="4J2",I53=3),LOOKUP(I77,T!$C397:$C407,T!$J397:$J407),IF(AND(I51="4J2",I53=4),LOOKUP(I77,T!$D397:$D$402,T!$J397:$J407),IF(AND(I51="4J2",I53=5),LOOKUP(I77,T!$E397:$E407),IF(AND(I51="4J2",I53=6),LOOKUP(I77,T!$F397:$F402,T!$J397:$J407),IF(AND(I51="4J2",I53=7),LOOKUP(I77,T!$G397:$G407,T!$J397:$J407),IF(AND(I51="4J2",I53=8),LOOKUP(I77,T!$H397:$H402,T!$J397:$J407),IF(AND(I51="4J2",I53=9),LOOKUP(I77,T!$I397:$I407,T!$J397:$J407),IF(AND(I51="4J3",I53=2),LOOKUP(I77,T!$B413:$B426,T!$M413:$M426),IF(AND(I51="4J3",I53=3),LOOKUP(I77,T!$C413:$C426,T!$M413:$M426),IF(AND(I51="4J3",I53=4),LOOKUP(I77,T!$D413:$D426,T!$M413:$M426),IF(AND(I51="4J3",I53=5),LOOKUP(I77,T!$E413:$E426,T!$M413:$M426),IF(AND(I51="4J3",I53=6),LOOKUP(I77,T!$F413:$F426,T!$M413:$M426),IF(AND(I51="4J3",I53=7),LOOKUP(I77,T!$G413:$G426,T!$M413:$M426),IF(AND(I51="4J3",I53=8),LOOKUP(I77,T!$H413:$H426,T!$M413:$M426),IF(AND(I51="4J3",I53=9),LOOKUP(I77,T!$I413:$I426,T!$M413:$M426),IF(AND(I51="4J3",I53=10),LOOKUP(I77,T!$J413:$J426,T!$M413:$M426),IF(AND(I51="4J3",I53=11),LOOKUP(I77,T!$K413:$K426,T!$M413:$M426),IF(AND(I51="4J3",I53=12),LOOKUP(I77,T!$L413:$L426,T!$M413:$M426),IF(AND(I51="4J4",I53=2),LOOKUP(I77,T!$B432:$B437,T!$H432:$H442),IF(AND(I51="4J4",I53=3),LOOKUP(I77,T!$C432:$C442,T!$H432:$H442),IF(AND(I51="4J4",I53=4),LOOKUP(I77,T!$D872:$D877,T!$H432:$H442),IF(AND(I51="4J4",I53=5),LOOKUP(I77,T!$E432:$E442,T!$H432:$H442),IF(AND(I51="4J4",I53=6),LOOKUP(I77,T!$F432:$F437,T!$H432:$H442),IF(AND(I51="4J4",I53=7),LOOKUP(I77,T!$G432:$G442,T!$H432:$H442),"-")))))))))))))))))))))))))))))))))))),"")))</f>
        <v/>
      </c>
      <c r="J80" s="152" t="str" cm="1">
        <f t="array" ref="J80">IF(J27="","",IF(OR(J51="4H1",J51="4H2",J51="4H3",J51="4H4"),IF(J27="","",IF(AND(J51="4H1",J53=2),LOOKUP(J77,T!$B308:$B315,T!$M308:$M321),IF(AND(J51="4H1",J53=3),LOOKUP(J77,T!$C308:$C315,T!$M308:$M321),IF(AND(J51="4H1",J53=4),LOOKUP(J77,T!$D308:$D318,T!$M308:$M321),IF(AND(J51="4H1",J53=5),LOOKUP(J77,T!$E308:$E318,T!$M308:$M321),IF(AND(J51="4H1",J53=6),LOOKUP(J77,T!$F308:$F321,T!$M308:$M321),IF(AND(J51="4H1",J53=7),LOOKUP(J77,T!$G308:$G321,T!$M308:$M321),IF(AND(J51="4H1",J53=8),LOOKUP(J77,T!$H308:$H321,T!$M308:$M321),IF(AND(J51="4H1",J53=9),LOOKUP(J77,T!$I305:$I321,T!$M308:$M321),IF(AND(J51="4H1",J53=10),LOOKUP(J77,T!$J308:$J321,T!$M308:$M321),IF(AND(J51="4H1",J53=11),LOOKUP(J77,T!$K308:$K321,T!$M308:$M321),IF(AND(J51="4H1",J53=12),LOOKUP(J77,T!$L308:$L321,T!$M308:$M321),IF(AND(J51="4H2",J53=2),LOOKUP(J77,T!$B327:$B332,T!$J327:$J337),IF(AND(J51="4H2",J53=3),LOOKUP(J77,T!$C327:$C337,T!$J327:$J337),IF(AND(J51="4H2",J53=4),LOOKUP(J77,T!$D327:$D332,T!$J327:$J337),IF(AND(J51="4H2",J53=5),LOOKUP(J77,T!$E327:$E337,T!$J327:$J337),IF(AND(J51="4H2",J53=6),LOOKUP(J77,T!$F327:$F332,T!$J327:$J337),IF(AND(J51="4H2",J53=7),LOOKUP(J77,T!$G327:$G337,T!$G327:$J337),IF(AND(J51="4H2",J53=8),LOOKUP(J77,T!$H327:$H332,T!$J327:$J337),IF(AND(J51="4H2",J53=9),LOOKUP(J77,T!$I327:$I337,T!$J327:$J337),IF(AND(J51="4H3",J53=2),LOOKUP(J77,T!$B343:$B356,T!$M343:$M356),IF(AND(J51="4H3",J53=3),LOOKUP(J77,T!$C343:$C356,T!$M343:$M356),IF(AND(J51="4H3",J53=4),LOOKUP(J77,T!$D343:$D356,T!$M343:$M356),IF(AND(J51="4H3",J53=5),LOOKUP(J77,T!$E343:$E356,T!$M343:$M356),IF(AND(J51="4H3",J53=6),LOOKUP(J77,T!$F343:$F356,T!$M343:$M356),IF(AND(J51="4H3",J53=7),LOOKUP(J77,T!$G343:$G356,T!$M343:$M356),IF(AND(J51="4H3",J53=8),LOOKUP(J77,T!$H343:$H356,T!$M343:$M356),IF(AND(J51="4H3",J53=9),LOOKUP(J77,T!$I343:$I356,T!$M343:$M356),IF(AND(J51="4H3",J53=10),LOOKUP(J77,T!$J343:$J356,T!$M343:$M356),IF(AND(J51="4H3",J53=11),LOOKUP(J77,T!$K343:$K356,T!$M343:$M356),IF(AND(J51="4H3",J53=12),LOOKUP(J77,T!$L343:$L356,T!$M343:$M356),IF(AND(J51="4H4",J53=2),LOOKUP(J77,T!$B362:$B367,T!$H362:$H372),IF(AND(J51="4H4",J53=3),LOOKUP(J77,T!$C362:$C372,T!$H362:$H372),IF(AND(J51="4H4",J53=4),LOOKUP(J77,T!$D362:$D367,T!$H362:$H372),IF(AND(J51="4H4",J53=5),LOOKUP(J77,T!$E362:$E372,T!$H362:$H372),IF(AND(J51="4H4",J53=6),LOOKUP(J77,T!$F363:$F367,T!$H363:$H372),IF(AND(J51="4H4",J53=7),LOOKUP(T!$G363:$G372,T!$H363:$H372),"-"))))))))))))))))))))))))))))))))))))),IF(OR(J51="4J1",J51="4J2",J51="4J3",J51="4J4"),IF(AND(J51="4J1",J53=2),LOOKUP(J77,T!$B378:$B385,T!$M378:$M391),IF(AND(J51="4J1",J53=3),LOOKUP(J77,T!$C378:$C385,T!$M378:$M391),IF(AND(J51="4J1",J53=4),LOOKUP(J77,T!$D378:$D385,T!$M378:$M391),IF(AND(J51="4J1",J53=5),LOOKUP(J77,T!$E378:$E385,T!$M378:$M391),IF(AND(J51="4J1",J53=6),LOOKUP(J77,T!$F378:$F391,T!$M378:$M391),IF(AND(J51="4J1",J53=7),LOOKUP(J77,T!$G378:$G391,T!$M378:$M391),IF(AND(J51="4J1",J53=8),LOOKUP(J77,T!$H378:$H391,T!$M378:$M391),IF(AND(J51="4J1",J53=9),LOOKUP(J77,T!$I378:$I391,T!$M378:$M391),IF(AND(J51="4J1",J53=10),LOOKUP(J77,T!$J378:$J391,T!$M378:$M391),IF(AND(J51="4J1",J53=11),LOOKUP(J77,T!$K378:$K391,T!$M378:$M391),IF(AND(J51="4J1",J53=12),LOOKUP(J77,T!$L378:$L391,T!$M378:$M391),IF(AND(J51="4J2",J53=2),LOOKUP(J77,T!$B397:$B402,T!$J397:$J407),IF(AND(J51="4J2",J53=3),LOOKUP(J77,T!$C397:$C407,T!$J397:$J407),IF(AND(J51="4J2",J53=4),LOOKUP(J77,T!$D397:$D$402,T!$J397:$J407),IF(AND(J51="4J2",J53=5),LOOKUP(J77,T!$E397:$E407),IF(AND(J51="4J2",J53=6),LOOKUP(J77,T!$F397:$F402,T!$J397:$J407),IF(AND(J51="4J2",J53=7),LOOKUP(J77,T!$G397:$G407,T!$J397:$J407),IF(AND(J51="4J2",J53=8),LOOKUP(J77,T!$H397:$H402,T!$J397:$J407),IF(AND(J51="4J2",J53=9),LOOKUP(J77,T!$I397:$I407,T!$J397:$J407),IF(AND(J51="4J3",J53=2),LOOKUP(J77,T!$B413:$B426,T!$M413:$M426),IF(AND(J51="4J3",J53=3),LOOKUP(J77,T!$C413:$C426,T!$M413:$M426),IF(AND(J51="4J3",J53=4),LOOKUP(J77,T!$D413:$D426,T!$M413:$M426),IF(AND(J51="4J3",J53=5),LOOKUP(J77,T!$E413:$E426,T!$M413:$M426),IF(AND(J51="4J3",J53=6),LOOKUP(J77,T!$F413:$F426,T!$M413:$M426),IF(AND(J51="4J3",J53=7),LOOKUP(J77,T!$G413:$G426,T!$M413:$M426),IF(AND(J51="4J3",J53=8),LOOKUP(J77,T!$H413:$H426,T!$M413:$M426),IF(AND(J51="4J3",J53=9),LOOKUP(J77,T!$I413:$I426,T!$M413:$M426),IF(AND(J51="4J3",J53=10),LOOKUP(J77,T!$J413:$J426,T!$M413:$M426),IF(AND(J51="4J3",J53=11),LOOKUP(J77,T!$K413:$K426,T!$M413:$M426),IF(AND(J51="4J3",J53=12),LOOKUP(J77,T!$L413:$L426,T!$M413:$M426),IF(AND(J51="4J4",J53=2),LOOKUP(J77,T!$B432:$B437,T!$H432:$H442),IF(AND(J51="4J4",J53=3),LOOKUP(J77,T!$C432:$C442,T!$H432:$H442),IF(AND(J51="4J4",J53=4),LOOKUP(J77,T!$D872:$D877,T!$H432:$H442),IF(AND(J51="4J4",J53=5),LOOKUP(J77,T!$E432:$E442,T!$H432:$H442),IF(AND(J51="4J4",J53=6),LOOKUP(J77,T!$F432:$F437,T!$H432:$H442),IF(AND(J51="4J4",J53=7),LOOKUP(J77,T!$G432:$G442,T!$H432:$H442),"-")))))))))))))))))))))))))))))))))))),"")))</f>
        <v/>
      </c>
      <c r="K80" s="152" t="str" cm="1">
        <f t="array" ref="K80">IF(K27="","",IF(OR(K51="4H1",K51="4H2",K51="4H3",K51="4H4"),IF(K27="","",IF(AND(K51="4H1",K53=2),LOOKUP(K77,T!$B308:$B315,T!$M308:$M321),IF(AND(K51="4H1",K53=3),LOOKUP(K77,T!$C308:$C315,T!$M308:$M321),IF(AND(K51="4H1",K53=4),LOOKUP(K77,T!$D308:$D318,T!$M308:$M321),IF(AND(K51="4H1",K53=5),LOOKUP(K77,T!$E308:$E318,T!$M308:$M321),IF(AND(K51="4H1",K53=6),LOOKUP(K77,T!$F308:$F321,T!$M308:$M321),IF(AND(K51="4H1",K53=7),LOOKUP(K77,T!$G308:$G321,T!$M308:$M321),IF(AND(K51="4H1",K53=8),LOOKUP(K77,T!$H308:$H321,T!$M308:$M321),IF(AND(K51="4H1",K53=9),LOOKUP(K77,T!$I305:$I321,T!$M308:$M321),IF(AND(K51="4H1",K53=10),LOOKUP(K77,T!$J308:$J321,T!$M308:$M321),IF(AND(K51="4H1",K53=11),LOOKUP(K77,T!$K308:$K321,T!$M308:$M321),IF(AND(K51="4H1",K53=12),LOOKUP(K77,T!$L308:$L321,T!$M308:$M321),IF(AND(K51="4H2",K53=2),LOOKUP(K77,T!$B327:$B332,T!$J327:$J337),IF(AND(K51="4H2",K53=3),LOOKUP(K77,T!$C327:$C337,T!$J327:$J337),IF(AND(K51="4H2",K53=4),LOOKUP(K77,T!$D327:$D332,T!$J327:$J337),IF(AND(K51="4H2",K53=5),LOOKUP(K77,T!$E327:$E337,T!$J327:$J337),IF(AND(K51="4H2",K53=6),LOOKUP(K77,T!$F327:$F332,T!$J327:$J337),IF(AND(K51="4H2",K53=7),LOOKUP(K77,T!$G327:$G337,T!$G327:$J337),IF(AND(K51="4H2",K53=8),LOOKUP(K77,T!$H327:$H332,T!$J327:$J337),IF(AND(K51="4H2",K53=9),LOOKUP(K77,T!$I327:$I337,T!$J327:$J337),IF(AND(K51="4H3",K53=2),LOOKUP(K77,T!$B343:$B356,T!$M343:$M356),IF(AND(K51="4H3",K53=3),LOOKUP(K77,T!$C343:$C356,T!$M343:$M356),IF(AND(K51="4H3",K53=4),LOOKUP(K77,T!$D343:$D356,T!$M343:$M356),IF(AND(K51="4H3",K53=5),LOOKUP(K77,T!$E343:$E356,T!$M343:$M356),IF(AND(K51="4H3",K53=6),LOOKUP(K77,T!$F343:$F356,T!$M343:$M356),IF(AND(K51="4H3",K53=7),LOOKUP(K77,T!$G343:$G356,T!$M343:$M356),IF(AND(K51="4H3",K53=8),LOOKUP(K77,T!$H343:$H356,T!$M343:$M356),IF(AND(K51="4H3",K53=9),LOOKUP(K77,T!$I343:$I356,T!$M343:$M356),IF(AND(K51="4H3",K53=10),LOOKUP(K77,T!$J343:$J356,T!$M343:$M356),IF(AND(K51="4H3",K53=11),LOOKUP(K77,T!$K343:$K356,T!$M343:$M356),IF(AND(K51="4H3",K53=12),LOOKUP(K77,T!$L343:$L356,T!$M343:$M356),IF(AND(K51="4H4",K53=2),LOOKUP(K77,T!$B362:$B367,T!$H362:$H372),IF(AND(K51="4H4",K53=3),LOOKUP(K77,T!$C362:$C372,T!$H362:$H372),IF(AND(K51="4H4",K53=4),LOOKUP(K77,T!$D362:$D367,T!$H362:$H372),IF(AND(K51="4H4",K53=5),LOOKUP(K77,T!$E362:$E372,T!$H362:$H372),IF(AND(K51="4H4",K53=6),LOOKUP(K77,T!$F363:$F367,T!$H363:$H372),IF(AND(K51="4H4",K53=7),LOOKUP(T!$G363:$G372,T!$H363:$H372),"-"))))))))))))))))))))))))))))))))))))),IF(OR(K51="4J1",K51="4J2",K51="4J3",K51="4J4"),IF(AND(K51="4J1",K53=2),LOOKUP(K77,T!$B378:$B385,T!$M378:$M391),IF(AND(K51="4J1",K53=3),LOOKUP(K77,T!$C378:$C385,T!$M378:$M391),IF(AND(K51="4J1",K53=4),LOOKUP(K77,T!$D378:$D385,T!$M378:$M391),IF(AND(K51="4J1",K53=5),LOOKUP(K77,T!$E378:$E385,T!$M378:$M391),IF(AND(K51="4J1",K53=6),LOOKUP(K77,T!$F378:$F391,T!$M378:$M391),IF(AND(K51="4J1",K53=7),LOOKUP(K77,T!$G378:$G391,T!$M378:$M391),IF(AND(K51="4J1",K53=8),LOOKUP(K77,T!$H378:$H391,T!$M378:$M391),IF(AND(K51="4J1",K53=9),LOOKUP(K77,T!$I378:$I391,T!$M378:$M391),IF(AND(K51="4J1",K53=10),LOOKUP(K77,T!$J378:$J391,T!$M378:$M391),IF(AND(K51="4J1",K53=11),LOOKUP(K77,T!$K378:$K391,T!$M378:$M391),IF(AND(K51="4J1",K53=12),LOOKUP(K77,T!$L378:$L391,T!$M378:$M391),IF(AND(K51="4J2",K53=2),LOOKUP(K77,T!$B397:$B402,T!$J397:$J407),IF(AND(K51="4J2",K53=3),LOOKUP(K77,T!$C397:$C407,T!$J397:$J407),IF(AND(K51="4J2",K53=4),LOOKUP(K77,T!$D397:$D$402,T!$J397:$J407),IF(AND(K51="4J2",K53=5),LOOKUP(K77,T!$E397:$E407),IF(AND(K51="4J2",K53=6),LOOKUP(K77,T!$F397:$F402,T!$J397:$J407),IF(AND(K51="4J2",K53=7),LOOKUP(K77,T!$G397:$G407,T!$J397:$J407),IF(AND(K51="4J2",K53=8),LOOKUP(K77,T!$H397:$H402,T!$J397:$J407),IF(AND(K51="4J2",K53=9),LOOKUP(K77,T!$I397:$I407,T!$J397:$J407),IF(AND(K51="4J3",K53=2),LOOKUP(K77,T!$B413:$B426,T!$M413:$M426),IF(AND(K51="4J3",K53=3),LOOKUP(K77,T!$C413:$C426,T!$M413:$M426),IF(AND(K51="4J3",K53=4),LOOKUP(K77,T!$D413:$D426,T!$M413:$M426),IF(AND(K51="4J3",K53=5),LOOKUP(K77,T!$E413:$E426,T!$M413:$M426),IF(AND(K51="4J3",K53=6),LOOKUP(K77,T!$F413:$F426,T!$M413:$M426),IF(AND(K51="4J3",K53=7),LOOKUP(K77,T!$G413:$G426,T!$M413:$M426),IF(AND(K51="4J3",K53=8),LOOKUP(K77,T!$H413:$H426,T!$M413:$M426),IF(AND(K51="4J3",K53=9),LOOKUP(K77,T!$I413:$I426,T!$M413:$M426),IF(AND(K51="4J3",K53=10),LOOKUP(K77,T!$J413:$J426,T!$M413:$M426),IF(AND(K51="4J3",K53=11),LOOKUP(K77,T!$K413:$K426,T!$M413:$M426),IF(AND(K51="4J3",K53=12),LOOKUP(K77,T!$L413:$L426,T!$M413:$M426),IF(AND(K51="4J4",K53=2),LOOKUP(K77,T!$B432:$B437,T!$H432:$H442),IF(AND(K51="4J4",K53=3),LOOKUP(K77,T!$C432:$C442,T!$H432:$H442),IF(AND(K51="4J4",K53=4),LOOKUP(K77,T!$D872:$D877,T!$H432:$H442),IF(AND(K51="4J4",K53=5),LOOKUP(K77,T!$E432:$E442,T!$H432:$H442),IF(AND(K51="4J4",K53=6),LOOKUP(K77,T!$F432:$F437,T!$H432:$H442),IF(AND(K51="4J4",K53=7),LOOKUP(K77,T!$G432:$G442,T!$H432:$H442),"-")))))))))))))))))))))))))))))))))))),"")))</f>
        <v/>
      </c>
      <c r="L80" s="152" t="str" cm="1">
        <f t="array" ref="L80">IF(L27="","",IF(OR(L51="4H1",L51="4H2",L51="4H3",L51="4H4"),IF(L27="","",IF(AND(L51="4H1",L53=2),LOOKUP(L77,T!$B308:$B315,T!$M308:$M321),IF(AND(L51="4H1",L53=3),LOOKUP(L77,T!$C308:$C315,T!$M308:$M321),IF(AND(L51="4H1",L53=4),LOOKUP(L77,T!$D308:$D318,T!$M308:$M321),IF(AND(L51="4H1",L53=5),LOOKUP(L77,T!$E308:$E318,T!$M308:$M321),IF(AND(L51="4H1",L53=6),LOOKUP(L77,T!$F308:$F321,T!$M308:$M321),IF(AND(L51="4H1",L53=7),LOOKUP(L77,T!$G308:$G321,T!$M308:$M321),IF(AND(L51="4H1",L53=8),LOOKUP(L77,T!$H308:$H321,T!$M308:$M321),IF(AND(L51="4H1",L53=9),LOOKUP(L77,T!$I305:$I321,T!$M308:$M321),IF(AND(L51="4H1",L53=10),LOOKUP(L77,T!$J308:$J321,T!$M308:$M321),IF(AND(L51="4H1",L53=11),LOOKUP(L77,T!$K308:$K321,T!$M308:$M321),IF(AND(L51="4H1",L53=12),LOOKUP(L77,T!$L308:$L321,T!$M308:$M321),IF(AND(L51="4H2",L53=2),LOOKUP(L77,T!$B327:$B332,T!$J327:$J337),IF(AND(L51="4H2",L53=3),LOOKUP(L77,T!$C327:$C337,T!$J327:$J337),IF(AND(L51="4H2",L53=4),LOOKUP(L77,T!$D327:$D332,T!$J327:$J337),IF(AND(L51="4H2",L53=5),LOOKUP(L77,T!$E327:$E337,T!$J327:$J337),IF(AND(L51="4H2",L53=6),LOOKUP(L77,T!$F327:$F332,T!$J327:$J337),IF(AND(L51="4H2",L53=7),LOOKUP(L77,T!$G327:$G337,T!$G327:$J337),IF(AND(L51="4H2",L53=8),LOOKUP(L77,T!$H327:$H332,T!$J327:$J337),IF(AND(L51="4H2",L53=9),LOOKUP(L77,T!$I327:$I337,T!$J327:$J337),IF(AND(L51="4H3",L53=2),LOOKUP(L77,T!$B343:$B356,T!$M343:$M356),IF(AND(L51="4H3",L53=3),LOOKUP(L77,T!$C343:$C356,T!$M343:$M356),IF(AND(L51="4H3",L53=4),LOOKUP(L77,T!$D343:$D356,T!$M343:$M356),IF(AND(L51="4H3",L53=5),LOOKUP(L77,T!$E343:$E356,T!$M343:$M356),IF(AND(L51="4H3",L53=6),LOOKUP(L77,T!$F343:$F356,T!$M343:$M356),IF(AND(L51="4H3",L53=7),LOOKUP(L77,T!$G343:$G356,T!$M343:$M356),IF(AND(L51="4H3",L53=8),LOOKUP(L77,T!$H343:$H356,T!$M343:$M356),IF(AND(L51="4H3",L53=9),LOOKUP(L77,T!$I343:$I356,T!$M343:$M356),IF(AND(L51="4H3",L53=10),LOOKUP(L77,T!$J343:$J356,T!$M343:$M356),IF(AND(L51="4H3",L53=11),LOOKUP(L77,T!$K343:$K356,T!$M343:$M356),IF(AND(L51="4H3",L53=12),LOOKUP(L77,T!$L343:$L356,T!$M343:$M356),IF(AND(L51="4H4",L53=2),LOOKUP(L77,T!$B362:$B367,T!$H362:$H372),IF(AND(L51="4H4",L53=3),LOOKUP(L77,T!$C362:$C372,T!$H362:$H372),IF(AND(L51="4H4",L53=4),LOOKUP(L77,T!$D362:$D367,T!$H362:$H372),IF(AND(L51="4H4",L53=5),LOOKUP(L77,T!$E362:$E372,T!$H362:$H372),IF(AND(L51="4H4",L53=6),LOOKUP(L77,T!$F363:$F367,T!$H363:$H372),IF(AND(L51="4H4",L53=7),LOOKUP(T!$G363:$G372,T!$H363:$H372),"-"))))))))))))))))))))))))))))))))))))),IF(OR(L51="4J1",L51="4J2",L51="4J3",L51="4J4"),IF(AND(L51="4J1",L53=2),LOOKUP(L77,T!$B378:$B385,T!$M378:$M391),IF(AND(L51="4J1",L53=3),LOOKUP(L77,T!$C378:$C385,T!$M378:$M391),IF(AND(L51="4J1",L53=4),LOOKUP(L77,T!$D378:$D385,T!$M378:$M391),IF(AND(L51="4J1",L53=5),LOOKUP(L77,T!$E378:$E385,T!$M378:$M391),IF(AND(L51="4J1",L53=6),LOOKUP(L77,T!$F378:$F391,T!$M378:$M391),IF(AND(L51="4J1",L53=7),LOOKUP(L77,T!$G378:$G391,T!$M378:$M391),IF(AND(L51="4J1",L53=8),LOOKUP(L77,T!$H378:$H391,T!$M378:$M391),IF(AND(L51="4J1",L53=9),LOOKUP(L77,T!$I378:$I391,T!$M378:$M391),IF(AND(L51="4J1",L53=10),LOOKUP(L77,T!$J378:$J391,T!$M378:$M391),IF(AND(L51="4J1",L53=11),LOOKUP(L77,T!$K378:$K391,T!$M378:$M391),IF(AND(L51="4J1",L53=12),LOOKUP(L77,T!$L378:$L391,T!$M378:$M391),IF(AND(L51="4J2",L53=2),LOOKUP(L77,T!$B397:$B402,T!$J397:$J407),IF(AND(L51="4J2",L53=3),LOOKUP(L77,T!$C397:$C407,T!$J397:$J407),IF(AND(L51="4J2",L53=4),LOOKUP(L77,T!$D397:$D$402,T!$J397:$J407),IF(AND(L51="4J2",L53=5),LOOKUP(L77,T!$E397:$E407),IF(AND(L51="4J2",L53=6),LOOKUP(L77,T!$F397:$F402,T!$J397:$J407),IF(AND(L51="4J2",L53=7),LOOKUP(L77,T!$G397:$G407,T!$J397:$J407),IF(AND(L51="4J2",L53=8),LOOKUP(L77,T!$H397:$H402,T!$J397:$J407),IF(AND(L51="4J2",L53=9),LOOKUP(L77,T!$I397:$I407,T!$J397:$J407),IF(AND(L51="4J3",L53=2),LOOKUP(L77,T!$B413:$B426,T!$M413:$M426),IF(AND(L51="4J3",L53=3),LOOKUP(L77,T!$C413:$C426,T!$M413:$M426),IF(AND(L51="4J3",L53=4),LOOKUP(L77,T!$D413:$D426,T!$M413:$M426),IF(AND(L51="4J3",L53=5),LOOKUP(L77,T!$E413:$E426,T!$M413:$M426),IF(AND(L51="4J3",L53=6),LOOKUP(L77,T!$F413:$F426,T!$M413:$M426),IF(AND(L51="4J3",L53=7),LOOKUP(L77,T!$G413:$G426,T!$M413:$M426),IF(AND(L51="4J3",L53=8),LOOKUP(L77,T!$H413:$H426,T!$M413:$M426),IF(AND(L51="4J3",L53=9),LOOKUP(L77,T!$I413:$I426,T!$M413:$M426),IF(AND(L51="4J3",L53=10),LOOKUP(L77,T!$J413:$J426,T!$M413:$M426),IF(AND(L51="4J3",L53=11),LOOKUP(L77,T!$K413:$K426,T!$M413:$M426),IF(AND(L51="4J3",L53=12),LOOKUP(L77,T!$L413:$L426,T!$M413:$M426),IF(AND(L51="4J4",L53=2),LOOKUP(L77,T!$B432:$B437,T!$H432:$H442),IF(AND(L51="4J4",L53=3),LOOKUP(L77,T!$C432:$C442,T!$H432:$H442),IF(AND(L51="4J4",L53=4),LOOKUP(L77,T!$D872:$D877,T!$H432:$H442),IF(AND(L51="4J4",L53=5),LOOKUP(L77,T!$E432:$E442,T!$H432:$H442),IF(AND(L51="4J4",L53=6),LOOKUP(L77,T!$F432:$F437,T!$H432:$H442),IF(AND(L51="4J4",L53=7),LOOKUP(L77,T!$G432:$G442,T!$H432:$H442),"-")))))))))))))))))))))))))))))))))))),"")))</f>
        <v/>
      </c>
      <c r="M80" s="152" t="str" cm="1">
        <f t="array" ref="M80">IF(M27="","",IF(OR(M51="4H1",M51="4H2",M51="4H3",M51="4H4"),IF(M27="","",IF(AND(M51="4H1",M53=2),LOOKUP(M77,T!$B308:$B315,T!$M308:$M321),IF(AND(M51="4H1",M53=3),LOOKUP(M77,T!$C308:$C315,T!$M308:$M321),IF(AND(M51="4H1",M53=4),LOOKUP(M77,T!$D308:$D318,T!$M308:$M321),IF(AND(M51="4H1",M53=5),LOOKUP(M77,T!$E308:$E318,T!$M308:$M321),IF(AND(M51="4H1",M53=6),LOOKUP(M77,T!$F308:$F321,T!$M308:$M321),IF(AND(M51="4H1",M53=7),LOOKUP(M77,T!$G308:$G321,T!$M308:$M321),IF(AND(M51="4H1",M53=8),LOOKUP(M77,T!$H308:$H321,T!$M308:$M321),IF(AND(M51="4H1",M53=9),LOOKUP(M77,T!$I305:$I321,T!$M308:$M321),IF(AND(M51="4H1",M53=10),LOOKUP(M77,T!$J308:$J321,T!$M308:$M321),IF(AND(M51="4H1",M53=11),LOOKUP(M77,T!$K308:$K321,T!$M308:$M321),IF(AND(M51="4H1",M53=12),LOOKUP(M77,T!$L308:$L321,T!$M308:$M321),IF(AND(M51="4H2",M53=2),LOOKUP(M77,T!$B327:$B332,T!$J327:$J337),IF(AND(M51="4H2",M53=3),LOOKUP(M77,T!$C327:$C337,T!$J327:$J337),IF(AND(M51="4H2",M53=4),LOOKUP(M77,T!$D327:$D332,T!$J327:$J337),IF(AND(M51="4H2",M53=5),LOOKUP(M77,T!$E327:$E337,T!$J327:$J337),IF(AND(M51="4H2",M53=6),LOOKUP(M77,T!$F327:$F332,T!$J327:$J337),IF(AND(M51="4H2",M53=7),LOOKUP(M77,T!$G327:$G337,T!$G327:$J337),IF(AND(M51="4H2",M53=8),LOOKUP(M77,T!$H327:$H332,T!$J327:$J337),IF(AND(M51="4H2",M53=9),LOOKUP(M77,T!$I327:$I337,T!$J327:$J337),IF(AND(M51="4H3",M53=2),LOOKUP(M77,T!$B343:$B356,T!$M343:$M356),IF(AND(M51="4H3",M53=3),LOOKUP(M77,T!$C343:$C356,T!$M343:$M356),IF(AND(M51="4H3",M53=4),LOOKUP(M77,T!$D343:$D356,T!$M343:$M356),IF(AND(M51="4H3",M53=5),LOOKUP(M77,T!$E343:$E356,T!$M343:$M356),IF(AND(M51="4H3",M53=6),LOOKUP(M77,T!$F343:$F356,T!$M343:$M356),IF(AND(M51="4H3",M53=7),LOOKUP(M77,T!$G343:$G356,T!$M343:$M356),IF(AND(M51="4H3",M53=8),LOOKUP(M77,T!$H343:$H356,T!$M343:$M356),IF(AND(M51="4H3",M53=9),LOOKUP(M77,T!$I343:$I356,T!$M343:$M356),IF(AND(M51="4H3",M53=10),LOOKUP(M77,T!$J343:$J356,T!$M343:$M356),IF(AND(M51="4H3",M53=11),LOOKUP(M77,T!$K343:$K356,T!$M343:$M356),IF(AND(M51="4H3",M53=12),LOOKUP(M77,T!$L343:$L356,T!$M343:$M356),IF(AND(M51="4H4",M53=2),LOOKUP(M77,T!$B362:$B367,T!$H362:$H372),IF(AND(M51="4H4",M53=3),LOOKUP(M77,T!$C362:$C372,T!$H362:$H372),IF(AND(M51="4H4",M53=4),LOOKUP(M77,T!$D362:$D367,T!$H362:$H372),IF(AND(M51="4H4",M53=5),LOOKUP(M77,T!$E362:$E372,T!$H362:$H372),IF(AND(M51="4H4",M53=6),LOOKUP(M77,T!$F363:$F367,T!$H363:$H372),IF(AND(M51="4H4",M53=7),LOOKUP(T!$G363:$G372,T!$H363:$H372),"-"))))))))))))))))))))))))))))))))))))),IF(OR(M51="4J1",M51="4J2",M51="4J3",M51="4J4"),IF(AND(M51="4J1",M53=2),LOOKUP(M77,T!$B378:$B385,T!$M378:$M391),IF(AND(M51="4J1",M53=3),LOOKUP(M77,T!$C378:$C385,T!$M378:$M391),IF(AND(M51="4J1",M53=4),LOOKUP(M77,T!$D378:$D385,T!$M378:$M391),IF(AND(M51="4J1",M53=5),LOOKUP(M77,T!$E378:$E385,T!$M378:$M391),IF(AND(M51="4J1",M53=6),LOOKUP(M77,T!$F378:$F391,T!$M378:$M391),IF(AND(M51="4J1",M53=7),LOOKUP(M77,T!$G378:$G391,T!$M378:$M391),IF(AND(M51="4J1",M53=8),LOOKUP(M77,T!$H378:$H391,T!$M378:$M391),IF(AND(M51="4J1",M53=9),LOOKUP(M77,T!$I378:$I391,T!$M378:$M391),IF(AND(M51="4J1",M53=10),LOOKUP(M77,T!$J378:$J391,T!$M378:$M391),IF(AND(M51="4J1",M53=11),LOOKUP(M77,T!$K378:$K391,T!$M378:$M391),IF(AND(M51="4J1",M53=12),LOOKUP(M77,T!$L378:$L391,T!$M378:$M391),IF(AND(M51="4J2",M53=2),LOOKUP(M77,T!$B397:$B402,T!$J397:$J407),IF(AND(M51="4J2",M53=3),LOOKUP(M77,T!$C397:$C407,T!$J397:$J407),IF(AND(M51="4J2",M53=4),LOOKUP(M77,T!$D397:$D$402,T!$J397:$J407),IF(AND(M51="4J2",M53=5),LOOKUP(M77,T!$E397:$E407),IF(AND(M51="4J2",M53=6),LOOKUP(M77,T!$F397:$F402,T!$J397:$J407),IF(AND(M51="4J2",M53=7),LOOKUP(M77,T!$G397:$G407,T!$J397:$J407),IF(AND(M51="4J2",M53=8),LOOKUP(M77,T!$H397:$H402,T!$J397:$J407),IF(AND(M51="4J2",M53=9),LOOKUP(M77,T!$I397:$I407,T!$J397:$J407),IF(AND(M51="4J3",M53=2),LOOKUP(M77,T!$B413:$B426,T!$M413:$M426),IF(AND(M51="4J3",M53=3),LOOKUP(M77,T!$C413:$C426,T!$M413:$M426),IF(AND(M51="4J3",M53=4),LOOKUP(M77,T!$D413:$D426,T!$M413:$M426),IF(AND(M51="4J3",M53=5),LOOKUP(M77,T!$E413:$E426,T!$M413:$M426),IF(AND(M51="4J3",M53=6),LOOKUP(M77,T!$F413:$F426,T!$M413:$M426),IF(AND(M51="4J3",M53=7),LOOKUP(M77,T!$G413:$G426,T!$M413:$M426),IF(AND(M51="4J3",M53=8),LOOKUP(M77,T!$H413:$H426,T!$M413:$M426),IF(AND(M51="4J3",M53=9),LOOKUP(M77,T!$I413:$I426,T!$M413:$M426),IF(AND(M51="4J3",M53=10),LOOKUP(M77,T!$J413:$J426,T!$M413:$M426),IF(AND(M51="4J3",M53=11),LOOKUP(M77,T!$K413:$K426,T!$M413:$M426),IF(AND(M51="4J3",M53=12),LOOKUP(M77,T!$L413:$L426,T!$M413:$M426),IF(AND(M51="4J4",M53=2),LOOKUP(M77,T!$B432:$B437,T!$H432:$H442),IF(AND(M51="4J4",M53=3),LOOKUP(M77,T!$C432:$C442,T!$H432:$H442),IF(AND(M51="4J4",M53=4),LOOKUP(M77,T!$D872:$D877,T!$H432:$H442),IF(AND(M51="4J4",M53=5),LOOKUP(M77,T!$E432:$E442,T!$H432:$H442),IF(AND(M51="4J4",M53=6),LOOKUP(M77,T!$F432:$F437,T!$H432:$H442),IF(AND(M51="4J4",M53=7),LOOKUP(M77,T!$G432:$G442,T!$H432:$H442),"-")))))))))))))))))))))))))))))))))))),"")))</f>
        <v/>
      </c>
      <c r="N80" s="152" t="str" cm="1">
        <f t="array" ref="N80">IF(N27="","",IF(OR(N51="4H1",N51="4H2",N51="4H3",N51="4H4"),IF(N27="","",IF(AND(N51="4H1",N53=2),LOOKUP(N77,T!$B308:$B315,T!$M308:$M321),IF(AND(N51="4H1",N53=3),LOOKUP(N77,T!$C308:$C315,T!$M308:$M321),IF(AND(N51="4H1",N53=4),LOOKUP(N77,T!$D308:$D318,T!$M308:$M321),IF(AND(N51="4H1",N53=5),LOOKUP(N77,T!$E308:$E318,T!$M308:$M321),IF(AND(N51="4H1",N53=6),LOOKUP(N77,T!$F308:$F321,T!$M308:$M321),IF(AND(N51="4H1",N53=7),LOOKUP(N77,T!$G308:$G321,T!$M308:$M321),IF(AND(N51="4H1",N53=8),LOOKUP(N77,T!$H308:$H321,T!$M308:$M321),IF(AND(N51="4H1",N53=9),LOOKUP(N77,T!$I305:$I321,T!$M308:$M321),IF(AND(N51="4H1",N53=10),LOOKUP(N77,T!$J308:$J321,T!$M308:$M321),IF(AND(N51="4H1",N53=11),LOOKUP(N77,T!$K308:$K321,T!$M308:$M321),IF(AND(N51="4H1",N53=12),LOOKUP(N77,T!$L308:$L321,T!$M308:$M321),IF(AND(N51="4H2",N53=2),LOOKUP(N77,T!$B327:$B332,T!$J327:$J337),IF(AND(N51="4H2",N53=3),LOOKUP(N77,T!$C327:$C337,T!$J327:$J337),IF(AND(N51="4H2",N53=4),LOOKUP(N77,T!$D327:$D332,T!$J327:$J337),IF(AND(N51="4H2",N53=5),LOOKUP(N77,T!$E327:$E337,T!$J327:$J337),IF(AND(N51="4H2",N53=6),LOOKUP(N77,T!$F327:$F332,T!$J327:$J337),IF(AND(N51="4H2",N53=7),LOOKUP(N77,T!$G327:$G337,T!$G327:$J337),IF(AND(N51="4H2",N53=8),LOOKUP(N77,T!$H327:$H332,T!$J327:$J337),IF(AND(N51="4H2",N53=9),LOOKUP(N77,T!$I327:$I337,T!$J327:$J337),IF(AND(N51="4H3",N53=2),LOOKUP(N77,T!$B343:$B356,T!$M343:$M356),IF(AND(N51="4H3",N53=3),LOOKUP(N77,T!$C343:$C356,T!$M343:$M356),IF(AND(N51="4H3",N53=4),LOOKUP(N77,T!$D343:$D356,T!$M343:$M356),IF(AND(N51="4H3",N53=5),LOOKUP(N77,T!$E343:$E356,T!$M343:$M356),IF(AND(N51="4H3",N53=6),LOOKUP(N77,T!$F343:$F356,T!$M343:$M356),IF(AND(N51="4H3",N53=7),LOOKUP(N77,T!$G343:$G356,T!$M343:$M356),IF(AND(N51="4H3",N53=8),LOOKUP(N77,T!$H343:$H356,T!$M343:$M356),IF(AND(N51="4H3",N53=9),LOOKUP(N77,T!$I343:$I356,T!$M343:$M356),IF(AND(N51="4H3",N53=10),LOOKUP(N77,T!$J343:$J356,T!$M343:$M356),IF(AND(N51="4H3",N53=11),LOOKUP(N77,T!$K343:$K356,T!$M343:$M356),IF(AND(N51="4H3",N53=12),LOOKUP(N77,T!$L343:$L356,T!$M343:$M356),IF(AND(N51="4H4",N53=2),LOOKUP(N77,T!$B362:$B367,T!$H362:$H372),IF(AND(N51="4H4",N53=3),LOOKUP(N77,T!$C362:$C372,T!$H362:$H372),IF(AND(N51="4H4",N53=4),LOOKUP(N77,T!$D362:$D367,T!$H362:$H372),IF(AND(N51="4H4",N53=5),LOOKUP(N77,T!$E362:$E372,T!$H362:$H372),IF(AND(N51="4H4",N53=6),LOOKUP(N77,T!$F363:$F367,T!$H363:$H372),IF(AND(N51="4H4",N53=7),LOOKUP(T!$G363:$G372,T!$H363:$H372),"-"))))))))))))))))))))))))))))))))))))),IF(OR(N51="4J1",N51="4J2",N51="4J3",N51="4J4"),IF(AND(N51="4J1",N53=2),LOOKUP(N77,T!$B378:$B385,T!$M378:$M391),IF(AND(N51="4J1",N53=3),LOOKUP(N77,T!$C378:$C385,T!$M378:$M391),IF(AND(N51="4J1",N53=4),LOOKUP(N77,T!$D378:$D385,T!$M378:$M391),IF(AND(N51="4J1",N53=5),LOOKUP(N77,T!$E378:$E385,T!$M378:$M391),IF(AND(N51="4J1",N53=6),LOOKUP(N77,T!$F378:$F391,T!$M378:$M391),IF(AND(N51="4J1",N53=7),LOOKUP(N77,T!$G378:$G391,T!$M378:$M391),IF(AND(N51="4J1",N53=8),LOOKUP(N77,T!$H378:$H391,T!$M378:$M391),IF(AND(N51="4J1",N53=9),LOOKUP(N77,T!$I378:$I391,T!$M378:$M391),IF(AND(N51="4J1",N53=10),LOOKUP(N77,T!$J378:$J391,T!$M378:$M391),IF(AND(N51="4J1",N53=11),LOOKUP(N77,T!$K378:$K391,T!$M378:$M391),IF(AND(N51="4J1",N53=12),LOOKUP(N77,T!$L378:$L391,T!$M378:$M391),IF(AND(N51="4J2",N53=2),LOOKUP(N77,T!$B397:$B402,T!$J397:$J407),IF(AND(N51="4J2",N53=3),LOOKUP(N77,T!$C397:$C407,T!$J397:$J407),IF(AND(N51="4J2",N53=4),LOOKUP(N77,T!$D397:$D$402,T!$J397:$J407),IF(AND(N51="4J2",N53=5),LOOKUP(N77,T!$E397:$E407),IF(AND(N51="4J2",N53=6),LOOKUP(N77,T!$F397:$F402,T!$J397:$J407),IF(AND(N51="4J2",N53=7),LOOKUP(N77,T!$G397:$G407,T!$J397:$J407),IF(AND(N51="4J2",N53=8),LOOKUP(N77,T!$H397:$H402,T!$J397:$J407),IF(AND(N51="4J2",N53=9),LOOKUP(N77,T!$I397:$I407,T!$J397:$J407),IF(AND(N51="4J3",N53=2),LOOKUP(N77,T!$B413:$B426,T!$M413:$M426),IF(AND(N51="4J3",N53=3),LOOKUP(N77,T!$C413:$C426,T!$M413:$M426),IF(AND(N51="4J3",N53=4),LOOKUP(N77,T!$D413:$D426,T!$M413:$M426),IF(AND(N51="4J3",N53=5),LOOKUP(N77,T!$E413:$E426,T!$M413:$M426),IF(AND(N51="4J3",N53=6),LOOKUP(N77,T!$F413:$F426,T!$M413:$M426),IF(AND(N51="4J3",N53=7),LOOKUP(N77,T!$G413:$G426,T!$M413:$M426),IF(AND(N51="4J3",N53=8),LOOKUP(N77,T!$H413:$H426,T!$M413:$M426),IF(AND(N51="4J3",N53=9),LOOKUP(N77,T!$I413:$I426,T!$M413:$M426),IF(AND(N51="4J3",N53=10),LOOKUP(N77,T!$J413:$J426,T!$M413:$M426),IF(AND(N51="4J3",N53=11),LOOKUP(N77,T!$K413:$K426,T!$M413:$M426),IF(AND(N51="4J3",N53=12),LOOKUP(N77,T!$L413:$L426,T!$M413:$M426),IF(AND(N51="4J4",N53=2),LOOKUP(N77,T!$B432:$B437,T!$H432:$H442),IF(AND(N51="4J4",N53=3),LOOKUP(N77,T!$C432:$C442,T!$H432:$H442),IF(AND(N51="4J4",N53=4),LOOKUP(N77,T!$D872:$D877,T!$H432:$H442),IF(AND(N51="4J4",N53=5),LOOKUP(N77,T!$E432:$E442,T!$H432:$H442),IF(AND(N51="4J4",N53=6),LOOKUP(N77,T!$F432:$F437,T!$H432:$H442),IF(AND(N51="4J4",N53=7),LOOKUP(N77,T!$G432:$G442,T!$H432:$H442),"-")))))))))))))))))))))))))))))))))))),"")))</f>
        <v/>
      </c>
      <c r="O80" s="143" t="str">
        <f t="shared" si="18"/>
        <v/>
      </c>
    </row>
    <row r="81" spans="1:15" s="123" customFormat="1" ht="16">
      <c r="A81" s="129"/>
      <c r="B81" s="176" t="s">
        <v>2114</v>
      </c>
      <c r="C81" s="129"/>
      <c r="D81" s="129" cm="1">
        <f t="array" ref="D81">IF(D$29="","",IF(OR(D78&lt;&gt;"",D79&lt;&gt;"",D80&lt;&gt;""),IF(D94&gt;20,INDEX(T!$P$6:$P$29,MATCH(TRUE,INDEX(T!$P$6:$P$29&gt;D78,0),)),D78)))</f>
        <v>4</v>
      </c>
      <c r="E81" s="129" cm="1">
        <f t="array" aca="1" ref="E81" ca="1">IF(E$29="","",IF(OR(E78&lt;&gt;"",E79&lt;&gt;"",E80&lt;&gt;""),IF(E94&gt;20,INDEX(T!$P$6:$P$29,MATCH(TRUE,INDEX(T!$P$6:$P$29&gt;E78,0),)),E78)))</f>
        <v>4</v>
      </c>
      <c r="F81" s="129" cm="1">
        <f t="array" aca="1" ref="F81" ca="1">IF(F$29="","",IF(OR(F78&lt;&gt;"",F79&lt;&gt;"",F80&lt;&gt;""),IF(F94&gt;20,INDEX(T!$P$6:$P$29,MATCH(TRUE,INDEX(T!$P$6:$P$29&gt;F78,0),)),F78)))</f>
        <v>4</v>
      </c>
      <c r="G81" s="129" cm="1">
        <f t="array" aca="1" ref="G81" ca="1">IF(G$29="","",IF(OR(G78&lt;&gt;"",G79&lt;&gt;"",G80&lt;&gt;""),IF(G94&gt;20,INDEX(T!$P$6:$P$29,MATCH(TRUE,INDEX(T!$P$6:$P$29&gt;G78,0),)),G78)))</f>
        <v>4</v>
      </c>
      <c r="H81" s="129" cm="1">
        <f t="array" aca="1" ref="H81" ca="1">IF(H$29="","",IF(OR(H78&lt;&gt;"",H79&lt;&gt;"",H80&lt;&gt;""),IF(H94&gt;20,INDEX(T!$P$6:$P$29,MATCH(TRUE,INDEX(T!$P$6:$P$29&gt;H78,0),)),H78)))</f>
        <v>4</v>
      </c>
      <c r="I81" s="129" cm="1">
        <f t="array" ref="I81">IF(I$29="","",IF(OR(I78&lt;&gt;"",I79&lt;&gt;"",I80&lt;&gt;""),IF(I94&gt;20,INDEX(T!$P$6:$P$29,MATCH(TRUE,INDEX(T!$P$6:$P$29&gt;I78,0),)),I78)))</f>
        <v>25</v>
      </c>
      <c r="J81" s="129" cm="1">
        <f t="array" ref="J81">IF(J$29="","",IF(OR(J78&lt;&gt;"",J79&lt;&gt;"",J80&lt;&gt;""),IF(J94&gt;20,INDEX(T!$P$6:$P$29,MATCH(TRUE,INDEX(T!$P$6:$P$29&gt;J78,0),)),J78)))</f>
        <v>4</v>
      </c>
      <c r="K81" s="129" cm="1">
        <f t="array" ref="K81">IF(K$29="","",IF(OR(K78&lt;&gt;"",K79&lt;&gt;"",K80&lt;&gt;""),IF(K94&gt;20,INDEX(T!$P$6:$P$29,MATCH(TRUE,INDEX(T!$P$6:$P$29&gt;K78,0),)),K78)))</f>
        <v>1.5</v>
      </c>
      <c r="L81" s="129" cm="1">
        <f t="array" ref="L81">IF(L$29="","",IF(OR(L78&lt;&gt;"",L79&lt;&gt;"",L80&lt;&gt;""),IF(L94&gt;20,INDEX(T!$P$6:$P$29,MATCH(TRUE,INDEX(T!$P$6:$P$29&gt;L78,0),)),L78)))</f>
        <v>1.5</v>
      </c>
      <c r="M81" s="129"/>
      <c r="N81" s="129" cm="1">
        <f t="array" ref="N81">IF(N$29="","",IF(OR(N78&lt;&gt;"",N79&lt;&gt;"",N80&lt;&gt;""),IF(N94&gt;20,INDEX(T!$P$6:$P$29,MATCH(TRUE,INDEX(T!$P$6:$P$29&gt;N78,0),)),N78)))</f>
        <v>120</v>
      </c>
      <c r="O81" s="128" t="str">
        <f t="shared" si="18"/>
        <v>mm²</v>
      </c>
    </row>
    <row r="82" spans="1:15" s="123" customFormat="1" ht="16">
      <c r="A82" s="152"/>
      <c r="B82" s="178"/>
      <c r="C82" s="152"/>
      <c r="D82" s="152" cm="1">
        <f t="array" ref="D82">IF(D$29="","",IF(D94&lt;&gt;"",IF(D95&gt;20,INDEX(T!$P$6:$P$29,MATCH(TRUE,INDEX(T!$P$6:$P$29&gt;D81,0),)),D81)))</f>
        <v>4</v>
      </c>
      <c r="E82" s="152" cm="1">
        <f t="array" aca="1" ref="E82" ca="1">IF(E$29="","",IF(E94&lt;&gt;"",IF(E95&gt;20,INDEX(T!$P$6:$P$29,MATCH(TRUE,INDEX(T!$P$6:$P$29&gt;E81,0),)),E81)))</f>
        <v>4</v>
      </c>
      <c r="F82" s="152" cm="1">
        <f t="array" aca="1" ref="F82" ca="1">IF(F$29="","",IF(F94&lt;&gt;"",IF(F95&gt;20,INDEX(T!$P$6:$P$29,MATCH(TRUE,INDEX(T!$P$6:$P$29&gt;F81,0),)),F81)))</f>
        <v>4</v>
      </c>
      <c r="G82" s="152" cm="1">
        <f t="array" aca="1" ref="G82" ca="1">IF(G$29="","",IF(G94&lt;&gt;"",IF(G95&gt;20,INDEX(T!$P$6:$P$29,MATCH(TRUE,INDEX(T!$P$6:$P$29&gt;G81,0),)),G81)))</f>
        <v>4</v>
      </c>
      <c r="H82" s="152" cm="1">
        <f t="array" aca="1" ref="H82" ca="1">IF(H$29="","",IF(H94&lt;&gt;"",IF(H95&gt;20,INDEX(T!$P$6:$P$29,MATCH(TRUE,INDEX(T!$P$6:$P$29&gt;H81,0),)),H81)))</f>
        <v>4</v>
      </c>
      <c r="I82" s="152" cm="1">
        <f t="array" ref="I82">IF(I$29="","",IF(I94&lt;&gt;"",IF(I95&gt;20,INDEX(T!$P$6:$P$29,MATCH(TRUE,INDEX(T!$P$6:$P$29&gt;I81,0),)),I81)))</f>
        <v>25</v>
      </c>
      <c r="J82" s="152" cm="1">
        <f t="array" ref="J82">IF(J$29="","",IF(J94&lt;&gt;"",IF(J95&gt;20,INDEX(T!$P$6:$P$29,MATCH(TRUE,INDEX(T!$P$6:$P$29&gt;J81,0),)),J81)))</f>
        <v>4</v>
      </c>
      <c r="K82" s="152" cm="1">
        <f t="array" ref="K82">IF(K$29="","",IF(K94&lt;&gt;"",IF(K95&gt;20,INDEX(T!$P$6:$P$29,MATCH(TRUE,INDEX(T!$P$6:$P$29&gt;K81,0),)),K81)))</f>
        <v>1.5</v>
      </c>
      <c r="L82" s="152" cm="1">
        <f t="array" ref="L82">IF(L$29="","",IF(L94&lt;&gt;"",IF(L95&gt;20,INDEX(T!$P$6:$P$29,MATCH(TRUE,INDEX(T!$P$6:$P$29&gt;L81,0),)),L81)))</f>
        <v>1.5</v>
      </c>
      <c r="M82" s="152"/>
      <c r="N82" s="152" cm="1">
        <f t="array" ref="N82">IF(N$29="","",IF(N94&lt;&gt;"",IF(N95&gt;20,INDEX(T!$P$6:$P$29,MATCH(TRUE,INDEX(T!$P$6:$P$29&gt;N81,0),)),N81)))</f>
        <v>120</v>
      </c>
      <c r="O82" s="143" t="str">
        <f t="shared" si="18"/>
        <v>mm²</v>
      </c>
    </row>
    <row r="83" spans="1:15" s="123" customFormat="1" ht="16">
      <c r="A83" s="136"/>
      <c r="B83" s="183"/>
      <c r="C83" s="136"/>
      <c r="D83" s="136" cm="1">
        <f t="array" ref="D83">IF(D$29="","",IF(D95&lt;&gt;"",IF(D96&gt;20,INDEX(T!$P$6:$P$29,MATCH(TRUE,INDEX(T!$P$6:$P$29&gt;D82,0),)),D82)))</f>
        <v>4</v>
      </c>
      <c r="E83" s="136" cm="1">
        <f t="array" aca="1" ref="E83" ca="1">IF(E$29="","",IF(E95&lt;&gt;"",IF(E96&gt;20,INDEX(T!$P$6:$P$29,MATCH(TRUE,INDEX(T!$P$6:$P$29&gt;E82,0),)),E82)))</f>
        <v>4</v>
      </c>
      <c r="F83" s="136" cm="1">
        <f t="array" aca="1" ref="F83" ca="1">IF(F$29="","",IF(F95&lt;&gt;"",IF(F96&gt;20,INDEX(T!$P$6:$P$29,MATCH(TRUE,INDEX(T!$P$6:$P$29&gt;F82,0),)),F82)))</f>
        <v>4</v>
      </c>
      <c r="G83" s="136" cm="1">
        <f t="array" aca="1" ref="G83" ca="1">IF(G$29="","",IF(G95&lt;&gt;"",IF(G96&gt;20,INDEX(T!$P$6:$P$29,MATCH(TRUE,INDEX(T!$P$6:$P$29&gt;G82,0),)),G82)))</f>
        <v>4</v>
      </c>
      <c r="H83" s="136" cm="1">
        <f t="array" aca="1" ref="H83" ca="1">IF(H$29="","",IF(H95&lt;&gt;"",IF(H96&gt;20,INDEX(T!$P$6:$P$29,MATCH(TRUE,INDEX(T!$P$6:$P$29&gt;H82,0),)),H82)))</f>
        <v>4</v>
      </c>
      <c r="I83" s="136" cm="1">
        <f t="array" ref="I83">IF(I$29="","",IF(I95&lt;&gt;"",IF(I96&gt;20,INDEX(T!$P$6:$P$29,MATCH(TRUE,INDEX(T!$P$6:$P$29&gt;I82,0),)),I82)))</f>
        <v>25</v>
      </c>
      <c r="J83" s="136" cm="1">
        <f t="array" ref="J83">IF(J$29="","",IF(J95&lt;&gt;"",IF(J96&gt;20,INDEX(T!$P$6:$P$29,MATCH(TRUE,INDEX(T!$P$6:$P$29&gt;J82,0),)),J82)))</f>
        <v>4</v>
      </c>
      <c r="K83" s="136" cm="1">
        <f t="array" ref="K83">IF(K$29="","",IF(K95&lt;&gt;"",IF(K96&gt;20,INDEX(T!$P$6:$P$29,MATCH(TRUE,INDEX(T!$P$6:$P$29&gt;K82,0),)),K82)))</f>
        <v>1.5</v>
      </c>
      <c r="L83" s="136" cm="1">
        <f t="array" ref="L83">IF(L$29="","",IF(L95&lt;&gt;"",IF(L96&gt;20,INDEX(T!$P$6:$P$29,MATCH(TRUE,INDEX(T!$P$6:$P$29&gt;L82,0),)),L82)))</f>
        <v>1.5</v>
      </c>
      <c r="M83" s="136"/>
      <c r="N83" s="136" cm="1">
        <f t="array" ref="N83">IF(N$29="","",IF(N95&lt;&gt;"",IF(N96&gt;20,INDEX(T!$P$6:$P$29,MATCH(TRUE,INDEX(T!$P$6:$P$29&gt;N82,0),)),N82)))</f>
        <v>120</v>
      </c>
      <c r="O83" s="135" t="str">
        <f t="shared" si="18"/>
        <v>mm²</v>
      </c>
    </row>
    <row r="84" spans="1:15" s="123" customFormat="1" ht="16">
      <c r="A84" s="184"/>
      <c r="B84" s="185" t="s">
        <v>2115</v>
      </c>
      <c r="C84" s="184"/>
      <c r="D84" s="184" cm="1">
        <f t="array" ref="D84">IF(D29="","",IF(D92&gt;(IF(COUNT(D19:D21)=1,230,IF(COUNT(D19:D21)=3,400))/(D27*IF(D37="B",5,IF(D37="C",10,IF(D37="D",20))))),INDEX(T!$P6:$P29,MATCH(TRUE,INDEX(T!$P6:$P29&gt;D83,0),)),D83))</f>
        <v>4</v>
      </c>
      <c r="E84" s="184">
        <v>4</v>
      </c>
      <c r="F84" s="184">
        <v>6</v>
      </c>
      <c r="G84" s="184">
        <v>10</v>
      </c>
      <c r="H84" s="184">
        <v>16</v>
      </c>
      <c r="I84" s="184" cm="1">
        <f t="array" ref="I84">IF(I29="","",IF(I92&gt;(IF(COUNT(I19:I21)=1,230,IF(COUNT(I19:I21)=3,400))/(I27*IF(I37="B",5,IF(I37="C",10,IF(I37="D",20))))),INDEX(T!$P6:$P29,MATCH(TRUE,INDEX(T!$P6:$P29&gt;I83,0),)),I83))</f>
        <v>25</v>
      </c>
      <c r="J84" s="184" cm="1">
        <f t="array" ref="J84">IF(J29="","",IF(J92&gt;(IF(COUNT(J19:J21)=1,230,IF(COUNT(J19:J21)=3,400))/(J27*IF(J37="B",5,IF(J37="C",10,IF(J37="D",20))))),INDEX(T!$P6:$P29,MATCH(TRUE,INDEX(T!$P6:$P29&gt;J83,0),)),J83))</f>
        <v>4</v>
      </c>
      <c r="K84" s="184">
        <v>4</v>
      </c>
      <c r="L84" s="184">
        <v>6</v>
      </c>
      <c r="M84" s="184" t="str" cm="1">
        <f t="array" ref="M84">IF(M29="","",IF(M92&gt;(IF(COUNT(M19:M21)=1,230,IF(COUNT(M19:M21)=3,400))/(M27*IF(M37="B",5,IF(M37="C",10,IF(M37="D",20))))),INDEX(T!$P6:$P29,MATCH(TRUE,INDEX(T!$P6:$P29&gt;M83,0),)),M83))</f>
        <v/>
      </c>
      <c r="N84" s="184" cm="1">
        <f t="array" ref="N84">IF(N29="","",IF(N92&gt;(IF(COUNT(N19:N21)=1,230,IF(COUNT(N19:N21)=3,400))/(N27*IF(N37="B",5,IF(N37="C",10,IF(N37="D",20))))),INDEX(T!$P6:$P29,MATCH(TRUE,INDEX(T!$P6:$P29&gt;N83,0),)),N83))</f>
        <v>120</v>
      </c>
      <c r="O84" s="131" t="str">
        <f>IF(L84&lt;&gt;"","mm²","")</f>
        <v>mm²</v>
      </c>
    </row>
    <row r="85" spans="1:15" s="168" customFormat="1" ht="15.75" customHeight="1">
      <c r="A85" s="136"/>
      <c r="B85" s="170" t="s">
        <v>2116</v>
      </c>
      <c r="C85" s="159"/>
      <c r="D85" s="136">
        <f>IF(ISNUMBER(D78),IF(D78&lt;=16,D78,IF(AND(D78&gt;=16,D78&lt;=35),16,IF(D78&lt;=50,25,IF(D78&lt;=70,35,IF(D78&lt;=95,50,IF(D78&lt;=120,70,IF(D78&lt;=150,95,IF(D78&lt;=185,95,IF(D78&lt;=240,120,IF(D78&lt;=300,150,IF(D78&lt;=380,240,IF(D78&lt;=480,240,IF(D78&lt;=600,300,IF(D78&lt;=740,380,IF(D78&lt;=960,480,IF(D78&lt;=1200,600)))))))))))))))),IF(ISNUMBER(D79),IF(D79&lt;=16,D79,IF(AND(D79&gt;=16,D79&lt;=35),16,IF(D79&lt;=50,25,IF(D79&lt;=70,35,IF(D79&lt;=95,50,IF(D79&lt;=120,70,IF(D79&lt;=150,95,IF(D79&lt;=185,95,IF(D79&lt;=240,120,IF(D79&lt;=300,150,IF(D79&lt;=380,240,IF(D79&lt;=480,240,IF(D79&lt;=600,300,IF(D79&lt;=740,380,IF(D79&lt;=960,480,IF(D79&lt;=1200,600,"")))))))))))))))),IF(ISNUMBER(D80),IF(D80&lt;=16,D80,IF(AND(D80&gt;=16,D80&lt;=35),16,IF(D80&lt;=50,25,IF(D80&lt;=70,35,IF(D80&lt;=95,50,IF(D80&lt;=120,70,IF(D80&lt;=150,95,IF(D80&lt;=185,95,IF(D80&lt;=240,120,IF(D80&lt;=300,150,IF(D80&lt;=380,240,IF(D80&lt;=480,240,IF(D80&lt;=600,300,IF(D80&lt;=740,380,IF(D80&lt;=960,480,IF(D80&lt;=1200,600,"")))))))))))))))),"")))</f>
        <v>4</v>
      </c>
      <c r="E85" s="136">
        <f ca="1">IF(ISNUMBER(E78),IF(E78&lt;=16,E78,IF(AND(E78&gt;=16,E78&lt;=35),16,IF(E78&lt;=50,25,IF(E78&lt;=70,35,IF(E78&lt;=95,50,IF(E78&lt;=120,70,IF(E78&lt;=150,95,IF(E78&lt;=185,95,IF(E78&lt;=240,120,IF(E78&lt;=300,150,IF(E78&lt;=380,240,IF(E78&lt;=480,240,IF(E78&lt;=600,300,IF(E78&lt;=740,380,IF(E78&lt;=960,480,IF(E78&lt;=1200,600)))))))))))))))),IF(ISNUMBER(E79),IF(E79&lt;=16,E79,IF(AND(E79&gt;=16,E79&lt;=35),16,IF(E79&lt;=50,25,IF(E79&lt;=70,35,IF(E79&lt;=95,50,IF(E79&lt;=120,70,IF(E79&lt;=150,95,IF(E79&lt;=185,95,IF(E79&lt;=240,120,IF(E79&lt;=300,150,IF(E79&lt;=380,240,IF(E79&lt;=480,240,IF(E79&lt;=600,300,IF(E79&lt;=740,380,IF(E79&lt;=960,480,IF(E79&lt;=1200,600,"")))))))))))))))),IF(ISNUMBER(E80),IF(E80&lt;=16,E80,IF(AND(E80&gt;=16,E80&lt;=35),16,IF(E80&lt;=50,25,IF(E80&lt;=70,35,IF(E80&lt;=95,50,IF(E80&lt;=120,70,IF(E80&lt;=150,95,IF(E80&lt;=185,95,IF(E80&lt;=240,120,IF(E80&lt;=300,150,IF(E80&lt;=380,240,IF(E80&lt;=480,240,IF(E80&lt;=600,300,IF(E80&lt;=740,380,IF(E80&lt;=960,480,IF(E80&lt;=1200,600,"")))))))))))))))),"")))</f>
        <v>4</v>
      </c>
      <c r="F85" s="136">
        <f t="shared" ref="F85:N85" ca="1" si="19">IF(ISNUMBER(F78),IF(F78&lt;=16,F78,IF(AND(F78&gt;=16,F78&lt;=35),16,IF(F78&lt;=50,25,IF(F78&lt;=70,35,IF(F78&lt;=95,50,IF(F78&lt;=120,70,IF(F78&lt;=150,95,IF(F78&lt;=185,95,IF(F78&lt;=240,120,IF(F78&lt;=300,150,IF(F78&lt;=380,240,IF(F78&lt;=480,240,IF(F78&lt;=600,300,IF(F78&lt;=740,380,IF(F78&lt;=960,480,IF(F78&lt;=1200,600)))))))))))))))),IF(ISNUMBER(F79),IF(F79&lt;=16,F79,IF(AND(F79&gt;=16,F79&lt;=35),16,IF(F79&lt;=50,25,IF(F79&lt;=70,35,IF(F79&lt;=95,50,IF(F79&lt;=120,70,IF(F79&lt;=150,95,IF(F79&lt;=185,95,IF(F79&lt;=240,120,IF(F79&lt;=300,150,IF(F79&lt;=380,240,IF(F79&lt;=480,240,IF(F79&lt;=600,300,IF(F79&lt;=740,380,IF(F79&lt;=960,480,IF(F79&lt;=1200,600,"")))))))))))))))),IF(ISNUMBER(F80),IF(F80&lt;=16,F80,IF(AND(F80&gt;=16,F80&lt;=35),16,IF(F80&lt;=50,25,IF(F80&lt;=70,35,IF(F80&lt;=95,50,IF(F80&lt;=120,70,IF(F80&lt;=150,95,IF(F80&lt;=185,95,IF(F80&lt;=240,120,IF(F80&lt;=300,150,IF(F80&lt;=380,240,IF(F80&lt;=480,240,IF(F80&lt;=600,300,IF(F80&lt;=740,380,IF(F80&lt;=960,480,IF(F80&lt;=1200,600,"")))))))))))))))),"")))</f>
        <v>4</v>
      </c>
      <c r="G85" s="136">
        <f t="shared" ca="1" si="19"/>
        <v>4</v>
      </c>
      <c r="H85" s="136">
        <f ca="1">IF(ISNUMBER(H78),IF(H78&lt;=16,H78,IF(AND(H78&gt;=16,H78&lt;=35),16,IF(H78&lt;=50,25,IF(H78&lt;=70,35,IF(H78&lt;=95,50,IF(H78&lt;=120,70,IF(H78&lt;=150,95,IF(H78&lt;=185,95,IF(H78&lt;=240,120,IF(H78&lt;=300,150,IF(H78&lt;=380,240,IF(H78&lt;=480,240,IF(H78&lt;=600,300,IF(H78&lt;=740,380,IF(H78&lt;=960,480,IF(H78&lt;=1200,600)))))))))))))))),IF(ISNUMBER(H79),IF(H79&lt;=16,H79,IF(AND(H79&gt;=16,H79&lt;=35),16,IF(H79&lt;=50,25,IF(H79&lt;=70,35,IF(H79&lt;=95,50,IF(H79&lt;=120,70,IF(H79&lt;=150,95,IF(H79&lt;=185,95,IF(H79&lt;=240,120,IF(H79&lt;=300,150,IF(H79&lt;=380,240,IF(H79&lt;=480,240,IF(H79&lt;=600,300,IF(H79&lt;=740,380,IF(H79&lt;=960,480,IF(H79&lt;=1200,600,"")))))))))))))))),IF(ISNUMBER(H80),IF(H80&lt;=16,H80,IF(AND(H80&gt;=16,H80&lt;=35),16,IF(H80&lt;=50,25,IF(H80&lt;=70,35,IF(H80&lt;=95,50,IF(H80&lt;=120,70,IF(H80&lt;=150,95,IF(H80&lt;=185,95,IF(H80&lt;=240,120,IF(H80&lt;=300,150,IF(H80&lt;=380,240,IF(H80&lt;=480,240,IF(H80&lt;=600,300,IF(H80&lt;=740,380,IF(H80&lt;=960,480,IF(H80&lt;=1200,600,"")))))))))))))))),"")))</f>
        <v>4</v>
      </c>
      <c r="I85" s="136">
        <f t="shared" si="19"/>
        <v>16</v>
      </c>
      <c r="J85" s="136">
        <f t="shared" si="19"/>
        <v>4</v>
      </c>
      <c r="K85" s="136">
        <f>IF(ISNUMBER(K78),IF(K78&lt;=16,K78,IF(AND(K78&gt;=16,K78&lt;=35),16,IF(K78&lt;=50,25,IF(K78&lt;=70,35,IF(K78&lt;=95,50,IF(K78&lt;=120,70,IF(K78&lt;=150,95,IF(K78&lt;=185,95,IF(K78&lt;=240,120,IF(K78&lt;=300,150,IF(K78&lt;=380,240,IF(K78&lt;=480,240,IF(K78&lt;=600,300,IF(K78&lt;=740,380,IF(K78&lt;=960,480,IF(K78&lt;=1200,600)))))))))))))))),IF(ISNUMBER(K79),IF(K79&lt;=16,K79,IF(AND(K79&gt;=16,K79&lt;=35),16,IF(K79&lt;=50,25,IF(K79&lt;=70,35,IF(K79&lt;=95,50,IF(K79&lt;=120,70,IF(K79&lt;=150,95,IF(K79&lt;=185,95,IF(K79&lt;=240,120,IF(K79&lt;=300,150,IF(K79&lt;=380,240,IF(K79&lt;=480,240,IF(K79&lt;=600,300,IF(K79&lt;=740,380,IF(K79&lt;=960,480,IF(K79&lt;=1200,600,"")))))))))))))))),IF(ISNUMBER(K80),IF(K80&lt;=16,K80,IF(AND(K80&gt;=16,K80&lt;=35),16,IF(K80&lt;=50,25,IF(K80&lt;=70,35,IF(K80&lt;=95,50,IF(K80&lt;=120,70,IF(K80&lt;=150,95,IF(K80&lt;=185,95,IF(K80&lt;=240,120,IF(K80&lt;=300,150,IF(K80&lt;=380,240,IF(K80&lt;=480,240,IF(K80&lt;=600,300,IF(K80&lt;=740,380,IF(K80&lt;=960,480,IF(K80&lt;=1200,600,"")))))))))))))))),"")))</f>
        <v>1.5</v>
      </c>
      <c r="L85" s="136">
        <f>IF(ISNUMBER(L78),IF(L78&lt;=16,L78,IF(AND(L78&gt;=16,L78&lt;=35),16,IF(L78&lt;=50,25,IF(L78&lt;=70,35,IF(L78&lt;=95,50,IF(L78&lt;=120,70,IF(L78&lt;=150,95,IF(L78&lt;=185,95,IF(L78&lt;=240,120,IF(L78&lt;=300,150,IF(L78&lt;=380,240,IF(L78&lt;=480,240,IF(L78&lt;=600,300,IF(L78&lt;=740,380,IF(L78&lt;=960,480,IF(L78&lt;=1200,600)))))))))))))))),IF(ISNUMBER(L79),IF(L79&lt;=16,L79,IF(AND(L79&gt;=16,L79&lt;=35),16,IF(L79&lt;=50,25,IF(L79&lt;=70,35,IF(L79&lt;=95,50,IF(L79&lt;=120,70,IF(L79&lt;=150,95,IF(L79&lt;=185,95,IF(L79&lt;=240,120,IF(L79&lt;=300,150,IF(L79&lt;=380,240,IF(L79&lt;=480,240,IF(L79&lt;=600,300,IF(L79&lt;=740,380,IF(L79&lt;=960,480,IF(L79&lt;=1200,600,"")))))))))))))))),IF(ISNUMBER(L80),IF(L80&lt;=16,L80,IF(AND(L80&gt;=16,L80&lt;=35),16,IF(L80&lt;=50,25,IF(L80&lt;=70,35,IF(L80&lt;=95,50,IF(L80&lt;=120,70,IF(L80&lt;=150,95,IF(L80&lt;=185,95,IF(L80&lt;=240,120,IF(L80&lt;=300,150,IF(L80&lt;=380,240,IF(L80&lt;=480,240,IF(L80&lt;=600,300,IF(L80&lt;=740,380,IF(L80&lt;=960,480,IF(L80&lt;=1200,600,"")))))))))))))))),"")))</f>
        <v>1.5</v>
      </c>
      <c r="M85" s="136" t="str">
        <f t="shared" si="19"/>
        <v/>
      </c>
      <c r="N85" s="136">
        <f t="shared" si="19"/>
        <v>70</v>
      </c>
      <c r="O85" s="131" t="str">
        <f>IF(N85&lt;&gt;"","mm²","")</f>
        <v>mm²</v>
      </c>
    </row>
    <row r="86" spans="1:15" s="123" customFormat="1" ht="16">
      <c r="B86" s="186"/>
    </row>
    <row r="87" spans="1:15" s="123" customFormat="1" ht="16">
      <c r="B87" s="186"/>
    </row>
    <row r="88" spans="1:15" s="168" customFormat="1" ht="19">
      <c r="A88" s="129"/>
      <c r="B88" s="167" t="s">
        <v>2117</v>
      </c>
      <c r="C88" s="156"/>
      <c r="D88" s="156">
        <f>IF(D$25=0,"",IF(ISNUMBER(D83),LOOKUP(D83,T!$P$6:$P$29,T!$Q$6:$Q$29),IF(ISNUMBER(D79),LOOKUP(D79,T!$P$6:$P$29,T!$Q$6:$Q$29),IF(ISNUMBER(D80),LOOKUP(D80,T!$P$6:$P$29,T!$Q$6:$Q$29),0))))</f>
        <v>4.6100000000000003</v>
      </c>
      <c r="E88" s="156">
        <f ca="1">IF(E$25=0,"",IF(ISNUMBER(E83),LOOKUP(E83,T!$P$6:$P$29,T!$Q$6:$Q$29),IF(ISNUMBER(E79),LOOKUP(E79,T!$P$6:$P$29,T!$Q$6:$Q$29),IF(ISNUMBER(E80),LOOKUP(E80,T!$P$6:$P$29,T!$Q$6:$Q$29),0))))</f>
        <v>4.6100000000000003</v>
      </c>
      <c r="F88" s="156">
        <f ca="1">IF(F$25=0,"",IF(ISNUMBER(F83),LOOKUP(F83,T!$P$6:$P$29,T!$Q$6:$Q$29),IF(ISNUMBER(F79),LOOKUP(F79,T!$P$6:$P$29,T!$Q$6:$Q$29),IF(ISNUMBER(F80),LOOKUP(F80,T!$P$6:$P$29,T!$Q$6:$Q$29),0))))</f>
        <v>4.6100000000000003</v>
      </c>
      <c r="G88" s="156">
        <f ca="1">IF(G$25=0,"",IF(ISNUMBER(G83),LOOKUP(G83,T!$P$6:$P$29,T!$Q$6:$Q$29),IF(ISNUMBER(G79),LOOKUP(G79,T!$P$6:$P$29,T!$Q$6:$Q$29),IF(ISNUMBER(G80),LOOKUP(G80,T!$P$6:$P$29,T!$Q$6:$Q$29),0))))</f>
        <v>4.6100000000000003</v>
      </c>
      <c r="H88" s="156">
        <f ca="1">IF(H$25=0,"",IF(ISNUMBER(H83),LOOKUP(H83,T!$P$6:$P$29,T!$Q$6:$Q$29),IF(ISNUMBER(H79),LOOKUP(H79,T!$P$6:$P$29,T!$Q$6:$Q$29),IF(ISNUMBER(H80),LOOKUP(H80,T!$P$6:$P$29,T!$Q$6:$Q$29),0))))</f>
        <v>4.6100000000000003</v>
      </c>
      <c r="I88" s="156">
        <f>IF(I$25=0,"",IF(ISNUMBER(I83),LOOKUP(I83,T!$P$6:$P$29,T!$Q$6:$Q$29),IF(ISNUMBER(I79),LOOKUP(I79,T!$P$6:$P$29,T!$Q$6:$Q$29),IF(ISNUMBER(I80),LOOKUP(I80,T!$P$6:$P$29,T!$Q$6:$Q$29),0))))</f>
        <v>0.72699999999999998</v>
      </c>
      <c r="J88" s="156">
        <f>IF(J$25=0,"",IF(ISNUMBER(J83),LOOKUP(J83,T!$P$6:$P$29,T!$Q$6:$Q$29),IF(ISNUMBER(J79),LOOKUP(J79,T!$P$6:$P$29,T!$Q$6:$Q$29),IF(ISNUMBER(J80),LOOKUP(J80,T!$P$6:$P$29,T!$Q$6:$Q$29),0))))</f>
        <v>4.6100000000000003</v>
      </c>
      <c r="K88" s="156">
        <f>IF(K$25=0,"",IF(ISNUMBER(K83),LOOKUP(K83,T!$P$6:$P$29,T!$Q$6:$Q$29),IF(ISNUMBER(K79),LOOKUP(K79,T!$P$6:$P$29,T!$Q$6:$Q$29),IF(ISNUMBER(K80),LOOKUP(K80,T!$P$6:$P$29,T!$Q$6:$Q$29),0))))</f>
        <v>12.1</v>
      </c>
      <c r="L88" s="156">
        <f>IF(L$25=0,"",IF(ISNUMBER(L83),LOOKUP(L83,T!$P$6:$P$29,T!$Q$6:$Q$29),IF(ISNUMBER(L79),LOOKUP(L79,T!$P$6:$P$29,T!$Q$6:$Q$29),IF(ISNUMBER(L80),LOOKUP(L80,T!$P$6:$P$29,T!$Q$6:$Q$29),0))))</f>
        <v>12.1</v>
      </c>
      <c r="M88" s="156" t="str">
        <f>IF(M$25=0,"",IF(ISNUMBER(M83),LOOKUP(M83,T!$P$6:$P$29,T!$Q$6:$Q$29),IF(ISNUMBER(M79),LOOKUP(M79,T!$P$6:$P$29,T!$Q$6:$Q$29),IF(ISNUMBER(M80),LOOKUP(M80,T!$P$6:$P$29,T!$Q$6:$Q$29),0))))</f>
        <v/>
      </c>
      <c r="N88" s="156">
        <f>IF(N$25=0,"",IF(ISNUMBER(N83),LOOKUP(N83,T!$P$6:$P$29,T!$Q$6:$Q$29),IF(ISNUMBER(N79),LOOKUP(N79,T!$P$6:$P$29,T!$Q$6:$Q$29),IF(ISNUMBER(N80),LOOKUP(N80,T!$P$6:$P$29,T!$Q$6:$Q$29),0))))</f>
        <v>0.153</v>
      </c>
      <c r="O88" s="128" t="str">
        <f>IF(N88&lt;&gt;"","Ω","")</f>
        <v>Ω</v>
      </c>
    </row>
    <row r="89" spans="1:15" s="168" customFormat="1" ht="19">
      <c r="A89" s="152"/>
      <c r="B89" s="181" t="s">
        <v>2118</v>
      </c>
      <c r="C89" s="158"/>
      <c r="D89" s="158">
        <f>IF(D$25=0,"",IF(ISNUMBER(D85),LOOKUP(D85,T!$P$6:$P$28,T!$Q$6:$Q$28),0))</f>
        <v>4.6100000000000003</v>
      </c>
      <c r="E89" s="158">
        <f ca="1">IF(E$25=0,"",IF(ISNUMBER(E85),LOOKUP(E85,T!$P$6:$P$28,T!$Q$6:$Q$28),0))</f>
        <v>4.6100000000000003</v>
      </c>
      <c r="F89" s="158">
        <f ca="1">IF(F$25=0,"",IF(ISNUMBER(F85),LOOKUP(F85,T!$P$6:$P$28,T!$Q$6:$Q$28),0))</f>
        <v>4.6100000000000003</v>
      </c>
      <c r="G89" s="158">
        <f ca="1">IF(G$25=0,"",IF(ISNUMBER(G85),LOOKUP(G85,T!$P$6:$P$28,T!$Q$6:$Q$28),0))</f>
        <v>4.6100000000000003</v>
      </c>
      <c r="H89" s="158">
        <f ca="1">IF(H$25=0,"",IF(ISNUMBER(H85),LOOKUP(H85,T!$P$6:$P$28,T!$Q$6:$Q$28),0))</f>
        <v>4.6100000000000003</v>
      </c>
      <c r="I89" s="158">
        <f>IF(I$25=0,"",IF(ISNUMBER(I85),LOOKUP(I85,T!$P$6:$P$28,T!$Q$6:$Q$28),0))</f>
        <v>1.1499999999999999</v>
      </c>
      <c r="J89" s="158">
        <f>IF(J$25=0,"",IF(ISNUMBER(J85),LOOKUP(J85,T!$P$6:$P$28,T!$Q$6:$Q$28),0))</f>
        <v>4.6100000000000003</v>
      </c>
      <c r="K89" s="158">
        <f>IF(K$25=0,"",IF(ISNUMBER(K85),LOOKUP(K85,T!$P$6:$P$28,T!$Q$6:$Q$28),0))</f>
        <v>12.1</v>
      </c>
      <c r="L89" s="158">
        <f>IF(L$25=0,"",IF(ISNUMBER(L85),LOOKUP(L85,T!$P$6:$P$28,T!$Q$6:$Q$28),0))</f>
        <v>12.1</v>
      </c>
      <c r="M89" s="158" t="str">
        <f>IF(M$25=0,"",IF(ISNUMBER(M85),LOOKUP(M85,T!$P$6:$P$28,T!$Q$6:$Q$28),0))</f>
        <v/>
      </c>
      <c r="N89" s="158">
        <f>IF(N$25=0,"",IF(ISNUMBER(N85),LOOKUP(N85,T!$P$6:$P$28,T!$Q$6:$Q$28),0))</f>
        <v>0.26800000000000002</v>
      </c>
      <c r="O89" s="143" t="str">
        <f>IF(N89&lt;&gt;"","Ω","")</f>
        <v>Ω</v>
      </c>
    </row>
    <row r="90" spans="1:15" s="168" customFormat="1" ht="19">
      <c r="A90" s="152"/>
      <c r="B90" s="181" t="s">
        <v>2119</v>
      </c>
      <c r="C90" s="158"/>
      <c r="D90" s="158">
        <f>IF(D$25=0,"",IF(D71="TT",21,IF(D71="TNS",0.8,IF(D71="TNCS",0.35))))</f>
        <v>0.35</v>
      </c>
      <c r="E90" s="158">
        <f>IF(E$25=0,"",IF(E71="TT",21,IF(E71="TNS",0.8,IF(E71="TNCS",0.35))))</f>
        <v>0.35</v>
      </c>
      <c r="F90" s="158">
        <f t="shared" ref="F90:N90" si="20">IF(F$25=0,"",IF(F71="TT",21,IF(F71="TNS",0.8,IF(F71="TNCS",0.35))))</f>
        <v>0.35</v>
      </c>
      <c r="G90" s="158">
        <f t="shared" si="20"/>
        <v>0.35</v>
      </c>
      <c r="H90" s="158">
        <f>IF(H$25=0,"",IF(H71="TT",21,IF(H71="TNS",0.8,IF(H71="TNCS",0.35))))</f>
        <v>0.35</v>
      </c>
      <c r="I90" s="158">
        <f t="shared" si="20"/>
        <v>0.35</v>
      </c>
      <c r="J90" s="158">
        <f t="shared" si="20"/>
        <v>0.35</v>
      </c>
      <c r="K90" s="158">
        <f>IF(K$25=0,"",IF(K71="TT",21,IF(K71="TNS",0.8,IF(K71="TNCS",0.35))))</f>
        <v>0.35</v>
      </c>
      <c r="L90" s="158">
        <f>IF(L$25=0,"",IF(L71="TT",21,IF(L71="TNS",0.8,IF(L71="TNCS",0.35))))</f>
        <v>0.35</v>
      </c>
      <c r="M90" s="158" t="str">
        <f t="shared" si="20"/>
        <v/>
      </c>
      <c r="N90" s="158">
        <f t="shared" si="20"/>
        <v>0.35</v>
      </c>
      <c r="O90" s="143" t="str">
        <f>IF(N90&lt;&gt;"","Ω","")</f>
        <v>Ω</v>
      </c>
    </row>
    <row r="91" spans="1:15" s="168" customFormat="1" ht="19">
      <c r="A91" s="152"/>
      <c r="B91" s="181" t="s">
        <v>2120</v>
      </c>
      <c r="C91" s="158"/>
      <c r="D91" s="158">
        <f t="shared" ref="D91:J91" si="21">IF(D25&lt;&gt;0,(D88+D89)*D69,0)</f>
        <v>92.2</v>
      </c>
      <c r="E91" s="158">
        <f t="shared" ca="1" si="21"/>
        <v>184.4</v>
      </c>
      <c r="F91" s="158">
        <f t="shared" ca="1" si="21"/>
        <v>184.4</v>
      </c>
      <c r="G91" s="158">
        <f t="shared" ca="1" si="21"/>
        <v>184.4</v>
      </c>
      <c r="H91" s="158">
        <f ca="1">IF(H25&lt;&gt;0,(H88+H89)*H69,0)</f>
        <v>184.4</v>
      </c>
      <c r="I91" s="158">
        <f t="shared" si="21"/>
        <v>93.85</v>
      </c>
      <c r="J91" s="158">
        <f t="shared" si="21"/>
        <v>461.00000000000006</v>
      </c>
      <c r="K91" s="158">
        <f>IF(K25&lt;&gt;0,(K88+K89)*K69,0)</f>
        <v>484</v>
      </c>
      <c r="L91" s="158">
        <f>IF(L25&lt;&gt;0,(L88+L89)*L69,0)</f>
        <v>484</v>
      </c>
      <c r="M91" s="158">
        <f>IF(M25&lt;&gt;0,(M88+M89)*M69,0)</f>
        <v>0</v>
      </c>
      <c r="N91" s="158">
        <f>IF(N25&lt;&gt;0,(N88+N89)*N69,0)</f>
        <v>21.05</v>
      </c>
      <c r="O91" s="143" t="str">
        <f>IF(N91&gt;0,"Ω","")</f>
        <v>Ω</v>
      </c>
    </row>
    <row r="92" spans="1:15" s="168" customFormat="1" ht="19">
      <c r="A92" s="136"/>
      <c r="B92" s="170" t="s">
        <v>2121</v>
      </c>
      <c r="C92" s="159"/>
      <c r="D92" s="159">
        <f t="shared" ref="D92:J92" si="22">IF(D25&lt;&gt;0,((D90+D91)*1.2)/1000,0)</f>
        <v>0.11105999999999999</v>
      </c>
      <c r="E92" s="159">
        <f t="shared" ca="1" si="22"/>
        <v>0.22169999999999998</v>
      </c>
      <c r="F92" s="159">
        <f t="shared" ca="1" si="22"/>
        <v>0.22169999999999998</v>
      </c>
      <c r="G92" s="159">
        <f t="shared" ca="1" si="22"/>
        <v>0.22169999999999998</v>
      </c>
      <c r="H92" s="159">
        <f ca="1">IF(H25&lt;&gt;0,((H90+H91)*1.2)/1000,0)</f>
        <v>0.22169999999999998</v>
      </c>
      <c r="I92" s="159">
        <f t="shared" si="22"/>
        <v>0.11303999999999997</v>
      </c>
      <c r="J92" s="159">
        <f t="shared" si="22"/>
        <v>0.55362000000000011</v>
      </c>
      <c r="K92" s="159">
        <f>IF(K25&lt;&gt;0,((K90+K91)*1.2)/1000,0)</f>
        <v>0.58122000000000007</v>
      </c>
      <c r="L92" s="159">
        <f>IF(L25&lt;&gt;0,((L90+L91)*1.2)/1000,0)</f>
        <v>0.58122000000000007</v>
      </c>
      <c r="M92" s="159">
        <f>IF(M25&lt;&gt;0,((M90+M91)*1.2)/1000,0)</f>
        <v>0</v>
      </c>
      <c r="N92" s="159">
        <f>IF(N25&lt;&gt;0,((N90+N91)*1.2)/1000,0)</f>
        <v>2.5680000000000005E-2</v>
      </c>
      <c r="O92" s="135" t="str">
        <f>IF(N92&gt;0,"Ω","")</f>
        <v>Ω</v>
      </c>
    </row>
    <row r="93" spans="1:15" s="168" customFormat="1" ht="16">
      <c r="A93" s="123"/>
      <c r="B93" s="171"/>
    </row>
    <row r="94" spans="1:15" s="168" customFormat="1" ht="17">
      <c r="A94" s="187" t="s">
        <v>2122</v>
      </c>
      <c r="B94" s="394" t="s">
        <v>2487</v>
      </c>
      <c r="C94" s="391" t="s">
        <v>2123</v>
      </c>
      <c r="D94" s="156">
        <f>IF(D29="","",IF(OR(COUNT(D19:D21)=3,COUNT(D19:D21)=1),(IF(D29="",0,IF(ISNUMBER(SEARCH("4D",D51)),IF(AND(D51="4D1",OR(D53=2,D53=4,D53=6,D53=8,D53=11),D55="DC"),LOOKUP(D78,T!$AC6:$AC27,T!$U6:$U27),IF(AND(D51="4D1",OR(D53=2,D53=4),D55="AC"),LOOKUP(D78,T!$AC6:$AC27,T!$V6:$V27),IF(AND(D51="4D1",OR(D53=6,D53=8),D55="AC"),LOOKUP(D78,T!$AC6:$AC27,T!$W6:$W27),IF(AND(D51="4D1",OR(D53=11,D53=12),D55="AC",D57=1),LOOKUP(D78,T!$AC6:$AC27,T!$X6:$X27),IF(AND(D51="4D1",OR(D53=3,D53=5),D55="AC"),LOOKUP(D78,T!$AC6:$AC27,T!$Y6:$Y27),IF(AND(D51="4D1",OR(D53=7,D53=10),D55="AC"),LOOKUP(D78,T!$AC6:$AC27,T!$Z6:$Z27),IF(AND(D51="4D1",D53=9,D55="AC"),LOOKUP(D78,T!$AC6:$AC27,T!$AA6:$AA27),IF(AND(D51="4D1",OR(D53=11,D53=12),D55="AC",D57=3),LOOKUP(D78,T!$AC13:$AC27,T!$AB13:$AB27),IF(AND(D51="4D2",OR(D53=2,D53=4,D53=6,D53=8),D55="DC"),LOOKUP(D78,T!$X33:$X50,T!$U33:$U50),IF(AND(D51="4D2",OR(D53=2,D53=4,D53=6,D53=8),D55="AC"),LOOKUP(D78,T!$X33:$X50,T!$V33:$V50),IF(AND(D51="4D2",OR(D53=3,D53=5,D53=7,D53=9),D55="AC"),LOOKUP(D78,T!$X33:$X50,T!$W33:$W50),IF(AND(D51="4D3",OR(D53=2,D53=4,D53=7,D53=8),D55="DC"),LOOKUP(D78,T!$AA56:$AA68,T!$U56:$U68),IF(AND(D51="4D3",OR(D53=2,D53=4),D55="AC"),LOOKUP(D78,T!$AA56:$AA68,T!$V56:$V68),IF(AND(D51="4D3",OR(D53=9,D53=10),D55="AC"),LOOKUP(D78,T!$AA56:$AA$68,T!$W56:$W68),IF(AND(D51="4D3",D53=6,D55="AC"),LOOKUP(D78,T!$AA56:$AA68,T!$X56:$X68),IF(AND(D51="4D3",OR(D53=3,D53=5),D55="AC"),LOOKUP(D78,T!$AA56:$AA68,T!$Y56:$Y68),IF(AND(D51="4D3",OR(D53=11,D53=12),D55="AC"),LOOKUP(D78,T!$AA56:$AA68,T!$Z56:$Z68),IF(AND(D51="4D4",OR(D53=2,D53=4,D53=6),D55="DC"),LOOKUP(D78,T!$X74:$X90,T!$U74:$U90),IF(AND(D51="4D4",OR(D53=2,D53=4,D53=6),D55="AC"),LOOKUP(D78,T!$X74:$X90,T!$V74:$V90),IF(AND(D51="4D4",OR(D53=3,D53=5,D53=7),D55="AC"),LOOKUP(D78,T!$X74:$X90,T!$W74:$W90),IF(AND(D51="4D5",AND(D53&gt;=2,D53&lt;=7)),LOOKUP(D78,T!$I96:$I102,T!$H96:$H102),0))))))))))))))))))))),IF(ISNUMBER(SEARCH("4E",D51)),IF(AND(D51="4E1",OR(D53=2,D53=4,D53=6,D53=8,D53=11),D55="DC"),LOOKUP(D78,T!$AC108:$AC129,T!$U108:$U129),IF(AND(D51="4E1",OR(D53=2,D53=4),D55="AC"),LOOKUP(D78,T!$AC108:$AC129,T!$V108:$V129),IF(AND(D51="4E1",OR(D53=6,D53=8),D55="AC"),LOOKUP(D78,T!$AC108:$AC129,T!$W108:$W129),IF(AND(D51="4E1",OR(D53=11,D53=12),D55="AC",D57=1),LOOKUP(D78,T!$AC108:$AC127,T!$X108:$X129),IF(AND(D51="4E1",OR(D53=3,D53=5),D55="AC"),LOOKUP(D78,T!$AC108:$AC129,T!$Y108:$Y129),IF(AND(D51="4E1",OR(D53=7,D53=10),D55="AC"),LOOKUP(D78,T!$AC108:$AC129,T!$Z108:$Z129),IF(AND(D51="4E1",D53=9,D55="AC"),LOOKUP(D78,T!$AC115:$AC129,T!$AA115:$AA129),IF(AND(D51="4E1",OR(D53=11,D53=12),D55="AC",D57=3),LOOKUP(D78,T!$AC115:$AC129,T!$AB115:$AB129),IF(AND(D51="4E2",OR(D53=2,D53=4,D53=6,D53=8),D55="DC"),LOOKUP(D78,T!$X134:$X152,T!$U134:$U152),IF(AND(D51="4E2",OR(D53=2,D53=4,D53=6,D53=8),D55="AC"),LOOKUP(D78,T!$X134:$X152,T!$V134:$V152),IF(AND(D51="4E2",OR(D53=3,D53=5,D53=7,D53=9),D55="AC"),LOOKUP(D78,T!$X134:$X152,T!$W134:$W152),IF(AND(D51="4E3",OR(D53=2,D53=4,D53=7,D53=8),D55="DC"),LOOKUP(D78,T!$AA158:$AA170,T!$U158:$U170),IF(AND(D51="4E3",OR(D53=2,D53=4),D55="AC"),LOOKUP(D78,T!$AA158:$AA170,T!$V158:$V170),IF(AND(D51="4E3",OR(D53=9,D53=10),D55="AC"),LOOKUP(D78,T!$AA158:$AA170,T!$W158:$W170),IF(AND(D51="4E3",D53=6,D55="AC"),LOOKUP(D78,T!$AA158:$AA170,T!$X158:$X170),IF(AND(D51="4E3",OR(D53=3,D53=5),D55="AC"),LOOKUP(D78,T!$AA158:$AA170,T!$Y158:$Y170),IF(AND(D51="4E3",OR(D53=11,D53=12),D55="AC"),LOOKUP(D78,T!$AA158:$AA170,T!$Z158:$Z170),IF(AND(D51="4E4",OR(D53=2,D53=4,D53=6),D55="DC"),LOOKUP(D78,T!$X176:$X192,T!$U176:$U192),IF(AND(D51="4E4",OR(D53=2,D53=4,D53=6),D55="AC"),LOOKUP(D78,T!$X176:$X192,T!$V176:$V192),IF(AND(D51="4E4",OR(D53=3,D53=5,D53=7),D55="AC"),LOOKUP(D78,T!$X176:$X192,T!$W176:$W192),0)))))))))))))))))))),IF(ISNUMBER(SEARCH("4F",D51)),IF(AND(D51="4F1",D53=2,D55="DC"),LOOKUP(D78,T!$Z198:$Z214,T!$U198:$U214),IF(AND(D51="4F1",D53=2,D55="AC"),LOOKUP(D78,T!$Z198:$Z214,T!$V198:$V214),IF(AND(D51="4F1",D53=3,D55="AC"),LOOKUP(D78,T!$Z198:$Z214,T!$W198:$W214),IF(AND(D51="4F1",D53=4,D55="DC"),LOOKUP(D78,T!$Z198:$Z214,T!$X198:$X214),IF(AND(D51="4F1",D53=4,D55="AC"),LOOKUP(D78,T!$Z198:$Z214,T!$Y198:$Y214),IF(AND(D51="4F2",D53=2,D55="DC"),LOOKUP(D78,T!$Y220:$Y236,T!$U220:$U236),IF(AND(D51="4F2",D53=2,D55="AC"),LOOKUP(D78,T!$Y220:$Y236,T!$V220:$V236),IF(AND(D51="4F2",D53=3,D55="AC"),LOOKUP(D78,T!$Y220:$Y236,T!$W220:$W236),IF(AND(D51="4F2",D53=4,D55="DC"),LOOKUP(D78,T!$Y220:$Y236,T!$X220:$X236),IF(AND(D51="4F3",D53=2),LOOKUP(D78,T!$W242:$W248,T!$U242:$U248),IF(AND(D51="4F3",D53=3,D55="AC"),LOOKUP(D78,T!$W242:$W248,T!$V242:$V248),0))))))))))),IF(ISNUMBER(SEARCH("4G",D51)),IF(AND(D51="4G1",OR(D53=2,D53=5)),LOOKUP(D79,T!$AA254:$AA269,T!$U254:$U269),IF(AND(D51="4G1",OR(D53=3,D53=6)),LOOKUP(D79,T!$AA254:$AA269,T!$X254:$X269),IF(AND(D51="4G1",OR(D53=4,D53=7)),LOOKUP(D79,T!$AA254:$AA269,T!$Y254:$Y269),IF(AND(D51="4G1",OR(D53=8,D53=9)),LOOKUP(D79,T!$AA254:$AA269,T!$Z254:$Z269),IF(AND(D51="4G2",OR(D53=2,D53=5)),LOOKUP(D79,T!$AA281:$AA296,T!$U281:$U296),IF(AND(D51="4G2",OR(D53=3,D53=6)),LOOKUP(D79,T!$AA281:$AA296,T!$X281:$X296),IF(AND(D51="4G2",OR(D53=4,D53=7)),LOOKUP(D79,T!$AA281:$AA296,T!$Y281:$Y296),IF(AND(D51="4G2",OR(D53=8,D53=9)),LOOKUP(D79,T!$AA281:$AA296,T!$Z281:$Z296),0)))))))),0)))))*D23*D69)/1000))</f>
        <v>2.8645833333333339</v>
      </c>
      <c r="E94" s="156">
        <f ca="1">IF(E29="","",IF(OR(COUNT(E19:E21)=3,COUNT(E19:E21)=1),(IF(E29="",0,IF(ISNUMBER(SEARCH("4D",E51)),IF(AND(E51="4D1",OR(E53=2,E53=4,E53=6,E53=8,E53=11),E55="DC"),LOOKUP(E78,T!$AC6:$AC27,T!$U6:$U27),IF(AND(E51="4D1",OR(E53=2,E53=4),E55="AC"),LOOKUP(E78,T!$AC6:$AC27,T!$V6:$V27),IF(AND(E51="4D1",OR(E53=6,E53=8),E55="AC"),LOOKUP(E78,T!$AC6:$AC27,T!$W6:$W27),IF(AND(E51="4D1",OR(E53=11,E53=12),E55="AC",E57=1),LOOKUP(E78,T!$AC6:$AC27,T!$X6:$X27),IF(AND(E51="4D1",OR(E53=3,E53=5),E55="AC"),LOOKUP(E78,T!$AC6:$AC27,T!$Y6:$Y27),IF(AND(E51="4D1",OR(E53=7,E53=10),E55="AC"),LOOKUP(E78,T!$AC6:$AC27,T!$Z6:$Z27),IF(AND(E51="4D1",E53=9,E55="AC"),LOOKUP(E78,T!$AC6:$AC27,T!$AA6:$AA27),IF(AND(E51="4D1",OR(E53=11,E53=12),E55="AC",E57=3),LOOKUP(E78,T!$AC13:$AC27,T!$AB13:$AB27),IF(AND(E51="4D2",OR(E53=2,E53=4,E53=6,E53=8),E55="DC"),LOOKUP(E78,T!$X33:$X50,T!$U33:$U50),IF(AND(E51="4D2",OR(E53=2,E53=4,E53=6,E53=8),E55="AC"),LOOKUP(E78,T!$X33:$X50,T!$V33:$V50),IF(AND(E51="4D2",OR(E53=3,E53=5,E53=7,E53=9),E55="AC"),LOOKUP(E78,T!$X33:$X50,T!$W33:$W50),IF(AND(E51="4D3",OR(E53=2,E53=4,E53=7,E53=8),E55="DC"),LOOKUP(E78,T!$AA56:$AA68,T!$U56:$U68),IF(AND(E51="4D3",OR(E53=2,E53=4),E55="AC"),LOOKUP(E78,T!$AA56:$AA68,T!$V56:$V68),IF(AND(E51="4D3",OR(E53=9,E53=10),E55="AC"),LOOKUP(E78,T!$AA56:$AA$68,T!$W56:$W68),IF(AND(E51="4D3",E53=6,E55="AC"),LOOKUP(E78,T!$AA56:$AA68,T!$X56:$X68),IF(AND(E51="4D3",OR(E53=3,E53=5),E55="AC"),LOOKUP(E78,T!$AA56:$AA68,T!$Y56:$Y68),IF(AND(E51="4D3",OR(E53=11,E53=12),E55="AC"),LOOKUP(E78,T!$AA56:$AA68,T!$Z56:$Z68),IF(AND(E51="4D4",OR(E53=2,E53=4,E53=6),E55="DC"),LOOKUP(E78,T!$X74:$X90,T!$U74:$U90),IF(AND(E51="4D4",OR(E53=2,E53=4,E53=6),E55="AC"),LOOKUP(E78,T!$X74:$X90,T!$V74:$V90),IF(AND(E51="4D4",OR(E53=3,E53=5,E53=7),E55="AC"),LOOKUP(E78,T!$X74:$X90,T!$W74:$W90),IF(AND(E51="4D5",AND(E53&gt;=2,E53&lt;=7)),LOOKUP(E78,T!$I96:$I102,T!$H96:$H102),0))))))))))))))))))))),IF(ISNUMBER(SEARCH("4E",E51)),IF(AND(E51="4E1",OR(E53=2,E53=4,E53=6,E53=8,E53=11),E55="DC"),LOOKUP(E78,T!$AC108:$AC129,T!$U108:$U129),IF(AND(E51="4E1",OR(E53=2,E53=4),E55="AC"),LOOKUP(E78,T!$AC108:$AC129,T!$V108:$V129),IF(AND(E51="4E1",OR(E53=6,E53=8),E55="AC"),LOOKUP(E78,T!$AC108:$AC129,T!$W108:$W129),IF(AND(E51="4E1",OR(E53=11,E53=12),E55="AC",E57=1),LOOKUP(E78,T!$AC108:$AC127,T!$X108:$X129),IF(AND(E51="4E1",OR(E53=3,E53=5),E55="AC"),LOOKUP(E78,T!$AC108:$AC129,T!$Y108:$Y129),IF(AND(E51="4E1",OR(E53=7,E53=10),E55="AC"),LOOKUP(E78,T!$AC108:$AC129,T!$Z108:$Z129),IF(AND(E51="4E1",E53=9,E55="AC"),LOOKUP(E78,T!$AC115:$AC129,T!$AA115:$AA129),IF(AND(E51="4E1",OR(E53=11,E53=12),E55="AC",E57=3),LOOKUP(E78,T!$AC115:$AC129,T!$AB115:$AB129),IF(AND(E51="4E2",OR(E53=2,E53=4,E53=6,E53=8),E55="DC"),LOOKUP(E78,T!$X134:$X152,T!$U134:$U152),IF(AND(E51="4E2",OR(E53=2,E53=4,E53=6,E53=8),E55="AC"),LOOKUP(E78,T!$X134:$X152,T!$V134:$V152),IF(AND(E51="4E2",OR(E53=3,E53=5,E53=7,E53=9),E55="AC"),LOOKUP(E78,T!$X134:$X152,T!$W134:$W152),IF(AND(E51="4E3",OR(E53=2,E53=4,E53=7,E53=8),E55="DC"),LOOKUP(E78,T!$AA158:$AA170,T!$U158:$U170),IF(AND(E51="4E3",OR(E53=2,E53=4),E55="AC"),LOOKUP(E78,T!$AA158:$AA170,T!$V158:$V170),IF(AND(E51="4E3",OR(E53=9,E53=10),E55="AC"),LOOKUP(E78,T!$AA158:$AA170,T!$W158:$W170),IF(AND(E51="4E3",E53=6,E55="AC"),LOOKUP(E78,T!$AA158:$AA170,T!$X158:$X170),IF(AND(E51="4E3",OR(E53=3,E53=5),E55="AC"),LOOKUP(E78,T!$AA158:$AA170,T!$Y158:$Y170),IF(AND(E51="4E3",OR(E53=11,E53=12),E55="AC"),LOOKUP(E78,T!$AA158:$AA170,T!$Z158:$Z170),IF(AND(E51="4E4",OR(E53=2,E53=4,E53=6),E55="DC"),LOOKUP(E78,T!$X176:$X192,T!$U176:$U192),IF(AND(E51="4E4",OR(E53=2,E53=4,E53=6),E55="AC"),LOOKUP(E78,T!$X176:$X192,T!$V176:$V192),IF(AND(E51="4E4",OR(E53=3,E53=5,E53=7),E55="AC"),LOOKUP(E78,T!$X176:$X192,T!$W176:$W192),0)))))))))))))))))))),IF(ISNUMBER(SEARCH("4F",E51)),IF(AND(E51="4F1",E53=2,E55="DC"),LOOKUP(E78,T!$Z198:$Z214,T!$U198:$U214),IF(AND(E51="4F1",E53=2,E55="AC"),LOOKUP(E78,T!$Z198:$Z214,T!$V198:$V214),IF(AND(E51="4F1",E53=3,E55="AC"),LOOKUP(E78,T!$Z198:$Z214,T!$W198:$W214),IF(AND(E51="4F1",E53=4,E55="DC"),LOOKUP(E78,T!$Z198:$Z214,T!$X198:$X214),IF(AND(E51="4F1",E53=4,E55="AC"),LOOKUP(E78,T!$Z198:$Z214,T!$Y198:$Y214),IF(AND(E51="4F2",E53=2,E55="DC"),LOOKUP(E78,T!$Y220:$Y236,T!$U220:$U236),IF(AND(E51="4F2",E53=2,E55="AC"),LOOKUP(E78,T!$Y220:$Y236,T!$V220:$V236),IF(AND(E51="4F2",E53=3,E55="AC"),LOOKUP(E78,T!$Y220:$Y236,T!$W220:$W236),IF(AND(E51="4F2",E53=4,E55="DC"),LOOKUP(E78,T!$Y220:$Y236,T!$X220:$X236),IF(AND(E51="4F3",E53=2),LOOKUP(E78,T!$W242:$W248,T!$U242:$U248),IF(AND(E51="4F3",E53=3,E55="AC"),LOOKUP(E78,T!$W242:$W248,T!$V242:$V248),0))))))))))),IF(ISNUMBER(SEARCH("4G",E51)),IF(AND(E51="4G1",OR(E53=2,E53=5)),LOOKUP(E79,T!$AA254:$AA269,T!$U254:$U269),IF(AND(E51="4G1",OR(E53=3,E53=6)),LOOKUP(E79,T!$AA254:$AA269,T!$X254:$X269),IF(AND(E51="4G1",OR(E53=4,E53=7)),LOOKUP(E79,T!$AA254:$AA269,T!$Y254:$Y269),IF(AND(E51="4G1",OR(E53=8,E53=9)),LOOKUP(E79,T!$AA254:$AA269,T!$Z254:$Z269),IF(AND(E51="4G2",OR(E53=2,E53=5)),LOOKUP(E79,T!$AA281:$AA296,T!$U281:$U296),IF(AND(E51="4G2",OR(E53=3,E53=6)),LOOKUP(E79,T!$AA281:$AA296,T!$X281:$X296),IF(AND(E51="4G2",OR(E53=4,E53=7)),LOOKUP(E79,T!$AA281:$AA296,T!$Y281:$Y296),IF(AND(E51="4G2",OR(E53=8,E53=9)),LOOKUP(E79,T!$AA281:$AA296,T!$Z281:$Z296),0)))))))),0)))))*E23*E69)/1000))</f>
        <v>6.2963999999999993</v>
      </c>
      <c r="F94" s="156">
        <f ca="1">IF(F29="","",IF(OR(COUNT(F19:F21)=3,COUNT(F19:F21)=1),(IF(F29="",0,IF(ISNUMBER(SEARCH("4D",F51)),IF(AND(F51="4D1",OR(F53=2,F53=4,F53=6,F53=8,F53=11),F55="DC"),LOOKUP(F78,T!$AC6:$AC27,T!$U6:$U27),IF(AND(F51="4D1",OR(F53=2,F53=4),F55="AC"),LOOKUP(F78,T!$AC6:$AC27,T!$V6:$V27),IF(AND(F51="4D1",OR(F53=6,F53=8),F55="AC"),LOOKUP(F78,T!$AC6:$AC27,T!$W6:$W27),IF(AND(F51="4D1",OR(F53=11,F53=12),F55="AC",F57=1),LOOKUP(F78,T!$AC6:$AC27,T!$X6:$X27),IF(AND(F51="4D1",OR(F53=3,F53=5),F55="AC"),LOOKUP(F78,T!$AC6:$AC27,T!$Y6:$Y27),IF(AND(F51="4D1",OR(F53=7,F53=10),F55="AC"),LOOKUP(F78,T!$AC6:$AC27,T!$Z6:$Z27),IF(AND(F51="4D1",F53=9,F55="AC"),LOOKUP(F78,T!$AC6:$AC27,T!$AA6:$AA27),IF(AND(F51="4D1",OR(F53=11,F53=12),F55="AC",F57=3),LOOKUP(F78,T!$AC13:$AC27,T!$AB13:$AB27),IF(AND(F51="4D2",OR(F53=2,F53=4,F53=6,F53=8),F55="DC"),LOOKUP(F78,T!$X33:$X50,T!$U33:$U50),IF(AND(F51="4D2",OR(F53=2,F53=4,F53=6,F53=8),F55="AC"),LOOKUP(F78,T!$X33:$X50,T!$V33:$V50),IF(AND(F51="4D2",OR(F53=3,F53=5,F53=7,F53=9),F55="AC"),LOOKUP(F78,T!$X33:$X50,T!$W33:$W50),IF(AND(F51="4D3",OR(F53=2,F53=4,F53=7,F53=8),F55="DC"),LOOKUP(F78,T!$AA56:$AA68,T!$U56:$U68),IF(AND(F51="4D3",OR(F53=2,F53=4),F55="AC"),LOOKUP(F78,T!$AA56:$AA68,T!$V56:$V68),IF(AND(F51="4D3",OR(F53=9,F53=10),F55="AC"),LOOKUP(F78,T!$AA56:$AA$68,T!$W56:$W68),IF(AND(F51="4D3",F53=6,F55="AC"),LOOKUP(F78,T!$AA56:$AA68,T!$X56:$X68),IF(AND(F51="4D3",OR(F53=3,F53=5),F55="AC"),LOOKUP(F78,T!$AA56:$AA68,T!$Y56:$Y68),IF(AND(F51="4D3",OR(F53=11,F53=12),F55="AC"),LOOKUP(F78,T!$AA56:$AA68,T!$Z56:$Z68),IF(AND(F51="4D4",OR(F53=2,F53=4,F53=6),F55="DC"),LOOKUP(F78,T!$X74:$X90,T!$U74:$U90),IF(AND(F51="4D4",OR(F53=2,F53=4,F53=6),F55="AC"),LOOKUP(F78,T!$X74:$X90,T!$V74:$V90),IF(AND(F51="4D4",OR(F53=3,F53=5,F53=7),F55="AC"),LOOKUP(F78,T!$X74:$X90,T!$W74:$W90),IF(AND(F51="4D5",AND(F53&gt;=2,F53&lt;=7)),LOOKUP(F78,T!$I96:$I102,T!$H96:$H102),0))))))))))))))))))))),IF(ISNUMBER(SEARCH("4E",F51)),IF(AND(F51="4E1",OR(F53=2,F53=4,F53=6,F53=8,F53=11),F55="DC"),LOOKUP(F78,T!$AC108:$AC129,T!$U108:$U129),IF(AND(F51="4E1",OR(F53=2,F53=4),F55="AC"),LOOKUP(F78,T!$AC108:$AC129,T!$V108:$V129),IF(AND(F51="4E1",OR(F53=6,F53=8),F55="AC"),LOOKUP(F78,T!$AC108:$AC129,T!$W108:$W129),IF(AND(F51="4E1",OR(F53=11,F53=12),F55="AC",F57=1),LOOKUP(F78,T!$AC108:$AC127,T!$X108:$X129),IF(AND(F51="4E1",OR(F53=3,F53=5),F55="AC"),LOOKUP(F78,T!$AC108:$AC129,T!$Y108:$Y129),IF(AND(F51="4E1",OR(F53=7,F53=10),F55="AC"),LOOKUP(F78,T!$AC108:$AC129,T!$Z108:$Z129),IF(AND(F51="4E1",F53=9,F55="AC"),LOOKUP(F78,T!$AC115:$AC129,T!$AA115:$AA129),IF(AND(F51="4E1",OR(F53=11,F53=12),F55="AC",F57=3),LOOKUP(F78,T!$AC115:$AC129,T!$AB115:$AB129),IF(AND(F51="4E2",OR(F53=2,F53=4,F53=6,F53=8),F55="DC"),LOOKUP(F78,T!$X134:$X152,T!$U134:$U152),IF(AND(F51="4E2",OR(F53=2,F53=4,F53=6,F53=8),F55="AC"),LOOKUP(F78,T!$X134:$X152,T!$V134:$V152),IF(AND(F51="4E2",OR(F53=3,F53=5,F53=7,F53=9),F55="AC"),LOOKUP(F78,T!$X134:$X152,T!$W134:$W152),IF(AND(F51="4E3",OR(F53=2,F53=4,F53=7,F53=8),F55="DC"),LOOKUP(F78,T!$AA158:$AA170,T!$U158:$U170),IF(AND(F51="4E3",OR(F53=2,F53=4),F55="AC"),LOOKUP(F78,T!$AA158:$AA170,T!$V158:$V170),IF(AND(F51="4E3",OR(F53=9,F53=10),F55="AC"),LOOKUP(F78,T!$AA158:$AA170,T!$W158:$W170),IF(AND(F51="4E3",F53=6,F55="AC"),LOOKUP(F78,T!$AA158:$AA170,T!$X158:$X170),IF(AND(F51="4E3",OR(F53=3,F53=5),F55="AC"),LOOKUP(F78,T!$AA158:$AA170,T!$Y158:$Y170),IF(AND(F51="4E3",OR(F53=11,F53=12),F55="AC"),LOOKUP(F78,T!$AA158:$AA170,T!$Z158:$Z170),IF(AND(F51="4E4",OR(F53=2,F53=4,F53=6),F55="DC"),LOOKUP(F78,T!$X176:$X192,T!$U176:$U192),IF(AND(F51="4E4",OR(F53=2,F53=4,F53=6),F55="AC"),LOOKUP(F78,T!$X176:$X192,T!$V176:$V192),IF(AND(F51="4E4",OR(F53=3,F53=5,F53=7),F55="AC"),LOOKUP(F78,T!$X176:$X192,T!$W176:$W192),0)))))))))))))))))))),IF(ISNUMBER(SEARCH("4F",F51)),IF(AND(F51="4F1",F53=2,F55="DC"),LOOKUP(F78,T!$Z198:$Z214,T!$U198:$U214),IF(AND(F51="4F1",F53=2,F55="AC"),LOOKUP(F78,T!$Z198:$Z214,T!$V198:$V214),IF(AND(F51="4F1",F53=3,F55="AC"),LOOKUP(F78,T!$Z198:$Z214,T!$W198:$W214),IF(AND(F51="4F1",F53=4,F55="DC"),LOOKUP(F78,T!$Z198:$Z214,T!$X198:$X214),IF(AND(F51="4F1",F53=4,F55="AC"),LOOKUP(F78,T!$Z198:$Z214,T!$Y198:$Y214),IF(AND(F51="4F2",F53=2,F55="DC"),LOOKUP(F78,T!$Y220:$Y236,T!$U220:$U236),IF(AND(F51="4F2",F53=2,F55="AC"),LOOKUP(F78,T!$Y220:$Y236,T!$V220:$V236),IF(AND(F51="4F2",F53=3,F55="AC"),LOOKUP(F78,T!$Y220:$Y236,T!$W220:$W236),IF(AND(F51="4F2",F53=4,F55="DC"),LOOKUP(F78,T!$Y220:$Y236,T!$X220:$X236),IF(AND(F51="4F3",F53=2),LOOKUP(F78,T!$W242:$W248,T!$U242:$U248),IF(AND(F51="4F3",F53=3,F55="AC"),LOOKUP(F78,T!$W242:$W248,T!$V242:$V248),0))))))))))),IF(ISNUMBER(SEARCH("4G",F51)),IF(AND(F51="4G1",OR(F53=2,F53=5)),LOOKUP(F79,T!$AA254:$AA269,T!$U254:$U269),IF(AND(F51="4G1",OR(F53=3,F53=6)),LOOKUP(F79,T!$AA254:$AA269,T!$X254:$X269),IF(AND(F51="4G1",OR(F53=4,F53=7)),LOOKUP(F79,T!$AA254:$AA269,T!$Y254:$Y269),IF(AND(F51="4G1",OR(F53=8,F53=9)),LOOKUP(F79,T!$AA254:$AA269,T!$Z254:$Z269),IF(AND(F51="4G2",OR(F53=2,F53=5)),LOOKUP(F79,T!$AA281:$AA296,T!$U281:$U296),IF(AND(F51="4G2",OR(F53=3,F53=6)),LOOKUP(F79,T!$AA281:$AA296,T!$X281:$X296),IF(AND(F51="4G2",OR(F53=4,F53=7)),LOOKUP(F79,T!$AA281:$AA296,T!$Y281:$Y296),IF(AND(F51="4G2",OR(F53=8,F53=9)),LOOKUP(F79,T!$AA281:$AA296,T!$Z281:$Z296),0)))))))),0)))))*F23*F69)/1000))</f>
        <v>6.2963999999999993</v>
      </c>
      <c r="G94" s="156">
        <f ca="1">IF(G29="","",IF(OR(COUNT(G19:G21)=3,COUNT(G19:G21)=1),(IF(G29="",0,IF(ISNUMBER(SEARCH("4D",G51)),IF(AND(G51="4D1",OR(G53=2,G53=4,G53=6,G53=8,G53=11),G55="DC"),LOOKUP(G78,T!$AC6:$AC27,T!$U6:$U27),IF(AND(G51="4D1",OR(G53=2,G53=4),G55="AC"),LOOKUP(G78,T!$AC6:$AC27,T!$V6:$V27),IF(AND(G51="4D1",OR(G53=6,G53=8),G55="AC"),LOOKUP(G78,T!$AC6:$AC27,T!$W6:$W27),IF(AND(G51="4D1",OR(G53=11,G53=12),G55="AC",G57=1),LOOKUP(G78,T!$AC6:$AC27,T!$X6:$X27),IF(AND(G51="4D1",OR(G53=3,G53=5),G55="AC"),LOOKUP(G78,T!$AC6:$AC27,T!$Y6:$Y27),IF(AND(G51="4D1",OR(G53=7,G53=10),G55="AC"),LOOKUP(G78,T!$AC6:$AC27,T!$Z6:$Z27),IF(AND(G51="4D1",G53=9,G55="AC"),LOOKUP(G78,T!$AC6:$AC27,T!$AA6:$AA27),IF(AND(G51="4D1",OR(G53=11,G53=12),G55="AC",G57=3),LOOKUP(G78,T!$AC13:$AC27,T!$AB13:$AB27),IF(AND(G51="4D2",OR(G53=2,G53=4,G53=6,G53=8),G55="DC"),LOOKUP(G78,T!$X33:$X50,T!$U33:$U50),IF(AND(G51="4D2",OR(G53=2,G53=4,G53=6,G53=8),G55="AC"),LOOKUP(G78,T!$X33:$X50,T!$V33:$V50),IF(AND(G51="4D2",OR(G53=3,G53=5,G53=7,G53=9),G55="AC"),LOOKUP(G78,T!$X33:$X50,T!$W33:$W50),IF(AND(G51="4D3",OR(G53=2,G53=4,G53=7,G53=8),G55="DC"),LOOKUP(G78,T!$AA56:$AA68,T!$U56:$U68),IF(AND(G51="4D3",OR(G53=2,G53=4),G55="AC"),LOOKUP(G78,T!$AA56:$AA68,T!$V56:$V68),IF(AND(G51="4D3",OR(G53=9,G53=10),G55="AC"),LOOKUP(G78,T!$AA56:$AA$68,T!$W56:$W68),IF(AND(G51="4D3",G53=6,G55="AC"),LOOKUP(G78,T!$AA56:$AA68,T!$X56:$X68),IF(AND(G51="4D3",OR(G53=3,G53=5),G55="AC"),LOOKUP(G78,T!$AA56:$AA68,T!$Y56:$Y68),IF(AND(G51="4D3",OR(G53=11,G53=12),G55="AC"),LOOKUP(G78,T!$AA56:$AA68,T!$Z56:$Z68),IF(AND(G51="4D4",OR(G53=2,G53=4,G53=6),G55="DC"),LOOKUP(G78,T!$X74:$X90,T!$U74:$U90),IF(AND(G51="4D4",OR(G53=2,G53=4,G53=6),G55="AC"),LOOKUP(G78,T!$X74:$X90,T!$V74:$V90),IF(AND(G51="4D4",OR(G53=3,G53=5,G53=7),G55="AC"),LOOKUP(G78,T!$X74:$X90,T!$W74:$W90),IF(AND(G51="4D5",AND(G53&gt;=2,G53&lt;=7)),LOOKUP(G78,T!$I96:$I102,T!$H96:$H102),0))))))))))))))))))))),IF(ISNUMBER(SEARCH("4E",G51)),IF(AND(G51="4E1",OR(G53=2,G53=4,G53=6,G53=8,G53=11),G55="DC"),LOOKUP(G78,T!$AC108:$AC129,T!$U108:$U129),IF(AND(G51="4E1",OR(G53=2,G53=4),G55="AC"),LOOKUP(G78,T!$AC108:$AC129,T!$V108:$V129),IF(AND(G51="4E1",OR(G53=6,G53=8),G55="AC"),LOOKUP(G78,T!$AC108:$AC129,T!$W108:$W129),IF(AND(G51="4E1",OR(G53=11,G53=12),G55="AC",G57=1),LOOKUP(G78,T!$AC108:$AC127,T!$X108:$X129),IF(AND(G51="4E1",OR(G53=3,G53=5),G55="AC"),LOOKUP(G78,T!$AC108:$AC129,T!$Y108:$Y129),IF(AND(G51="4E1",OR(G53=7,G53=10),G55="AC"),LOOKUP(G78,T!$AC108:$AC129,T!$Z108:$Z129),IF(AND(G51="4E1",G53=9,G55="AC"),LOOKUP(G78,T!$AC115:$AC129,T!$AA115:$AA129),IF(AND(G51="4E1",OR(G53=11,G53=12),G55="AC",G57=3),LOOKUP(G78,T!$AC115:$AC129,T!$AB115:$AB129),IF(AND(G51="4E2",OR(G53=2,G53=4,G53=6,G53=8),G55="DC"),LOOKUP(G78,T!$X134:$X152,T!$U134:$U152),IF(AND(G51="4E2",OR(G53=2,G53=4,G53=6,G53=8),G55="AC"),LOOKUP(G78,T!$X134:$X152,T!$V134:$V152),IF(AND(G51="4E2",OR(G53=3,G53=5,G53=7,G53=9),G55="AC"),LOOKUP(G78,T!$X134:$X152,T!$W134:$W152),IF(AND(G51="4E3",OR(G53=2,G53=4,G53=7,G53=8),G55="DC"),LOOKUP(G78,T!$AA158:$AA170,T!$U158:$U170),IF(AND(G51="4E3",OR(G53=2,G53=4),G55="AC"),LOOKUP(G78,T!$AA158:$AA170,T!$V158:$V170),IF(AND(G51="4E3",OR(G53=9,G53=10),G55="AC"),LOOKUP(G78,T!$AA158:$AA170,T!$W158:$W170),IF(AND(G51="4E3",G53=6,G55="AC"),LOOKUP(G78,T!$AA158:$AA170,T!$X158:$X170),IF(AND(G51="4E3",OR(G53=3,G53=5),G55="AC"),LOOKUP(G78,T!$AA158:$AA170,T!$Y158:$Y170),IF(AND(G51="4E3",OR(G53=11,G53=12),G55="AC"),LOOKUP(G78,T!$AA158:$AA170,T!$Z158:$Z170),IF(AND(G51="4E4",OR(G53=2,G53=4,G53=6),G55="DC"),LOOKUP(G78,T!$X176:$X192,T!$U176:$U192),IF(AND(G51="4E4",OR(G53=2,G53=4,G53=6),G55="AC"),LOOKUP(G78,T!$X176:$X192,T!$V176:$V192),IF(AND(G51="4E4",OR(G53=3,G53=5,G53=7),G55="AC"),LOOKUP(G78,T!$X176:$X192,T!$W176:$W192),0)))))))))))))))))))),IF(ISNUMBER(SEARCH("4F",G51)),IF(AND(G51="4F1",G53=2,G55="DC"),LOOKUP(G78,T!$Z198:$Z214,T!$U198:$U214),IF(AND(G51="4F1",G53=2,G55="AC"),LOOKUP(G78,T!$Z198:$Z214,T!$V198:$V214),IF(AND(G51="4F1",G53=3,G55="AC"),LOOKUP(G78,T!$Z198:$Z214,T!$W198:$W214),IF(AND(G51="4F1",G53=4,G55="DC"),LOOKUP(G78,T!$Z198:$Z214,T!$X198:$X214),IF(AND(G51="4F1",G53=4,G55="AC"),LOOKUP(G78,T!$Z198:$Z214,T!$Y198:$Y214),IF(AND(G51="4F2",G53=2,G55="DC"),LOOKUP(G78,T!$Y220:$Y236,T!$U220:$U236),IF(AND(G51="4F2",G53=2,G55="AC"),LOOKUP(G78,T!$Y220:$Y236,T!$V220:$V236),IF(AND(G51="4F2",G53=3,G55="AC"),LOOKUP(G78,T!$Y220:$Y236,T!$W220:$W236),IF(AND(G51="4F2",G53=4,G55="DC"),LOOKUP(G78,T!$Y220:$Y236,T!$X220:$X236),IF(AND(G51="4F3",G53=2),LOOKUP(G78,T!$W242:$W248,T!$U242:$U248),IF(AND(G51="4F3",G53=3,G55="AC"),LOOKUP(G78,T!$W242:$W248,T!$V242:$V248),0))))))))))),IF(ISNUMBER(SEARCH("4G",G51)),IF(AND(G51="4G1",OR(G53=2,G53=5)),LOOKUP(G79,T!$AA254:$AA269,T!$U254:$U269),IF(AND(G51="4G1",OR(G53=3,G53=6)),LOOKUP(G79,T!$AA254:$AA269,T!$X254:$X269),IF(AND(G51="4G1",OR(G53=4,G53=7)),LOOKUP(G79,T!$AA254:$AA269,T!$Y254:$Y269),IF(AND(G51="4G1",OR(G53=8,G53=9)),LOOKUP(G79,T!$AA254:$AA269,T!$Z254:$Z269),IF(AND(G51="4G2",OR(G53=2,G53=5)),LOOKUP(G79,T!$AA281:$AA296,T!$U281:$U296),IF(AND(G51="4G2",OR(G53=3,G53=6)),LOOKUP(G79,T!$AA281:$AA296,T!$X281:$X296),IF(AND(G51="4G2",OR(G53=4,G53=7)),LOOKUP(G79,T!$AA281:$AA296,T!$Y281:$Y296),IF(AND(G51="4G2",OR(G53=8,G53=9)),LOOKUP(G79,T!$AA281:$AA296,T!$Z281:$Z296),0)))))))),0)))))*G23*G69)/1000))</f>
        <v>6.2963999999999993</v>
      </c>
      <c r="H94" s="156">
        <f ca="1">IF(H29="","",IF(OR(COUNT(H19:H21)=3,COUNT(H19:H21)=1),(IF(H29="",0,IF(ISNUMBER(SEARCH("4D",H51)),IF(AND(H51="4D1",OR(H53=2,H53=4,H53=6,H53=8,H53=11),H55="DC"),LOOKUP(H78,T!$AC6:$AC27,T!$U6:$U27),IF(AND(H51="4D1",OR(H53=2,H53=4),H55="AC"),LOOKUP(H78,T!$AC6:$AC27,T!$V6:$V27),IF(AND(H51="4D1",OR(H53=6,H53=8),H55="AC"),LOOKUP(H78,T!$AC6:$AC27,T!$W6:$W27),IF(AND(H51="4D1",OR(H53=11,H53=12),H55="AC",H57=1),LOOKUP(H78,T!$AC6:$AC27,T!$X6:$X27),IF(AND(H51="4D1",OR(H53=3,H53=5),H55="AC"),LOOKUP(H78,T!$AC6:$AC27,T!$Y6:$Y27),IF(AND(H51="4D1",OR(H53=7,H53=10),H55="AC"),LOOKUP(H78,T!$AC6:$AC27,T!$Z6:$Z27),IF(AND(H51="4D1",H53=9,H55="AC"),LOOKUP(H78,T!$AC6:$AC27,T!$AA6:$AA27),IF(AND(H51="4D1",OR(H53=11,H53=12),H55="AC",H57=3),LOOKUP(H78,T!$AC13:$AC27,T!$AB13:$AB27),IF(AND(H51="4D2",OR(H53=2,H53=4,H53=6,H53=8),H55="DC"),LOOKUP(H78,T!$X33:$X50,T!$U33:$U50),IF(AND(H51="4D2",OR(H53=2,H53=4,H53=6,H53=8),H55="AC"),LOOKUP(H78,T!$X33:$X50,T!$V33:$V50),IF(AND(H51="4D2",OR(H53=3,H53=5,H53=7,H53=9),H55="AC"),LOOKUP(H78,T!$X33:$X50,T!$W33:$W50),IF(AND(H51="4D3",OR(H53=2,H53=4,H53=7,H53=8),H55="DC"),LOOKUP(H78,T!$AA56:$AA68,T!$U56:$U68),IF(AND(H51="4D3",OR(H53=2,H53=4),H55="AC"),LOOKUP(H78,T!$AA56:$AA68,T!$V56:$V68),IF(AND(H51="4D3",OR(H53=9,H53=10),H55="AC"),LOOKUP(H78,T!$AA56:$AA$68,T!$W56:$W68),IF(AND(H51="4D3",H53=6,H55="AC"),LOOKUP(H78,T!$AA56:$AA68,T!$X56:$X68),IF(AND(H51="4D3",OR(H53=3,H53=5),H55="AC"),LOOKUP(H78,T!$AA56:$AA68,T!$Y56:$Y68),IF(AND(H51="4D3",OR(H53=11,H53=12),H55="AC"),LOOKUP(H78,T!$AA56:$AA68,T!$Z56:$Z68),IF(AND(H51="4D4",OR(H53=2,H53=4,H53=6),H55="DC"),LOOKUP(H78,T!$X74:$X90,T!$U74:$U90),IF(AND(H51="4D4",OR(H53=2,H53=4,H53=6),H55="AC"),LOOKUP(H78,T!$X74:$X90,T!$V74:$V90),IF(AND(H51="4D4",OR(H53=3,H53=5,H53=7),H55="AC"),LOOKUP(H78,T!$X74:$X90,T!$W74:$W90),IF(AND(H51="4D5",AND(H53&gt;=2,H53&lt;=7)),LOOKUP(H78,T!$I96:$I102,T!$H96:$H102),0))))))))))))))))))))),IF(ISNUMBER(SEARCH("4E",H51)),IF(AND(H51="4E1",OR(H53=2,H53=4,H53=6,H53=8,H53=11),H55="DC"),LOOKUP(H78,T!$AC108:$AC129,T!$U108:$U129),IF(AND(H51="4E1",OR(H53=2,H53=4),H55="AC"),LOOKUP(H78,T!$AC108:$AC129,T!$V108:$V129),IF(AND(H51="4E1",OR(H53=6,H53=8),H55="AC"),LOOKUP(H78,T!$AC108:$AC129,T!$W108:$W129),IF(AND(H51="4E1",OR(H53=11,H53=12),H55="AC",H57=1),LOOKUP(H78,T!$AC108:$AC127,T!$X108:$X129),IF(AND(H51="4E1",OR(H53=3,H53=5),H55="AC"),LOOKUP(H78,T!$AC108:$AC129,T!$Y108:$Y129),IF(AND(H51="4E1",OR(H53=7,H53=10),H55="AC"),LOOKUP(H78,T!$AC108:$AC129,T!$Z108:$Z129),IF(AND(H51="4E1",H53=9,H55="AC"),LOOKUP(H78,T!$AC115:$AC129,T!$AA115:$AA129),IF(AND(H51="4E1",OR(H53=11,H53=12),H55="AC",H57=3),LOOKUP(H78,T!$AC115:$AC129,T!$AB115:$AB129),IF(AND(H51="4E2",OR(H53=2,H53=4,H53=6,H53=8),H55="DC"),LOOKUP(H78,T!$X134:$X152,T!$U134:$U152),IF(AND(H51="4E2",OR(H53=2,H53=4,H53=6,H53=8),H55="AC"),LOOKUP(H78,T!$X134:$X152,T!$V134:$V152),IF(AND(H51="4E2",OR(H53=3,H53=5,H53=7,H53=9),H55="AC"),LOOKUP(H78,T!$X134:$X152,T!$W134:$W152),IF(AND(H51="4E3",OR(H53=2,H53=4,H53=7,H53=8),H55="DC"),LOOKUP(H78,T!$AA158:$AA170,T!$U158:$U170),IF(AND(H51="4E3",OR(H53=2,H53=4),H55="AC"),LOOKUP(H78,T!$AA158:$AA170,T!$V158:$V170),IF(AND(H51="4E3",OR(H53=9,H53=10),H55="AC"),LOOKUP(H78,T!$AA158:$AA170,T!$W158:$W170),IF(AND(H51="4E3",H53=6,H55="AC"),LOOKUP(H78,T!$AA158:$AA170,T!$X158:$X170),IF(AND(H51="4E3",OR(H53=3,H53=5),H55="AC"),LOOKUP(H78,T!$AA158:$AA170,T!$Y158:$Y170),IF(AND(H51="4E3",OR(H53=11,H53=12),H55="AC"),LOOKUP(H78,T!$AA158:$AA170,T!$Z158:$Z170),IF(AND(H51="4E4",OR(H53=2,H53=4,H53=6),H55="DC"),LOOKUP(H78,T!$X176:$X192,T!$U176:$U192),IF(AND(H51="4E4",OR(H53=2,H53=4,H53=6),H55="AC"),LOOKUP(H78,T!$X176:$X192,T!$V176:$V192),IF(AND(H51="4E4",OR(H53=3,H53=5,H53=7),H55="AC"),LOOKUP(H78,T!$X176:$X192,T!$W176:$W192),0)))))))))))))))))))),IF(ISNUMBER(SEARCH("4F",H51)),IF(AND(H51="4F1",H53=2,H55="DC"),LOOKUP(H78,T!$Z198:$Z214,T!$U198:$U214),IF(AND(H51="4F1",H53=2,H55="AC"),LOOKUP(H78,T!$Z198:$Z214,T!$V198:$V214),IF(AND(H51="4F1",H53=3,H55="AC"),LOOKUP(H78,T!$Z198:$Z214,T!$W198:$W214),IF(AND(H51="4F1",H53=4,H55="DC"),LOOKUP(H78,T!$Z198:$Z214,T!$X198:$X214),IF(AND(H51="4F1",H53=4,H55="AC"),LOOKUP(H78,T!$Z198:$Z214,T!$Y198:$Y214),IF(AND(H51="4F2",H53=2,H55="DC"),LOOKUP(H78,T!$Y220:$Y236,T!$U220:$U236),IF(AND(H51="4F2",H53=2,H55="AC"),LOOKUP(H78,T!$Y220:$Y236,T!$V220:$V236),IF(AND(H51="4F2",H53=3,H55="AC"),LOOKUP(H78,T!$Y220:$Y236,T!$W220:$W236),IF(AND(H51="4F2",H53=4,H55="DC"),LOOKUP(H78,T!$Y220:$Y236,T!$X220:$X236),IF(AND(H51="4F3",H53=2),LOOKUP(H78,T!$W242:$W248,T!$U242:$U248),IF(AND(H51="4F3",H53=3,H55="AC"),LOOKUP(H78,T!$W242:$W248,T!$V242:$V248),0))))))))))),IF(ISNUMBER(SEARCH("4G",H51)),IF(AND(H51="4G1",OR(H53=2,H53=5)),LOOKUP(H79,T!$AA254:$AA269,T!$U254:$U269),IF(AND(H51="4G1",OR(H53=3,H53=6)),LOOKUP(H79,T!$AA254:$AA269,T!$X254:$X269),IF(AND(H51="4G1",OR(H53=4,H53=7)),LOOKUP(H79,T!$AA254:$AA269,T!$Y254:$Y269),IF(AND(H51="4G1",OR(H53=8,H53=9)),LOOKUP(H79,T!$AA254:$AA269,T!$Z254:$Z269),IF(AND(H51="4G2",OR(H53=2,H53=5)),LOOKUP(H79,T!$AA281:$AA296,T!$U281:$U296),IF(AND(H51="4G2",OR(H53=3,H53=6)),LOOKUP(H79,T!$AA281:$AA296,T!$X281:$X296),IF(AND(H51="4G2",OR(H53=4,H53=7)),LOOKUP(H79,T!$AA281:$AA296,T!$Y281:$Y296),IF(AND(H51="4G2",OR(H53=8,H53=9)),LOOKUP(H79,T!$AA281:$AA296,T!$Z281:$Z296),0)))))))),0)))))*H23*H69)/1000))</f>
        <v>6.2963999999999993</v>
      </c>
      <c r="I94" s="156">
        <f>IF(I29="","",IF(OR(COUNT(I19:I21)=3,COUNT(I19:I21)=1),(IF(I29="",0,IF(ISNUMBER(SEARCH("4D",I51)),IF(AND(I51="4D1",OR(I53=2,I53=4,I53=6,I53=8,I53=11),I55="DC"),LOOKUP(I78,T!$AC6:$AC27,T!$U6:$U27),IF(AND(I51="4D1",OR(I53=2,I53=4),I55="AC"),LOOKUP(I78,T!$AC6:$AC27,T!$V6:$V27),IF(AND(I51="4D1",OR(I53=6,I53=8),I55="AC"),LOOKUP(I78,T!$AC6:$AC27,T!$W6:$W27),IF(AND(I51="4D1",OR(I53=11,I53=12),I55="AC",I57=1),LOOKUP(I78,T!$AC6:$AC27,T!$X6:$X27),IF(AND(I51="4D1",OR(I53=3,I53=5),I55="AC"),LOOKUP(I78,T!$AC6:$AC27,T!$Y6:$Y27),IF(AND(I51="4D1",OR(I53=7,I53=10),I55="AC"),LOOKUP(I78,T!$AC6:$AC27,T!$Z6:$Z27),IF(AND(I51="4D1",I53=9,I55="AC"),LOOKUP(I78,T!$AC6:$AC27,T!$AA6:$AA27),IF(AND(I51="4D1",OR(I53=11,I53=12),I55="AC",I57=3),LOOKUP(I78,T!$AC13:$AC27,T!$AB13:$AB27),IF(AND(I51="4D2",OR(I53=2,I53=4,I53=6,I53=8),I55="DC"),LOOKUP(I78,T!$X33:$X50,T!$U33:$U50),IF(AND(I51="4D2",OR(I53=2,I53=4,I53=6,I53=8),I55="AC"),LOOKUP(I78,T!$X33:$X50,T!$V33:$V50),IF(AND(I51="4D2",OR(I53=3,I53=5,I53=7,I53=9),I55="AC"),LOOKUP(I78,T!$X33:$X50,T!$W33:$W50),IF(AND(I51="4D3",OR(I53=2,I53=4,I53=7,I53=8),I55="DC"),LOOKUP(I78,T!$AA56:$AA68,T!$U56:$U68),IF(AND(I51="4D3",OR(I53=2,I53=4),I55="AC"),LOOKUP(I78,T!$AA56:$AA68,T!$V56:$V68),IF(AND(I51="4D3",OR(I53=9,I53=10),I55="AC"),LOOKUP(I78,T!$AA56:$AA$68,T!$W56:$W68),IF(AND(I51="4D3",I53=6,I55="AC"),LOOKUP(I78,T!$AA56:$AA68,T!$X56:$X68),IF(AND(I51="4D3",OR(I53=3,I53=5),I55="AC"),LOOKUP(I78,T!$AA56:$AA68,T!$Y56:$Y68),IF(AND(I51="4D3",OR(I53=11,I53=12),I55="AC"),LOOKUP(I78,T!$AA56:$AA68,T!$Z56:$Z68),IF(AND(I51="4D4",OR(I53=2,I53=4,I53=6),I55="DC"),LOOKUP(I78,T!$X74:$X90,T!$U74:$U90),IF(AND(I51="4D4",OR(I53=2,I53=4,I53=6),I55="AC"),LOOKUP(I78,T!$X74:$X90,T!$V74:$V90),IF(AND(I51="4D4",OR(I53=3,I53=5,I53=7),I55="AC"),LOOKUP(I78,T!$X74:$X90,T!$W74:$W90),IF(AND(I51="4D5",AND(I53&gt;=2,I53&lt;=7)),LOOKUP(I78,T!$I96:$I102,T!$H96:$H102),0))))))))))))))))))))),IF(ISNUMBER(SEARCH("4E",I51)),IF(AND(I51="4E1",OR(I53=2,I53=4,I53=6,I53=8,I53=11),I55="DC"),LOOKUP(I78,T!$AC108:$AC129,T!$U108:$U129),IF(AND(I51="4E1",OR(I53=2,I53=4),I55="AC"),LOOKUP(I78,T!$AC108:$AC129,T!$V108:$V129),IF(AND(I51="4E1",OR(I53=6,I53=8),I55="AC"),LOOKUP(I78,T!$AC108:$AC129,T!$W108:$W129),IF(AND(I51="4E1",OR(I53=11,I53=12),I55="AC",I57=1),LOOKUP(I78,T!$AC108:$AC127,T!$X108:$X129),IF(AND(I51="4E1",OR(I53=3,I53=5),I55="AC"),LOOKUP(I78,T!$AC108:$AC129,T!$Y108:$Y129),IF(AND(I51="4E1",OR(I53=7,I53=10),I55="AC"),LOOKUP(I78,T!$AC108:$AC129,T!$Z108:$Z129),IF(AND(I51="4E1",I53=9,I55="AC"),LOOKUP(I78,T!$AC115:$AC129,T!$AA115:$AA129),IF(AND(I51="4E1",OR(I53=11,I53=12),I55="AC",I57=3),LOOKUP(I78,T!$AC115:$AC129,T!$AB115:$AB129),IF(AND(I51="4E2",OR(I53=2,I53=4,I53=6,I53=8),I55="DC"),LOOKUP(I78,T!$X134:$X152,T!$U134:$U152),IF(AND(I51="4E2",OR(I53=2,I53=4,I53=6,I53=8),I55="AC"),LOOKUP(I78,T!$X134:$X152,T!$V134:$V152),IF(AND(I51="4E2",OR(I53=3,I53=5,I53=7,I53=9),I55="AC"),LOOKUP(I78,T!$X134:$X152,T!$W134:$W152),IF(AND(I51="4E3",OR(I53=2,I53=4,I53=7,I53=8),I55="DC"),LOOKUP(I78,T!$AA158:$AA170,T!$U158:$U170),IF(AND(I51="4E3",OR(I53=2,I53=4),I55="AC"),LOOKUP(I78,T!$AA158:$AA170,T!$V158:$V170),IF(AND(I51="4E3",OR(I53=9,I53=10),I55="AC"),LOOKUP(I78,T!$AA158:$AA170,T!$W158:$W170),IF(AND(I51="4E3",I53=6,I55="AC"),LOOKUP(I78,T!$AA158:$AA170,T!$X158:$X170),IF(AND(I51="4E3",OR(I53=3,I53=5),I55="AC"),LOOKUP(I78,T!$AA158:$AA170,T!$Y158:$Y170),IF(AND(I51="4E3",OR(I53=11,I53=12),I55="AC"),LOOKUP(I78,T!$AA158:$AA170,T!$Z158:$Z170),IF(AND(I51="4E4",OR(I53=2,I53=4,I53=6),I55="DC"),LOOKUP(I78,T!$X176:$X192,T!$U176:$U192),IF(AND(I51="4E4",OR(I53=2,I53=4,I53=6),I55="AC"),LOOKUP(I78,T!$X176:$X192,T!$V176:$V192),IF(AND(I51="4E4",OR(I53=3,I53=5,I53=7),I55="AC"),LOOKUP(I78,T!$X176:$X192,T!$W176:$W192),0)))))))))))))))))))),IF(ISNUMBER(SEARCH("4F",I51)),IF(AND(I51="4F1",I53=2,I55="DC"),LOOKUP(I78,T!$Z198:$Z214,T!$U198:$U214),IF(AND(I51="4F1",I53=2,I55="AC"),LOOKUP(I78,T!$Z198:$Z214,T!$V198:$V214),IF(AND(I51="4F1",I53=3,I55="AC"),LOOKUP(I78,T!$Z198:$Z214,T!$W198:$W214),IF(AND(I51="4F1",I53=4,I55="DC"),LOOKUP(I78,T!$Z198:$Z214,T!$X198:$X214),IF(AND(I51="4F1",I53=4,I55="AC"),LOOKUP(I78,T!$Z198:$Z214,T!$Y198:$Y214),IF(AND(I51="4F2",I53=2,I55="DC"),LOOKUP(I78,T!$Y220:$Y236,T!$U220:$U236),IF(AND(I51="4F2",I53=2,I55="AC"),LOOKUP(I78,T!$Y220:$Y236,T!$V220:$V236),IF(AND(I51="4F2",I53=3,I55="AC"),LOOKUP(I78,T!$Y220:$Y236,T!$W220:$W236),IF(AND(I51="4F2",I53=4,I55="DC"),LOOKUP(I78,T!$Y220:$Y236,T!$X220:$X236),IF(AND(I51="4F3",I53=2),LOOKUP(I78,T!$W242:$W248,T!$U242:$U248),IF(AND(I51="4F3",I53=3,I55="AC"),LOOKUP(I78,T!$W242:$W248,T!$V242:$V248),0))))))))))),IF(ISNUMBER(SEARCH("4G",I51)),IF(AND(I51="4G1",OR(I53=2,I53=5)),LOOKUP(I79,T!$AA254:$AA269,T!$U254:$U269),IF(AND(I51="4G1",OR(I53=3,I53=6)),LOOKUP(I79,T!$AA254:$AA269,T!$X254:$X269),IF(AND(I51="4G1",OR(I53=4,I53=7)),LOOKUP(I79,T!$AA254:$AA269,T!$Y254:$Y269),IF(AND(I51="4G1",OR(I53=8,I53=9)),LOOKUP(I79,T!$AA254:$AA269,T!$Z254:$Z269),IF(AND(I51="4G2",OR(I53=2,I53=5)),LOOKUP(I79,T!$AA281:$AA296,T!$U281:$U296),IF(AND(I51="4G2",OR(I53=3,I53=6)),LOOKUP(I79,T!$AA281:$AA296,T!$X281:$X296),IF(AND(I51="4G2",OR(I53=4,I53=7)),LOOKUP(I79,T!$AA281:$AA296,T!$Y281:$Y296),IF(AND(I51="4G2",OR(I53=8,I53=9)),LOOKUP(I79,T!$AA281:$AA296,T!$Z281:$Z296),0)))))))),0)))))*I23*I69)/1000))</f>
        <v>0</v>
      </c>
      <c r="J94" s="156">
        <f>IF(J29="","",IF(OR(COUNT(J19:J21)=3,COUNT(J19:J21)=1),(IF(J29="",0,IF(ISNUMBER(SEARCH("4D",J51)),IF(AND(J51="4D1",OR(J53=2,J53=4,J53=6,J53=8,J53=11),J55="DC"),LOOKUP(J78,T!$AC6:$AC27,T!$U6:$U27),IF(AND(J51="4D1",OR(J53=2,J53=4),J55="AC"),LOOKUP(J78,T!$AC6:$AC27,T!$V6:$V27),IF(AND(J51="4D1",OR(J53=6,J53=8),J55="AC"),LOOKUP(J78,T!$AC6:$AC27,T!$W6:$W27),IF(AND(J51="4D1",OR(J53=11,J53=12),J55="AC",J57=1),LOOKUP(J78,T!$AC6:$AC27,T!$X6:$X27),IF(AND(J51="4D1",OR(J53=3,J53=5),J55="AC"),LOOKUP(J78,T!$AC6:$AC27,T!$Y6:$Y27),IF(AND(J51="4D1",OR(J53=7,J53=10),J55="AC"),LOOKUP(J78,T!$AC6:$AC27,T!$Z6:$Z27),IF(AND(J51="4D1",J53=9,J55="AC"),LOOKUP(J78,T!$AC6:$AC27,T!$AA6:$AA27),IF(AND(J51="4D1",OR(J53=11,J53=12),J55="AC",J57=3),LOOKUP(J78,T!$AC13:$AC27,T!$AB13:$AB27),IF(AND(J51="4D2",OR(J53=2,J53=4,J53=6,J53=8),J55="DC"),LOOKUP(J78,T!$X33:$X50,T!$U33:$U50),IF(AND(J51="4D2",OR(J53=2,J53=4,J53=6,J53=8),J55="AC"),LOOKUP(J78,T!$X33:$X50,T!$V33:$V50),IF(AND(J51="4D2",OR(J53=3,J53=5,J53=7,J53=9),J55="AC"),LOOKUP(J78,T!$X33:$X50,T!$W33:$W50),IF(AND(J51="4D3",OR(J53=2,J53=4,J53=7,J53=8),J55="DC"),LOOKUP(J78,T!$AA56:$AA68,T!$U56:$U68),IF(AND(J51="4D3",OR(J53=2,J53=4),J55="AC"),LOOKUP(J78,T!$AA56:$AA68,T!$V56:$V68),IF(AND(J51="4D3",OR(J53=9,J53=10),J55="AC"),LOOKUP(J78,T!$AA56:$AA$68,T!$W56:$W68),IF(AND(J51="4D3",J53=6,J55="AC"),LOOKUP(J78,T!$AA56:$AA68,T!$X56:$X68),IF(AND(J51="4D3",OR(J53=3,J53=5),J55="AC"),LOOKUP(J78,T!$AA56:$AA68,T!$Y56:$Y68),IF(AND(J51="4D3",OR(J53=11,J53=12),J55="AC"),LOOKUP(J78,T!$AA56:$AA68,T!$Z56:$Z68),IF(AND(J51="4D4",OR(J53=2,J53=4,J53=6),J55="DC"),LOOKUP(J78,T!$X74:$X90,T!$U74:$U90),IF(AND(J51="4D4",OR(J53=2,J53=4,J53=6),J55="AC"),LOOKUP(J78,T!$X74:$X90,T!$V74:$V90),IF(AND(J51="4D4",OR(J53=3,J53=5,J53=7),J55="AC"),LOOKUP(J78,T!$X74:$X90,T!$W74:$W90),IF(AND(J51="4D5",AND(J53&gt;=2,J53&lt;=7)),LOOKUP(J78,T!$I96:$I102,T!$H96:$H102),0))))))))))))))))))))),IF(ISNUMBER(SEARCH("4E",J51)),IF(AND(J51="4E1",OR(J53=2,J53=4,J53=6,J53=8,J53=11),J55="DC"),LOOKUP(J78,T!$AC108:$AC129,T!$U108:$U129),IF(AND(J51="4E1",OR(J53=2,J53=4),J55="AC"),LOOKUP(J78,T!$AC108:$AC129,T!$V108:$V129),IF(AND(J51="4E1",OR(J53=6,J53=8),J55="AC"),LOOKUP(J78,T!$AC108:$AC129,T!$W108:$W129),IF(AND(J51="4E1",OR(J53=11,J53=12),J55="AC",J57=1),LOOKUP(J78,T!$AC108:$AC127,T!$X108:$X129),IF(AND(J51="4E1",OR(J53=3,J53=5),J55="AC"),LOOKUP(J78,T!$AC108:$AC129,T!$Y108:$Y129),IF(AND(J51="4E1",OR(J53=7,J53=10),J55="AC"),LOOKUP(J78,T!$AC108:$AC129,T!$Z108:$Z129),IF(AND(J51="4E1",J53=9,J55="AC"),LOOKUP(J78,T!$AC115:$AC129,T!$AA115:$AA129),IF(AND(J51="4E1",OR(J53=11,J53=12),J55="AC",J57=3),LOOKUP(J78,T!$AC115:$AC129,T!$AB115:$AB129),IF(AND(J51="4E2",OR(J53=2,J53=4,J53=6,J53=8),J55="DC"),LOOKUP(J78,T!$X134:$X152,T!$U134:$U152),IF(AND(J51="4E2",OR(J53=2,J53=4,J53=6,J53=8),J55="AC"),LOOKUP(J78,T!$X134:$X152,T!$V134:$V152),IF(AND(J51="4E2",OR(J53=3,J53=5,J53=7,J53=9),J55="AC"),LOOKUP(J78,T!$X134:$X152,T!$W134:$W152),IF(AND(J51="4E3",OR(J53=2,J53=4,J53=7,J53=8),J55="DC"),LOOKUP(J78,T!$AA158:$AA170,T!$U158:$U170),IF(AND(J51="4E3",OR(J53=2,J53=4),J55="AC"),LOOKUP(J78,T!$AA158:$AA170,T!$V158:$V170),IF(AND(J51="4E3",OR(J53=9,J53=10),J55="AC"),LOOKUP(J78,T!$AA158:$AA170,T!$W158:$W170),IF(AND(J51="4E3",J53=6,J55="AC"),LOOKUP(J78,T!$AA158:$AA170,T!$X158:$X170),IF(AND(J51="4E3",OR(J53=3,J53=5),J55="AC"),LOOKUP(J78,T!$AA158:$AA170,T!$Y158:$Y170),IF(AND(J51="4E3",OR(J53=11,J53=12),J55="AC"),LOOKUP(J78,T!$AA158:$AA170,T!$Z158:$Z170),IF(AND(J51="4E4",OR(J53=2,J53=4,J53=6),J55="DC"),LOOKUP(J78,T!$X176:$X192,T!$U176:$U192),IF(AND(J51="4E4",OR(J53=2,J53=4,J53=6),J55="AC"),LOOKUP(J78,T!$X176:$X192,T!$V176:$V192),IF(AND(J51="4E4",OR(J53=3,J53=5,J53=7),J55="AC"),LOOKUP(J78,T!$X176:$X192,T!$W176:$W192),0)))))))))))))))))))),IF(ISNUMBER(SEARCH("4F",J51)),IF(AND(J51="4F1",J53=2,J55="DC"),LOOKUP(J78,T!$Z198:$Z214,T!$U198:$U214),IF(AND(J51="4F1",J53=2,J55="AC"),LOOKUP(J78,T!$Z198:$Z214,T!$V198:$V214),IF(AND(J51="4F1",J53=3,J55="AC"),LOOKUP(J78,T!$Z198:$Z214,T!$W198:$W214),IF(AND(J51="4F1",J53=4,J55="DC"),LOOKUP(J78,T!$Z198:$Z214,T!$X198:$X214),IF(AND(J51="4F1",J53=4,J55="AC"),LOOKUP(J78,T!$Z198:$Z214,T!$Y198:$Y214),IF(AND(J51="4F2",J53=2,J55="DC"),LOOKUP(J78,T!$Y220:$Y236,T!$U220:$U236),IF(AND(J51="4F2",J53=2,J55="AC"),LOOKUP(J78,T!$Y220:$Y236,T!$V220:$V236),IF(AND(J51="4F2",J53=3,J55="AC"),LOOKUP(J78,T!$Y220:$Y236,T!$W220:$W236),IF(AND(J51="4F2",J53=4,J55="DC"),LOOKUP(J78,T!$Y220:$Y236,T!$X220:$X236),IF(AND(J51="4F3",J53=2),LOOKUP(J78,T!$W242:$W248,T!$U242:$U248),IF(AND(J51="4F3",J53=3,J55="AC"),LOOKUP(J78,T!$W242:$W248,T!$V242:$V248),0))))))))))),IF(ISNUMBER(SEARCH("4G",J51)),IF(AND(J51="4G1",OR(J53=2,J53=5)),LOOKUP(J79,T!$AA254:$AA269,T!$U254:$U269),IF(AND(J51="4G1",OR(J53=3,J53=6)),LOOKUP(J79,T!$AA254:$AA269,T!$X254:$X269),IF(AND(J51="4G1",OR(J53=4,J53=7)),LOOKUP(J79,T!$AA254:$AA269,T!$Y254:$Y269),IF(AND(J51="4G1",OR(J53=8,J53=9)),LOOKUP(J79,T!$AA254:$AA269,T!$Z254:$Z269),IF(AND(J51="4G2",OR(J53=2,J53=5)),LOOKUP(J79,T!$AA281:$AA296,T!$U281:$U296),IF(AND(J51="4G2",OR(J53=3,J53=6)),LOOKUP(J79,T!$AA281:$AA296,T!$X281:$X296),IF(AND(J51="4G2",OR(J53=4,J53=7)),LOOKUP(J79,T!$AA281:$AA296,T!$Y281:$Y296),IF(AND(J51="4G2",OR(J53=8,J53=9)),LOOKUP(J79,T!$AA281:$AA296,T!$Z281:$Z296),0)))))))),0)))))*J23*J69)/1000))</f>
        <v>14.322916666666668</v>
      </c>
      <c r="K94" s="156">
        <f>IF(K29="","",IF(OR(COUNT(K19:K21)=3,COUNT(K19:K21)=1),(IF(K29="",0,IF(ISNUMBER(SEARCH("4D",K51)),IF(AND(K51="4D1",OR(K53=2,K53=4,K53=6,K53=8,K53=11),K55="DC"),LOOKUP(K78,T!$AC6:$AC27,T!$U6:$U27),IF(AND(K51="4D1",OR(K53=2,K53=4),K55="AC"),LOOKUP(K78,T!$AC6:$AC27,T!$V6:$V27),IF(AND(K51="4D1",OR(K53=6,K53=8),K55="AC"),LOOKUP(K78,T!$AC6:$AC27,T!$W6:$W27),IF(AND(K51="4D1",OR(K53=11,K53=12),K55="AC",K57=1),LOOKUP(K78,T!$AC6:$AC27,T!$X6:$X27),IF(AND(K51="4D1",OR(K53=3,K53=5),K55="AC"),LOOKUP(K78,T!$AC6:$AC27,T!$Y6:$Y27),IF(AND(K51="4D1",OR(K53=7,K53=10),K55="AC"),LOOKUP(K78,T!$AC6:$AC27,T!$Z6:$Z27),IF(AND(K51="4D1",K53=9,K55="AC"),LOOKUP(K78,T!$AC6:$AC27,T!$AA6:$AA27),IF(AND(K51="4D1",OR(K53=11,K53=12),K55="AC",K57=3),LOOKUP(K78,T!$AC13:$AC27,T!$AB13:$AB27),IF(AND(K51="4D2",OR(K53=2,K53=4,K53=6,K53=8),K55="DC"),LOOKUP(K78,T!$X33:$X50,T!$U33:$U50),IF(AND(K51="4D2",OR(K53=2,K53=4,K53=6,K53=8),K55="AC"),LOOKUP(K78,T!$X33:$X50,T!$V33:$V50),IF(AND(K51="4D2",OR(K53=3,K53=5,K53=7,K53=9),K55="AC"),LOOKUP(K78,T!$X33:$X50,T!$W33:$W50),IF(AND(K51="4D3",OR(K53=2,K53=4,K53=7,K53=8),K55="DC"),LOOKUP(K78,T!$AA56:$AA68,T!$U56:$U68),IF(AND(K51="4D3",OR(K53=2,K53=4),K55="AC"),LOOKUP(K78,T!$AA56:$AA68,T!$V56:$V68),IF(AND(K51="4D3",OR(K53=9,K53=10),K55="AC"),LOOKUP(K78,T!$AA56:$AA$68,T!$W56:$W68),IF(AND(K51="4D3",K53=6,K55="AC"),LOOKUP(K78,T!$AA56:$AA68,T!$X56:$X68),IF(AND(K51="4D3",OR(K53=3,K53=5),K55="AC"),LOOKUP(K78,T!$AA56:$AA68,T!$Y56:$Y68),IF(AND(K51="4D3",OR(K53=11,K53=12),K55="AC"),LOOKUP(K78,T!$AA56:$AA68,T!$Z56:$Z68),IF(AND(K51="4D4",OR(K53=2,K53=4,K53=6),K55="DC"),LOOKUP(K78,T!$X74:$X90,T!$U74:$U90),IF(AND(K51="4D4",OR(K53=2,K53=4,K53=6),K55="AC"),LOOKUP(K78,T!$X74:$X90,T!$V74:$V90),IF(AND(K51="4D4",OR(K53=3,K53=5,K53=7),K55="AC"),LOOKUP(K78,T!$X74:$X90,T!$W74:$W90),IF(AND(K51="4D5",AND(K53&gt;=2,K53&lt;=7)),LOOKUP(K78,T!$I96:$I102,T!$H96:$H102),0))))))))))))))))))))),IF(ISNUMBER(SEARCH("4E",K51)),IF(AND(K51="4E1",OR(K53=2,K53=4,K53=6,K53=8,K53=11),K55="DC"),LOOKUP(K78,T!$AC108:$AC129,T!$U108:$U129),IF(AND(K51="4E1",OR(K53=2,K53=4),K55="AC"),LOOKUP(K78,T!$AC108:$AC129,T!$V108:$V129),IF(AND(K51="4E1",OR(K53=6,K53=8),K55="AC"),LOOKUP(K78,T!$AC108:$AC129,T!$W108:$W129),IF(AND(K51="4E1",OR(K53=11,K53=12),K55="AC",K57=1),LOOKUP(K78,T!$AC108:$AC127,T!$X108:$X129),IF(AND(K51="4E1",OR(K53=3,K53=5),K55="AC"),LOOKUP(K78,T!$AC108:$AC129,T!$Y108:$Y129),IF(AND(K51="4E1",OR(K53=7,K53=10),K55="AC"),LOOKUP(K78,T!$AC108:$AC129,T!$Z108:$Z129),IF(AND(K51="4E1",K53=9,K55="AC"),LOOKUP(K78,T!$AC115:$AC129,T!$AA115:$AA129),IF(AND(K51="4E1",OR(K53=11,K53=12),K55="AC",K57=3),LOOKUP(K78,T!$AC115:$AC129,T!$AB115:$AB129),IF(AND(K51="4E2",OR(K53=2,K53=4,K53=6,K53=8),K55="DC"),LOOKUP(K78,T!$X134:$X152,T!$U134:$U152),IF(AND(K51="4E2",OR(K53=2,K53=4,K53=6,K53=8),K55="AC"),LOOKUP(K78,T!$X134:$X152,T!$V134:$V152),IF(AND(K51="4E2",OR(K53=3,K53=5,K53=7,K53=9),K55="AC"),LOOKUP(K78,T!$X134:$X152,T!$W134:$W152),IF(AND(K51="4E3",OR(K53=2,K53=4,K53=7,K53=8),K55="DC"),LOOKUP(K78,T!$AA158:$AA170,T!$U158:$U170),IF(AND(K51="4E3",OR(K53=2,K53=4),K55="AC"),LOOKUP(K78,T!$AA158:$AA170,T!$V158:$V170),IF(AND(K51="4E3",OR(K53=9,K53=10),K55="AC"),LOOKUP(K78,T!$AA158:$AA170,T!$W158:$W170),IF(AND(K51="4E3",K53=6,K55="AC"),LOOKUP(K78,T!$AA158:$AA170,T!$X158:$X170),IF(AND(K51="4E3",OR(K53=3,K53=5),K55="AC"),LOOKUP(K78,T!$AA158:$AA170,T!$Y158:$Y170),IF(AND(K51="4E3",OR(K53=11,K53=12),K55="AC"),LOOKUP(K78,T!$AA158:$AA170,T!$Z158:$Z170),IF(AND(K51="4E4",OR(K53=2,K53=4,K53=6),K55="DC"),LOOKUP(K78,T!$X176:$X192,T!$U176:$U192),IF(AND(K51="4E4",OR(K53=2,K53=4,K53=6),K55="AC"),LOOKUP(K78,T!$X176:$X192,T!$V176:$V192),IF(AND(K51="4E4",OR(K53=3,K53=5,K53=7),K55="AC"),LOOKUP(K78,T!$X176:$X192,T!$W176:$W192),0)))))))))))))))))))),IF(ISNUMBER(SEARCH("4F",K51)),IF(AND(K51="4F1",K53=2,K55="DC"),LOOKUP(K78,T!$Z198:$Z214,T!$U198:$U214),IF(AND(K51="4F1",K53=2,K55="AC"),LOOKUP(K78,T!$Z198:$Z214,T!$V198:$V214),IF(AND(K51="4F1",K53=3,K55="AC"),LOOKUP(K78,T!$Z198:$Z214,T!$W198:$W214),IF(AND(K51="4F1",K53=4,K55="DC"),LOOKUP(K78,T!$Z198:$Z214,T!$X198:$X214),IF(AND(K51="4F1",K53=4,K55="AC"),LOOKUP(K78,T!$Z198:$Z214,T!$Y198:$Y214),IF(AND(K51="4F2",K53=2,K55="DC"),LOOKUP(K78,T!$Y220:$Y236,T!$U220:$U236),IF(AND(K51="4F2",K53=2,K55="AC"),LOOKUP(K78,T!$Y220:$Y236,T!$V220:$V236),IF(AND(K51="4F2",K53=3,K55="AC"),LOOKUP(K78,T!$Y220:$Y236,T!$W220:$W236),IF(AND(K51="4F2",K53=4,K55="DC"),LOOKUP(K78,T!$Y220:$Y236,T!$X220:$X236),IF(AND(K51="4F3",K53=2),LOOKUP(K78,T!$W242:$W248,T!$U242:$U248),IF(AND(K51="4F3",K53=3,K55="AC"),LOOKUP(K78,T!$W242:$W248,T!$V242:$V248),0))))))))))),IF(ISNUMBER(SEARCH("4G",K51)),IF(AND(K51="4G1",OR(K53=2,K53=5)),LOOKUP(K79,T!$AA254:$AA269,T!$U254:$U269),IF(AND(K51="4G1",OR(K53=3,K53=6)),LOOKUP(K79,T!$AA254:$AA269,T!$X254:$X269),IF(AND(K51="4G1",OR(K53=4,K53=7)),LOOKUP(K79,T!$AA254:$AA269,T!$Y254:$Y269),IF(AND(K51="4G1",OR(K53=8,K53=9)),LOOKUP(K79,T!$AA254:$AA269,T!$Z254:$Z269),IF(AND(K51="4G2",OR(K53=2,K53=5)),LOOKUP(K79,T!$AA281:$AA296,T!$U281:$U296),IF(AND(K51="4G2",OR(K53=3,K53=6)),LOOKUP(K79,T!$AA281:$AA296,T!$X281:$X296),IF(AND(K51="4G2",OR(K53=4,K53=7)),LOOKUP(K79,T!$AA281:$AA296,T!$Y281:$Y296),IF(AND(K51="4G2",OR(K53=8,K53=9)),LOOKUP(K79,T!$AA281:$AA296,T!$Z281:$Z296),0)))))))),0)))))*K23*K69)/1000))</f>
        <v>8.2997999999999994</v>
      </c>
      <c r="L94" s="156">
        <f>IF(L29="","",IF(OR(COUNT(L19:L21)=3,COUNT(L19:L21)=1),(IF(L29="",0,IF(ISNUMBER(SEARCH("4D",L51)),IF(AND(L51="4D1",OR(L53=2,L53=4,L53=6,L53=8,L53=11),L55="DC"),LOOKUP(L78,T!$AC6:$AC27,T!$U6:$U27),IF(AND(L51="4D1",OR(L53=2,L53=4),L55="AC"),LOOKUP(L78,T!$AC6:$AC27,T!$V6:$V27),IF(AND(L51="4D1",OR(L53=6,L53=8),L55="AC"),LOOKUP(L78,T!$AC6:$AC27,T!$W6:$W27),IF(AND(L51="4D1",OR(L53=11,L53=12),L55="AC",L57=1),LOOKUP(L78,T!$AC6:$AC27,T!$X6:$X27),IF(AND(L51="4D1",OR(L53=3,L53=5),L55="AC"),LOOKUP(L78,T!$AC6:$AC27,T!$Y6:$Y27),IF(AND(L51="4D1",OR(L53=7,L53=10),L55="AC"),LOOKUP(L78,T!$AC6:$AC27,T!$Z6:$Z27),IF(AND(L51="4D1",L53=9,L55="AC"),LOOKUP(L78,T!$AC6:$AC27,T!$AA6:$AA27),IF(AND(L51="4D1",OR(L53=11,L53=12),L55="AC",L57=3),LOOKUP(L78,T!$AC13:$AC27,T!$AB13:$AB27),IF(AND(L51="4D2",OR(L53=2,L53=4,L53=6,L53=8),L55="DC"),LOOKUP(L78,T!$X33:$X50,T!$U33:$U50),IF(AND(L51="4D2",OR(L53=2,L53=4,L53=6,L53=8),L55="AC"),LOOKUP(L78,T!$X33:$X50,T!$V33:$V50),IF(AND(L51="4D2",OR(L53=3,L53=5,L53=7,L53=9),L55="AC"),LOOKUP(L78,T!$X33:$X50,T!$W33:$W50),IF(AND(L51="4D3",OR(L53=2,L53=4,L53=7,L53=8),L55="DC"),LOOKUP(L78,T!$AA56:$AA68,T!$U56:$U68),IF(AND(L51="4D3",OR(L53=2,L53=4),L55="AC"),LOOKUP(L78,T!$AA56:$AA68,T!$V56:$V68),IF(AND(L51="4D3",OR(L53=9,L53=10),L55="AC"),LOOKUP(L78,T!$AA56:$AA$68,T!$W56:$W68),IF(AND(L51="4D3",L53=6,L55="AC"),LOOKUP(L78,T!$AA56:$AA68,T!$X56:$X68),IF(AND(L51="4D3",OR(L53=3,L53=5),L55="AC"),LOOKUP(L78,T!$AA56:$AA68,T!$Y56:$Y68),IF(AND(L51="4D3",OR(L53=11,L53=12),L55="AC"),LOOKUP(L78,T!$AA56:$AA68,T!$Z56:$Z68),IF(AND(L51="4D4",OR(L53=2,L53=4,L53=6),L55="DC"),LOOKUP(L78,T!$X74:$X90,T!$U74:$U90),IF(AND(L51="4D4",OR(L53=2,L53=4,L53=6),L55="AC"),LOOKUP(L78,T!$X74:$X90,T!$V74:$V90),IF(AND(L51="4D4",OR(L53=3,L53=5,L53=7),L55="AC"),LOOKUP(L78,T!$X74:$X90,T!$W74:$W90),IF(AND(L51="4D5",AND(L53&gt;=2,L53&lt;=7)),LOOKUP(L78,T!$I96:$I102,T!$H96:$H102),0))))))))))))))))))))),IF(ISNUMBER(SEARCH("4E",L51)),IF(AND(L51="4E1",OR(L53=2,L53=4,L53=6,L53=8,L53=11),L55="DC"),LOOKUP(L78,T!$AC108:$AC129,T!$U108:$U129),IF(AND(L51="4E1",OR(L53=2,L53=4),L55="AC"),LOOKUP(L78,T!$AC108:$AC129,T!$V108:$V129),IF(AND(L51="4E1",OR(L53=6,L53=8),L55="AC"),LOOKUP(L78,T!$AC108:$AC129,T!$W108:$W129),IF(AND(L51="4E1",OR(L53=11,L53=12),L55="AC",L57=1),LOOKUP(L78,T!$AC108:$AC127,T!$X108:$X129),IF(AND(L51="4E1",OR(L53=3,L53=5),L55="AC"),LOOKUP(L78,T!$AC108:$AC129,T!$Y108:$Y129),IF(AND(L51="4E1",OR(L53=7,L53=10),L55="AC"),LOOKUP(L78,T!$AC108:$AC129,T!$Z108:$Z129),IF(AND(L51="4E1",L53=9,L55="AC"),LOOKUP(L78,T!$AC115:$AC129,T!$AA115:$AA129),IF(AND(L51="4E1",OR(L53=11,L53=12),L55="AC",L57=3),LOOKUP(L78,T!$AC115:$AC129,T!$AB115:$AB129),IF(AND(L51="4E2",OR(L53=2,L53=4,L53=6,L53=8),L55="DC"),LOOKUP(L78,T!$X134:$X152,T!$U134:$U152),IF(AND(L51="4E2",OR(L53=2,L53=4,L53=6,L53=8),L55="AC"),LOOKUP(L78,T!$X134:$X152,T!$V134:$V152),IF(AND(L51="4E2",OR(L53=3,L53=5,L53=7,L53=9),L55="AC"),LOOKUP(L78,T!$X134:$X152,T!$W134:$W152),IF(AND(L51="4E3",OR(L53=2,L53=4,L53=7,L53=8),L55="DC"),LOOKUP(L78,T!$AA158:$AA170,T!$U158:$U170),IF(AND(L51="4E3",OR(L53=2,L53=4),L55="AC"),LOOKUP(L78,T!$AA158:$AA170,T!$V158:$V170),IF(AND(L51="4E3",OR(L53=9,L53=10),L55="AC"),LOOKUP(L78,T!$AA158:$AA170,T!$W158:$W170),IF(AND(L51="4E3",L53=6,L55="AC"),LOOKUP(L78,T!$AA158:$AA170,T!$X158:$X170),IF(AND(L51="4E3",OR(L53=3,L53=5),L55="AC"),LOOKUP(L78,T!$AA158:$AA170,T!$Y158:$Y170),IF(AND(L51="4E3",OR(L53=11,L53=12),L55="AC"),LOOKUP(L78,T!$AA158:$AA170,T!$Z158:$Z170),IF(AND(L51="4E4",OR(L53=2,L53=4,L53=6),L55="DC"),LOOKUP(L78,T!$X176:$X192,T!$U176:$U192),IF(AND(L51="4E4",OR(L53=2,L53=4,L53=6),L55="AC"),LOOKUP(L78,T!$X176:$X192,T!$V176:$V192),IF(AND(L51="4E4",OR(L53=3,L53=5,L53=7),L55="AC"),LOOKUP(L78,T!$X176:$X192,T!$W176:$W192),0)))))))))))))))))))),IF(ISNUMBER(SEARCH("4F",L51)),IF(AND(L51="4F1",L53=2,L55="DC"),LOOKUP(L78,T!$Z198:$Z214,T!$U198:$U214),IF(AND(L51="4F1",L53=2,L55="AC"),LOOKUP(L78,T!$Z198:$Z214,T!$V198:$V214),IF(AND(L51="4F1",L53=3,L55="AC"),LOOKUP(L78,T!$Z198:$Z214,T!$W198:$W214),IF(AND(L51="4F1",L53=4,L55="DC"),LOOKUP(L78,T!$Z198:$Z214,T!$X198:$X214),IF(AND(L51="4F1",L53=4,L55="AC"),LOOKUP(L78,T!$Z198:$Z214,T!$Y198:$Y214),IF(AND(L51="4F2",L53=2,L55="DC"),LOOKUP(L78,T!$Y220:$Y236,T!$U220:$U236),IF(AND(L51="4F2",L53=2,L55="AC"),LOOKUP(L78,T!$Y220:$Y236,T!$V220:$V236),IF(AND(L51="4F2",L53=3,L55="AC"),LOOKUP(L78,T!$Y220:$Y236,T!$W220:$W236),IF(AND(L51="4F2",L53=4,L55="DC"),LOOKUP(L78,T!$Y220:$Y236,T!$X220:$X236),IF(AND(L51="4F3",L53=2),LOOKUP(L78,T!$W242:$W248,T!$U242:$U248),IF(AND(L51="4F3",L53=3,L55="AC"),LOOKUP(L78,T!$W242:$W248,T!$V242:$V248),0))))))))))),IF(ISNUMBER(SEARCH("4G",L51)),IF(AND(L51="4G1",OR(L53=2,L53=5)),LOOKUP(L79,T!$AA254:$AA269,T!$U254:$U269),IF(AND(L51="4G1",OR(L53=3,L53=6)),LOOKUP(L79,T!$AA254:$AA269,T!$X254:$X269),IF(AND(L51="4G1",OR(L53=4,L53=7)),LOOKUP(L79,T!$AA254:$AA269,T!$Y254:$Y269),IF(AND(L51="4G1",OR(L53=8,L53=9)),LOOKUP(L79,T!$AA254:$AA269,T!$Z254:$Z269),IF(AND(L51="4G2",OR(L53=2,L53=5)),LOOKUP(L79,T!$AA281:$AA296,T!$U281:$U296),IF(AND(L51="4G2",OR(L53=3,L53=6)),LOOKUP(L79,T!$AA281:$AA296,T!$X281:$X296),IF(AND(L51="4G2",OR(L53=4,L53=7)),LOOKUP(L79,T!$AA281:$AA296,T!$Y281:$Y296),IF(AND(L51="4G2",OR(L53=8,L53=9)),LOOKUP(L79,T!$AA281:$AA296,T!$Z281:$Z296),0)))))))),0)))))*L23*L69)/1000))</f>
        <v>8.2997999999999994</v>
      </c>
      <c r="M94" s="156" t="str">
        <f>IF(M29="","",IF(OR(COUNT(M19:M21)=3,COUNT(M19:M21)=1),(IF(M29="",0,IF(ISNUMBER(SEARCH("4D",M51)),IF(AND(M51="4D1",OR(M53=2,M53=4,M53=6,M53=8,M53=11),M55="DC"),LOOKUP(M78,T!$AC6:$AC27,T!$U6:$U27),IF(AND(M51="4D1",OR(M53=2,M53=4),M55="AC"),LOOKUP(M78,T!$AC6:$AC27,T!$V6:$V27),IF(AND(M51="4D1",OR(M53=6,M53=8),M55="AC"),LOOKUP(M78,T!$AC6:$AC27,T!$W6:$W27),IF(AND(M51="4D1",OR(M53=11,M53=12),M55="AC",M57=1),LOOKUP(M78,T!$AC6:$AC27,T!$X6:$X27),IF(AND(M51="4D1",OR(M53=3,M53=5),M55="AC"),LOOKUP(M78,T!$AC6:$AC27,T!$Y6:$Y27),IF(AND(M51="4D1",OR(M53=7,M53=10),M55="AC"),LOOKUP(M78,T!$AC6:$AC27,T!$Z6:$Z27),IF(AND(M51="4D1",M53=9,M55="AC"),LOOKUP(M78,T!$AC6:$AC27,T!$AA6:$AA27),IF(AND(M51="4D1",OR(M53=11,M53=12),M55="AC",M57=3),LOOKUP(M78,T!$AC13:$AC27,T!$AB13:$AB27),IF(AND(M51="4D2",OR(M53=2,M53=4,M53=6,M53=8),M55="DC"),LOOKUP(M78,T!$X33:$X50,T!$U33:$U50),IF(AND(M51="4D2",OR(M53=2,M53=4,M53=6,M53=8),M55="AC"),LOOKUP(M78,T!$X33:$X50,T!$V33:$V50),IF(AND(M51="4D2",OR(M53=3,M53=5,M53=7,M53=9),M55="AC"),LOOKUP(M78,T!$X33:$X50,T!$W33:$W50),IF(AND(M51="4D3",OR(M53=2,M53=4,M53=7,M53=8),M55="DC"),LOOKUP(M78,T!$AA56:$AA68,T!$U56:$U68),IF(AND(M51="4D3",OR(M53=2,M53=4),M55="AC"),LOOKUP(M78,T!$AA56:$AA68,T!$V56:$V68),IF(AND(M51="4D3",OR(M53=9,M53=10),M55="AC"),LOOKUP(M78,T!$AA56:$AA$68,T!$W56:$W68),IF(AND(M51="4D3",M53=6,M55="AC"),LOOKUP(M78,T!$AA56:$AA68,T!$X56:$X68),IF(AND(M51="4D3",OR(M53=3,M53=5),M55="AC"),LOOKUP(M78,T!$AA56:$AA68,T!$Y56:$Y68),IF(AND(M51="4D3",OR(M53=11,M53=12),M55="AC"),LOOKUP(M78,T!$AA56:$AA68,T!$Z56:$Z68),IF(AND(M51="4D4",OR(M53=2,M53=4,M53=6),M55="DC"),LOOKUP(M78,T!$X74:$X90,T!$U74:$U90),IF(AND(M51="4D4",OR(M53=2,M53=4,M53=6),M55="AC"),LOOKUP(M78,T!$X74:$X90,T!$V74:$V90),IF(AND(M51="4D4",OR(M53=3,M53=5,M53=7),M55="AC"),LOOKUP(M78,T!$X74:$X90,T!$W74:$W90),IF(AND(M51="4D5",AND(M53&gt;=2,M53&lt;=7)),LOOKUP(M78,T!$I96:$I102,T!$H96:$H102),0))))))))))))))))))))),IF(ISNUMBER(SEARCH("4E",M51)),IF(AND(M51="4E1",OR(M53=2,M53=4,M53=6,M53=8,M53=11),M55="DC"),LOOKUP(M78,T!$AC108:$AC129,T!$U108:$U129),IF(AND(M51="4E1",OR(M53=2,M53=4),M55="AC"),LOOKUP(M78,T!$AC108:$AC129,T!$V108:$V129),IF(AND(M51="4E1",OR(M53=6,M53=8),M55="AC"),LOOKUP(M78,T!$AC108:$AC129,T!$W108:$W129),IF(AND(M51="4E1",OR(M53=11,M53=12),M55="AC",M57=1),LOOKUP(M78,T!$AC108:$AC127,T!$X108:$X129),IF(AND(M51="4E1",OR(M53=3,M53=5),M55="AC"),LOOKUP(M78,T!$AC108:$AC129,T!$Y108:$Y129),IF(AND(M51="4E1",OR(M53=7,M53=10),M55="AC"),LOOKUP(M78,T!$AC108:$AC129,T!$Z108:$Z129),IF(AND(M51="4E1",M53=9,M55="AC"),LOOKUP(M78,T!$AC115:$AC129,T!$AA115:$AA129),IF(AND(M51="4E1",OR(M53=11,M53=12),M55="AC",M57=3),LOOKUP(M78,T!$AC115:$AC129,T!$AB115:$AB129),IF(AND(M51="4E2",OR(M53=2,M53=4,M53=6,M53=8),M55="DC"),LOOKUP(M78,T!$X134:$X152,T!$U134:$U152),IF(AND(M51="4E2",OR(M53=2,M53=4,M53=6,M53=8),M55="AC"),LOOKUP(M78,T!$X134:$X152,T!$V134:$V152),IF(AND(M51="4E2",OR(M53=3,M53=5,M53=7,M53=9),M55="AC"),LOOKUP(M78,T!$X134:$X152,T!$W134:$W152),IF(AND(M51="4E3",OR(M53=2,M53=4,M53=7,M53=8),M55="DC"),LOOKUP(M78,T!$AA158:$AA170,T!$U158:$U170),IF(AND(M51="4E3",OR(M53=2,M53=4),M55="AC"),LOOKUP(M78,T!$AA158:$AA170,T!$V158:$V170),IF(AND(M51="4E3",OR(M53=9,M53=10),M55="AC"),LOOKUP(M78,T!$AA158:$AA170,T!$W158:$W170),IF(AND(M51="4E3",M53=6,M55="AC"),LOOKUP(M78,T!$AA158:$AA170,T!$X158:$X170),IF(AND(M51="4E3",OR(M53=3,M53=5),M55="AC"),LOOKUP(M78,T!$AA158:$AA170,T!$Y158:$Y170),IF(AND(M51="4E3",OR(M53=11,M53=12),M55="AC"),LOOKUP(M78,T!$AA158:$AA170,T!$Z158:$Z170),IF(AND(M51="4E4",OR(M53=2,M53=4,M53=6),M55="DC"),LOOKUP(M78,T!$X176:$X192,T!$U176:$U192),IF(AND(M51="4E4",OR(M53=2,M53=4,M53=6),M55="AC"),LOOKUP(M78,T!$X176:$X192,T!$V176:$V192),IF(AND(M51="4E4",OR(M53=3,M53=5,M53=7),M55="AC"),LOOKUP(M78,T!$X176:$X192,T!$W176:$W192),0)))))))))))))))))))),IF(ISNUMBER(SEARCH("4F",M51)),IF(AND(M51="4F1",M53=2,M55="DC"),LOOKUP(M78,T!$Z198:$Z214,T!$U198:$U214),IF(AND(M51="4F1",M53=2,M55="AC"),LOOKUP(M78,T!$Z198:$Z214,T!$V198:$V214),IF(AND(M51="4F1",M53=3,M55="AC"),LOOKUP(M78,T!$Z198:$Z214,T!$W198:$W214),IF(AND(M51="4F1",M53=4,M55="DC"),LOOKUP(M78,T!$Z198:$Z214,T!$X198:$X214),IF(AND(M51="4F1",M53=4,M55="AC"),LOOKUP(M78,T!$Z198:$Z214,T!$Y198:$Y214),IF(AND(M51="4F2",M53=2,M55="DC"),LOOKUP(M78,T!$Y220:$Y236,T!$U220:$U236),IF(AND(M51="4F2",M53=2,M55="AC"),LOOKUP(M78,T!$Y220:$Y236,T!$V220:$V236),IF(AND(M51="4F2",M53=3,M55="AC"),LOOKUP(M78,T!$Y220:$Y236,T!$W220:$W236),IF(AND(M51="4F2",M53=4,M55="DC"),LOOKUP(M78,T!$Y220:$Y236,T!$X220:$X236),IF(AND(M51="4F3",M53=2),LOOKUP(M78,T!$W242:$W248,T!$U242:$U248),IF(AND(M51="4F3",M53=3,M55="AC"),LOOKUP(M78,T!$W242:$W248,T!$V242:$V248),0))))))))))),IF(ISNUMBER(SEARCH("4G",M51)),IF(AND(M51="4G1",OR(M53=2,M53=5)),LOOKUP(M79,T!$AA254:$AA269,T!$U254:$U269),IF(AND(M51="4G1",OR(M53=3,M53=6)),LOOKUP(M79,T!$AA254:$AA269,T!$X254:$X269),IF(AND(M51="4G1",OR(M53=4,M53=7)),LOOKUP(M79,T!$AA254:$AA269,T!$Y254:$Y269),IF(AND(M51="4G1",OR(M53=8,M53=9)),LOOKUP(M79,T!$AA254:$AA269,T!$Z254:$Z269),IF(AND(M51="4G2",OR(M53=2,M53=5)),LOOKUP(M79,T!$AA281:$AA296,T!$U281:$U296),IF(AND(M51="4G2",OR(M53=3,M53=6)),LOOKUP(M79,T!$AA281:$AA296,T!$X281:$X296),IF(AND(M51="4G2",OR(M53=4,M53=7)),LOOKUP(M79,T!$AA281:$AA296,T!$Y281:$Y296),IF(AND(M51="4G2",OR(M53=8,M53=9)),LOOKUP(M79,T!$AA281:$AA296,T!$Z281:$Z296),0)))))))),0)))))*M23*M69)/1000))</f>
        <v/>
      </c>
      <c r="N94" s="156">
        <f>IF(N29="","",IF(OR(COUNT(N19:N21)=3,COUNT(N19:N21)=1),(IF(N29="",0,IF(ISNUMBER(SEARCH("4D",N51)),IF(AND(N51="4D1",OR(N53=2,N53=4,N53=6,N53=8,N53=11),N55="DC"),LOOKUP(N78,T!$AC6:$AC27,T!$U6:$U27),IF(AND(N51="4D1",OR(N53=2,N53=4),N55="AC"),LOOKUP(N78,T!$AC6:$AC27,T!$V6:$V27),IF(AND(N51="4D1",OR(N53=6,N53=8),N55="AC"),LOOKUP(N78,T!$AC6:$AC27,T!$W6:$W27),IF(AND(N51="4D1",OR(N53=11,N53=12),N55="AC",N57=1),LOOKUP(N78,T!$AC6:$AC27,T!$X6:$X27),IF(AND(N51="4D1",OR(N53=3,N53=5),N55="AC"),LOOKUP(N78,T!$AC6:$AC27,T!$Y6:$Y27),IF(AND(N51="4D1",OR(N53=7,N53=10),N55="AC"),LOOKUP(N78,T!$AC6:$AC27,T!$Z6:$Z27),IF(AND(N51="4D1",N53=9,N55="AC"),LOOKUP(N78,T!$AC6:$AC27,T!$AA6:$AA27),IF(AND(N51="4D1",OR(N53=11,N53=12),N55="AC",N57=3),LOOKUP(N78,T!$AC13:$AC27,T!$AB13:$AB27),IF(AND(N51="4D2",OR(N53=2,N53=4,N53=6,N53=8),N55="DC"),LOOKUP(N78,T!$X33:$X50,T!$U33:$U50),IF(AND(N51="4D2",OR(N53=2,N53=4,N53=6,N53=8),N55="AC"),LOOKUP(N78,T!$X33:$X50,T!$V33:$V50),IF(AND(N51="4D2",OR(N53=3,N53=5,N53=7,N53=9),N55="AC"),LOOKUP(N78,T!$X33:$X50,T!$W33:$W50),IF(AND(N51="4D3",OR(N53=2,N53=4,N53=7,N53=8),N55="DC"),LOOKUP(N78,T!$AA56:$AA68,T!$U56:$U68),IF(AND(N51="4D3",OR(N53=2,N53=4),N55="AC"),LOOKUP(N78,T!$AA56:$AA68,T!$V56:$V68),IF(AND(N51="4D3",OR(N53=9,N53=10),N55="AC"),LOOKUP(N78,T!$AA56:$AA$68,T!$W56:$W68),IF(AND(N51="4D3",N53=6,N55="AC"),LOOKUP(N78,T!$AA56:$AA68,T!$X56:$X68),IF(AND(N51="4D3",OR(N53=3,N53=5),N55="AC"),LOOKUP(N78,T!$AA56:$AA68,T!$Y56:$Y68),IF(AND(N51="4D3",OR(N53=11,N53=12),N55="AC"),LOOKUP(N78,T!$AA56:$AA68,T!$Z56:$Z68),IF(AND(N51="4D4",OR(N53=2,N53=4,N53=6),N55="DC"),LOOKUP(N78,T!$X74:$X90,T!$U74:$U90),IF(AND(N51="4D4",OR(N53=2,N53=4,N53=6),N55="AC"),LOOKUP(N78,T!$X74:$X90,T!$V74:$V90),IF(AND(N51="4D4",OR(N53=3,N53=5,N53=7),N55="AC"),LOOKUP(N78,T!$X74:$X90,T!$W74:$W90),IF(AND(N51="4D5",AND(N53&gt;=2,N53&lt;=7)),LOOKUP(N78,T!$I96:$I102,T!$H96:$H102),0))))))))))))))))))))),IF(ISNUMBER(SEARCH("4E",N51)),IF(AND(N51="4E1",OR(N53=2,N53=4,N53=6,N53=8,N53=11),N55="DC"),LOOKUP(N78,T!$AC108:$AC129,T!$U108:$U129),IF(AND(N51="4E1",OR(N53=2,N53=4),N55="AC"),LOOKUP(N78,T!$AC108:$AC129,T!$V108:$V129),IF(AND(N51="4E1",OR(N53=6,N53=8),N55="AC"),LOOKUP(N78,T!$AC108:$AC129,T!$W108:$W129),IF(AND(N51="4E1",OR(N53=11,N53=12),N55="AC",N57=1),LOOKUP(N78,T!$AC108:$AC127,T!$X108:$X129),IF(AND(N51="4E1",OR(N53=3,N53=5),N55="AC"),LOOKUP(N78,T!$AC108:$AC129,T!$Y108:$Y129),IF(AND(N51="4E1",OR(N53=7,N53=10),N55="AC"),LOOKUP(N78,T!$AC108:$AC129,T!$Z108:$Z129),IF(AND(N51="4E1",N53=9,N55="AC"),LOOKUP(N78,T!$AC115:$AC129,T!$AA115:$AA129),IF(AND(N51="4E1",OR(N53=11,N53=12),N55="AC",N57=3),LOOKUP(N78,T!$AC115:$AC129,T!$AB115:$AB129),IF(AND(N51="4E2",OR(N53=2,N53=4,N53=6,N53=8),N55="DC"),LOOKUP(N78,T!$X134:$X152,T!$U134:$U152),IF(AND(N51="4E2",OR(N53=2,N53=4,N53=6,N53=8),N55="AC"),LOOKUP(N78,T!$X134:$X152,T!$V134:$V152),IF(AND(N51="4E2",OR(N53=3,N53=5,N53=7,N53=9),N55="AC"),LOOKUP(N78,T!$X134:$X152,T!$W134:$W152),IF(AND(N51="4E3",OR(N53=2,N53=4,N53=7,N53=8),N55="DC"),LOOKUP(N78,T!$AA158:$AA170,T!$U158:$U170),IF(AND(N51="4E3",OR(N53=2,N53=4),N55="AC"),LOOKUP(N78,T!$AA158:$AA170,T!$V158:$V170),IF(AND(N51="4E3",OR(N53=9,N53=10),N55="AC"),LOOKUP(N78,T!$AA158:$AA170,T!$W158:$W170),IF(AND(N51="4E3",N53=6,N55="AC"),LOOKUP(N78,T!$AA158:$AA170,T!$X158:$X170),IF(AND(N51="4E3",OR(N53=3,N53=5),N55="AC"),LOOKUP(N78,T!$AA158:$AA170,T!$Y158:$Y170),IF(AND(N51="4E3",OR(N53=11,N53=12),N55="AC"),LOOKUP(N78,T!$AA158:$AA170,T!$Z158:$Z170),IF(AND(N51="4E4",OR(N53=2,N53=4,N53=6),N55="DC"),LOOKUP(N78,T!$X176:$X192,T!$U176:$U192),IF(AND(N51="4E4",OR(N53=2,N53=4,N53=6),N55="AC"),LOOKUP(N78,T!$X176:$X192,T!$V176:$V192),IF(AND(N51="4E4",OR(N53=3,N53=5,N53=7),N55="AC"),LOOKUP(N78,T!$X176:$X192,T!$W176:$W192),0)))))))))))))))))))),IF(ISNUMBER(SEARCH("4F",N51)),IF(AND(N51="4F1",N53=2,N55="DC"),LOOKUP(N78,T!$Z198:$Z214,T!$U198:$U214),IF(AND(N51="4F1",N53=2,N55="AC"),LOOKUP(N78,T!$Z198:$Z214,T!$V198:$V214),IF(AND(N51="4F1",N53=3,N55="AC"),LOOKUP(N78,T!$Z198:$Z214,T!$W198:$W214),IF(AND(N51="4F1",N53=4,N55="DC"),LOOKUP(N78,T!$Z198:$Z214,T!$X198:$X214),IF(AND(N51="4F1",N53=4,N55="AC"),LOOKUP(N78,T!$Z198:$Z214,T!$Y198:$Y214),IF(AND(N51="4F2",N53=2,N55="DC"),LOOKUP(N78,T!$Y220:$Y236,T!$U220:$U236),IF(AND(N51="4F2",N53=2,N55="AC"),LOOKUP(N78,T!$Y220:$Y236,T!$V220:$V236),IF(AND(N51="4F2",N53=3,N55="AC"),LOOKUP(N78,T!$Y220:$Y236,T!$W220:$W236),IF(AND(N51="4F2",N53=4,N55="DC"),LOOKUP(N78,T!$Y220:$Y236,T!$X220:$X236),IF(AND(N51="4F3",N53=2),LOOKUP(N78,T!$W242:$W248,T!$U242:$U248),IF(AND(N51="4F3",N53=3,N55="AC"),LOOKUP(N78,T!$W242:$W248,T!$V242:$V248),0))))))))))),IF(ISNUMBER(SEARCH("4G",N51)),IF(AND(N51="4G1",OR(N53=2,N53=5)),LOOKUP(N79,T!$AA254:$AA269,T!$U254:$U269),IF(AND(N51="4G1",OR(N53=3,N53=6)),LOOKUP(N79,T!$AA254:$AA269,T!$X254:$X269),IF(AND(N51="4G1",OR(N53=4,N53=7)),LOOKUP(N79,T!$AA254:$AA269,T!$Y254:$Y269),IF(AND(N51="4G1",OR(N53=8,N53=9)),LOOKUP(N79,T!$AA254:$AA269,T!$Z254:$Z269),IF(AND(N51="4G2",OR(N53=2,N53=5)),LOOKUP(N79,T!$AA281:$AA296,T!$U281:$U296),IF(AND(N51="4G2",OR(N53=3,N53=6)),LOOKUP(N79,T!$AA281:$AA296,T!$X281:$X296),IF(AND(N51="4G2",OR(N53=4,N53=7)),LOOKUP(N79,T!$AA281:$AA296,T!$Y281:$Y296),IF(AND(N51="4G2",OR(N53=8,N53=9)),LOOKUP(N79,T!$AA281:$AA296,T!$Z281:$Z296),0)))))))),0)))))*N23*N69)/1000))</f>
        <v>5.0083396845365131</v>
      </c>
      <c r="O94" s="128" t="str">
        <f t="shared" ref="O94:O101" si="23">IF(O$9="","",IF(N94&lt;&gt;0,"mV/A/m",""))</f>
        <v>mV/A/m</v>
      </c>
    </row>
    <row r="95" spans="1:15" s="168" customFormat="1" ht="17">
      <c r="A95" s="188"/>
      <c r="B95" s="395"/>
      <c r="C95" s="392"/>
      <c r="D95" s="158">
        <f>IF(D29="","",IF(OR(COUNT(D19:D21)=3,COUNT(D19:D21)=1),(IF(D29="",0,IF(ISNUMBER(SEARCH("4D",D51)),IF(AND(D51="4D1",OR(D53=2,D53=4,D53=6,D53=8,D53=11),D55="DC"),LOOKUP(D81,T!$AC6:$AC27,T!$U6:$U27),IF(AND(D51="4D1",OR(D53=2,D53=4),D55="AC"),LOOKUP(D81,T!$AC6:$AC27,T!$V6:$V27),IF(AND(D51="4D1",OR(D53=6,D53=8),D55="AC"),LOOKUP(D81,T!$AC6:$AC27,T!$W6:$W27),IF(AND(D51="4D1",OR(D53=11,D53=12),D55="AC",D57=1),LOOKUP(D81,T!$AC6:$AC27,T!$X6:$X27),IF(AND(D51="4D1",OR(D53=3,D53=5),D55="AC"),LOOKUP(D81,T!$AC6:$AC27,T!$Y6:$Y27),IF(AND(D51="4D1",OR(D53=7,D53=10),D55="AC"),LOOKUP(D81,T!$AC6:$AC27,T!$Z6:$Z27),IF(AND(D51="4D1",D53=9,D55="AC"),LOOKUP(D81,T!$AC6:$AC27,T!$AA6:$AA27),IF(AND(D51="4D1",OR(D53=11,D53=12),D55="AC",D57=3),LOOKUP(D81,T!$AC13:$AC27,T!$AB13:$AB27),IF(AND(D51="4D2",OR(D53=2,D53=4,D53=6,D53=8),D55="DC"),LOOKUP(D81,T!$X33:$X50,T!$U33:$U50),IF(AND(D51="4D2",OR(D53=2,D53=4,D53=6,D53=8),D55="AC"),LOOKUP(D81,T!$X33:$X50,T!$V33:$V50),IF(AND(D51="4D2",OR(D53=3,D53=5,D53=7,D53=9),D55="AC"),LOOKUP(D81,T!$X33:$X50,T!$W33:$W50),IF(AND(D51="4D3",OR(D53=2,D53=4,D53=7,D53=8),D55="DC"),LOOKUP(D81,T!$AA56:$AA68,T!$U56:$U68),IF(AND(D51="4D3",OR(D53=2,D53=4),D55="AC"),LOOKUP(D81,T!$AA56:$AA68,T!$V56:$V68),IF(AND(D51="4D3",OR(D53=9,D53=10),D55="AC"),LOOKUP(D81,T!$AA56:$AA$68,T!$W56:$W68),IF(AND(D51="4D3",D53=6,D55="AC"),LOOKUP(D81,T!$AA56:$AA68,T!$X56:$X68),IF(AND(D51="4D3",OR(D53=3,D53=5),D55="AC"),LOOKUP(D81,T!$AA56:$AA68,T!$Y56:$Y68),IF(AND(D51="4D3",OR(D53=11,D53=12),D55="AC"),LOOKUP(D81,T!$AA56:$AA68,T!$Z56:$Z68),IF(AND(D51="4D4",OR(D53=2,D53=4,D53=6),D55="DC"),LOOKUP(D81,T!$X74:$X90,T!$U74:$U90),IF(AND(D51="4D4",OR(D53=2,D53=4,D53=6),D55="AC"),LOOKUP(D81,T!$X74:$X90,T!$V74:$V90),IF(AND(D51="4D4",OR(D53=3,D53=5,D53=7),D55="AC"),LOOKUP(D81,T!$X74:$X90,T!$W74:$W90),IF(AND(D51="4D5",AND(D53&gt;=2,D53&lt;=7)),LOOKUP(D81,T!$I96:$I102,T!$H96:$H102),0))))))))))))))))))))),IF(ISNUMBER(SEARCH("4E",D51)),IF(AND(D51="4E1",OR(D53=2,D53=4,D53=6,D53=8,D53=11),D55="DC"),LOOKUP(D81,T!$AC108:$AC129,T!$U108:$U129),IF(AND(D51="4E1",OR(D53=2,D53=4),D55="AC"),LOOKUP(D81,T!$AC108:$AC129,T!$V108:$V129),IF(AND(D51="4E1",OR(D53=6,D53=8),D55="AC"),LOOKUP(D81,T!$AC108:$AC129,T!$W108:$W129),IF(AND(D51="4E1",OR(D53=11,D53=12),D55="AC",D57=1),LOOKUP(D81,T!$AC108:$AC127,T!$X108:$X129),IF(AND(D51="4E1",OR(D53=3,D53=5),D55="AC"),LOOKUP(D81,T!$AC108:$AC129,T!$Y108:$Y129),IF(AND(D51="4E1",OR(D53=7,D53=10),D55="AC"),LOOKUP(D81,T!$AC108:$AC129,T!$Z108:$Z129),IF(AND(D51="4E1",D53=9,D55="AC"),LOOKUP(D81,T!$AC115:$AC129,T!$AA115:$AA129),IF(AND(D51="4E1",OR(D53=11,D53=12),D55="AC",D57=3),LOOKUP(D81,T!$AC115:$AC129,T!$AB115:$AB129),IF(AND(D51="4E2",OR(D53=2,D53=4,D53=6,D53=8),D55="DC"),LOOKUP(D81,T!$X134:$X152,T!$U134:$U152),IF(AND(D51="4E2",OR(D53=2,D53=4,D53=6,D53=8),D55="AC"),LOOKUP(D81,T!$X134:$X152,T!$V134:$V152),IF(AND(D51="4E2",OR(D53=3,D53=5,D53=7,D53=9),D55="AC"),LOOKUP(D81,T!$X134:$X152,T!$W134:$W152),IF(AND(D51="4E3",OR(D53=2,D53=4,D53=7,D53=8),D55="DC"),LOOKUP(D81,T!$AA158:$AA170,T!$U158:$U170),IF(AND(D51="4E3",OR(D53=2,D53=4),D55="AC"),LOOKUP(D81,T!$AA158:$AA170,T!$V158:$V170),IF(AND(D51="4E3",OR(D53=9,D53=10),D55="AC"),LOOKUP(D81,T!$AA158:$AA170,T!$W158:$W170),IF(AND(D51="4E3",D53=6,D55="AC"),LOOKUP(D81,T!$AA158:$AA170,T!$X158:$X170),IF(AND(D51="4E3",OR(D53=3,D53=5),D55="AC"),LOOKUP(D81,T!$AA158:$AA170,T!$Y158:$Y170),IF(AND(D51="4E3",OR(D53=11,D53=12),D55="AC"),LOOKUP(D81,T!$AA158:$AA170,T!$Z158:$Z170),IF(AND(D51="4E4",OR(D53=2,D53=4,D53=6),D55="DC"),LOOKUP(D81,T!$X176:$X192,T!$U176:$U192),IF(AND(D51="4E4",OR(D53=2,D53=4,D53=6),D55="AC"),LOOKUP(D81,T!$X176:$X192,T!$V176:$V192),IF(AND(D51="4E4",OR(D53=3,D53=5,D53=7),D55="AC"),LOOKUP(D81,T!$X176:$X192,T!$W176:$W192),0)))))))))))))))))))),IF(ISNUMBER(SEARCH("4F",D51)),IF(AND(D51="4F1",D53=2,D55="DC"),LOOKUP(D81,T!$Z198:$Z214,T!$U198:$U214),IF(AND(D51="4F1",D53=2,D55="AC"),LOOKUP(D81,T!$Z198:$Z214,T!$V198:$V214),IF(AND(D51="4F1",D53=3,D55="AC"),LOOKUP(D81,T!$Z198:$Z214,T!$W198:$W214),IF(AND(D51="4F1",D53=4,D55="DC"),LOOKUP(D81,T!$Z198:$Z214,T!$X198:$X214),IF(AND(D51="4F1",D53=4,D55="AC"),LOOKUP(D81,T!$Z198:$Z214,T!$Y198:$Y214),IF(AND(D51="4F2",D53=2,D55="DC"),LOOKUP(D81,T!$Y220:$Y236,T!$U220:$U236),IF(AND(D51="4F2",D53=2,D55="AC"),LOOKUP(D81,T!$Y220:$Y236,T!$V220:$V236),IF(AND(D51="4F2",D53=3,D55="AC"),LOOKUP(D81,T!$Y220:$Y236,T!$W220:$W236),IF(AND(D51="4F2",D53=4,D55="DC"),LOOKUP(D81,T!$Y220:$Y236,T!$X220:$X236),IF(AND(D51="4F3",D53=2),LOOKUP(D81,T!$W242:$W248,T!$U242:$U248),IF(AND(D51="4F3",D53=3,D55="AC"),LOOKUP(D81,T!$W242:$W248,T!$V242:$V248),0))))))))))),IF(ISNUMBER(SEARCH("4G",D51)),IF(AND(D51="4G1",OR(D53=2,D53=5)),LOOKUP(D81,T!$AA254:$AA269,T!$U254:$U269),IF(AND(D51="4G1",OR(D53=3,D53=6)),LOOKUP(D81,T!$AA254:$AA269,T!$X254:$X269),IF(AND(D51="4G1",OR(D53=4,D53=7)),LOOKUP(D81,T!$AA254:$AA269,T!$Y254:$Y269),IF(AND(D51="4G1",OR(D53=8,D53=9)),LOOKUP(D81,T!$AA254:$AA269,T!$Z254:$Z269),IF(AND(D51="4G2",OR(D53=2,D53=5)),LOOKUP(D81,T!$AA281:$AA296,T!$U281:$U296),IF(AND(D51="4G2",OR(D53=3,D53=6)),LOOKUP(D81,T!$AA281:$AA296,T!$X281:$X296),IF(AND(D51="4G2",OR(D53=4,D53=7)),LOOKUP(D81,T!$AA281:$AA296,T!$Y281:$Y296),IF(AND(D51="4G2",OR(D53=8,D53=9)),LOOKUP(D81,T!$AA281:$AA296,T!$Z281:$Z296),0)))))))),0)))))*D23*D69)/1000))</f>
        <v>2.8645833333333339</v>
      </c>
      <c r="E95" s="158">
        <f ca="1">IF(E29="","",IF(OR(COUNT(E19:E21)=3,COUNT(E19:E21)=1),(IF(E29="",0,IF(ISNUMBER(SEARCH("4D",E51)),IF(AND(E51="4D1",OR(E53=2,E53=4,E53=6,E53=8,E53=11),E55="DC"),LOOKUP(E81,T!$AC6:$AC27,T!$U6:$U27),IF(AND(E51="4D1",OR(E53=2,E53=4),E55="AC"),LOOKUP(E81,T!$AC6:$AC27,T!$V6:$V27),IF(AND(E51="4D1",OR(E53=6,E53=8),E55="AC"),LOOKUP(E81,T!$AC6:$AC27,T!$W6:$W27),IF(AND(E51="4D1",OR(E53=11,E53=12),E55="AC",E57=1),LOOKUP(E81,T!$AC6:$AC27,T!$X6:$X27),IF(AND(E51="4D1",OR(E53=3,E53=5),E55="AC"),LOOKUP(E81,T!$AC6:$AC27,T!$Y6:$Y27),IF(AND(E51="4D1",OR(E53=7,E53=10),E55="AC"),LOOKUP(E81,T!$AC6:$AC27,T!$Z6:$Z27),IF(AND(E51="4D1",E53=9,E55="AC"),LOOKUP(E81,T!$AC6:$AC27,T!$AA6:$AA27),IF(AND(E51="4D1",OR(E53=11,E53=12),E55="AC",E57=3),LOOKUP(E81,T!$AC13:$AC27,T!$AB13:$AB27),IF(AND(E51="4D2",OR(E53=2,E53=4,E53=6,E53=8),E55="DC"),LOOKUP(E81,T!$X33:$X50,T!$U33:$U50),IF(AND(E51="4D2",OR(E53=2,E53=4,E53=6,E53=8),E55="AC"),LOOKUP(E81,T!$X33:$X50,T!$V33:$V50),IF(AND(E51="4D2",OR(E53=3,E53=5,E53=7,E53=9),E55="AC"),LOOKUP(E81,T!$X33:$X50,T!$W33:$W50),IF(AND(E51="4D3",OR(E53=2,E53=4,E53=7,E53=8),E55="DC"),LOOKUP(E81,T!$AA56:$AA68,T!$U56:$U68),IF(AND(E51="4D3",OR(E53=2,E53=4),E55="AC"),LOOKUP(E81,T!$AA56:$AA68,T!$V56:$V68),IF(AND(E51="4D3",OR(E53=9,E53=10),E55="AC"),LOOKUP(E81,T!$AA56:$AA$68,T!$W56:$W68),IF(AND(E51="4D3",E53=6,E55="AC"),LOOKUP(E81,T!$AA56:$AA68,T!$X56:$X68),IF(AND(E51="4D3",OR(E53=3,E53=5),E55="AC"),LOOKUP(E81,T!$AA56:$AA68,T!$Y56:$Y68),IF(AND(E51="4D3",OR(E53=11,E53=12),E55="AC"),LOOKUP(E81,T!$AA56:$AA68,T!$Z56:$Z68),IF(AND(E51="4D4",OR(E53=2,E53=4,E53=6),E55="DC"),LOOKUP(E81,T!$X74:$X90,T!$U74:$U90),IF(AND(E51="4D4",OR(E53=2,E53=4,E53=6),E55="AC"),LOOKUP(E81,T!$X74:$X90,T!$V74:$V90),IF(AND(E51="4D4",OR(E53=3,E53=5,E53=7),E55="AC"),LOOKUP(E81,T!$X74:$X90,T!$W74:$W90),IF(AND(E51="4D5",AND(E53&gt;=2,E53&lt;=7)),LOOKUP(E81,T!$I96:$I102,T!$H96:$H102),0))))))))))))))))))))),IF(ISNUMBER(SEARCH("4E",E51)),IF(AND(E51="4E1",OR(E53=2,E53=4,E53=6,E53=8,E53=11),E55="DC"),LOOKUP(E81,T!$AC108:$AC129,T!$U108:$U129),IF(AND(E51="4E1",OR(E53=2,E53=4),E55="AC"),LOOKUP(E81,T!$AC108:$AC129,T!$V108:$V129),IF(AND(E51="4E1",OR(E53=6,E53=8),E55="AC"),LOOKUP(E81,T!$AC108:$AC129,T!$W108:$W129),IF(AND(E51="4E1",OR(E53=11,E53=12),E55="AC",E57=1),LOOKUP(E81,T!$AC108:$AC127,T!$X108:$X129),IF(AND(E51="4E1",OR(E53=3,E53=5),E55="AC"),LOOKUP(E81,T!$AC108:$AC129,T!$Y108:$Y129),IF(AND(E51="4E1",OR(E53=7,E53=10),E55="AC"),LOOKUP(E81,T!$AC108:$AC129,T!$Z108:$Z129),IF(AND(E51="4E1",E53=9,E55="AC"),LOOKUP(E81,T!$AC115:$AC129,T!$AA115:$AA129),IF(AND(E51="4E1",OR(E53=11,E53=12),E55="AC",E57=3),LOOKUP(E81,T!$AC115:$AC129,T!$AB115:$AB129),IF(AND(E51="4E2",OR(E53=2,E53=4,E53=6,E53=8),E55="DC"),LOOKUP(E81,T!$X134:$X152,T!$U134:$U152),IF(AND(E51="4E2",OR(E53=2,E53=4,E53=6,E53=8),E55="AC"),LOOKUP(E81,T!$X134:$X152,T!$V134:$V152),IF(AND(E51="4E2",OR(E53=3,E53=5,E53=7,E53=9),E55="AC"),LOOKUP(E81,T!$X134:$X152,T!$W134:$W152),IF(AND(E51="4E3",OR(E53=2,E53=4,E53=7,E53=8),E55="DC"),LOOKUP(E81,T!$AA158:$AA170,T!$U158:$U170),IF(AND(E51="4E3",OR(E53=2,E53=4),E55="AC"),LOOKUP(E81,T!$AA158:$AA170,T!$V158:$V170),IF(AND(E51="4E3",OR(E53=9,E53=10),E55="AC"),LOOKUP(E81,T!$AA158:$AA170,T!$W158:$W170),IF(AND(E51="4E3",E53=6,E55="AC"),LOOKUP(E81,T!$AA158:$AA170,T!$X158:$X170),IF(AND(E51="4E3",OR(E53=3,E53=5),E55="AC"),LOOKUP(E81,T!$AA158:$AA170,T!$Y158:$Y170),IF(AND(E51="4E3",OR(E53=11,E53=12),E55="AC"),LOOKUP(E81,T!$AA158:$AA170,T!$Z158:$Z170),IF(AND(E51="4E4",OR(E53=2,E53=4,E53=6),E55="DC"),LOOKUP(E81,T!$X176:$X192,T!$U176:$U192),IF(AND(E51="4E4",OR(E53=2,E53=4,E53=6),E55="AC"),LOOKUP(E81,T!$X176:$X192,T!$V176:$V192),IF(AND(E51="4E4",OR(E53=3,E53=5,E53=7),E55="AC"),LOOKUP(E81,T!$X176:$X192,T!$W176:$W192),0)))))))))))))))))))),IF(ISNUMBER(SEARCH("4F",E51)),IF(AND(E51="4F1",E53=2,E55="DC"),LOOKUP(E81,T!$Z198:$Z214,T!$U198:$U214),IF(AND(E51="4F1",E53=2,E55="AC"),LOOKUP(E81,T!$Z198:$Z214,T!$V198:$V214),IF(AND(E51="4F1",E53=3,E55="AC"),LOOKUP(E81,T!$Z198:$Z214,T!$W198:$W214),IF(AND(E51="4F1",E53=4,E55="DC"),LOOKUP(E81,T!$Z198:$Z214,T!$X198:$X214),IF(AND(E51="4F1",E53=4,E55="AC"),LOOKUP(E81,T!$Z198:$Z214,T!$Y198:$Y214),IF(AND(E51="4F2",E53=2,E55="DC"),LOOKUP(E81,T!$Y220:$Y236,T!$U220:$U236),IF(AND(E51="4F2",E53=2,E55="AC"),LOOKUP(E81,T!$Y220:$Y236,T!$V220:$V236),IF(AND(E51="4F2",E53=3,E55="AC"),LOOKUP(E81,T!$Y220:$Y236,T!$W220:$W236),IF(AND(E51="4F2",E53=4,E55="DC"),LOOKUP(E81,T!$Y220:$Y236,T!$X220:$X236),IF(AND(E51="4F3",E53=2),LOOKUP(E81,T!$W242:$W248,T!$U242:$U248),IF(AND(E51="4F3",E53=3,E55="AC"),LOOKUP(E81,T!$W242:$W248,T!$V242:$V248),0))))))))))),IF(ISNUMBER(SEARCH("4G",E51)),IF(AND(E51="4G1",OR(E53=2,E53=5)),LOOKUP(E81,T!$AA254:$AA269,T!$U254:$U269),IF(AND(E51="4G1",OR(E53=3,E53=6)),LOOKUP(E81,T!$AA254:$AA269,T!$X254:$X269),IF(AND(E51="4G1",OR(E53=4,E53=7)),LOOKUP(E81,T!$AA254:$AA269,T!$Y254:$Y269),IF(AND(E51="4G1",OR(E53=8,E53=9)),LOOKUP(E81,T!$AA254:$AA269,T!$Z254:$Z269),IF(AND(E51="4G2",OR(E53=2,E53=5)),LOOKUP(E81,T!$AA281:$AA296,T!$U281:$U296),IF(AND(E51="4G2",OR(E53=3,E53=6)),LOOKUP(E81,T!$AA281:$AA296,T!$X281:$X296),IF(AND(E51="4G2",OR(E53=4,E53=7)),LOOKUP(E81,T!$AA281:$AA296,T!$Y281:$Y296),IF(AND(E51="4G2",OR(E53=8,E53=9)),LOOKUP(E81,T!$AA281:$AA296,T!$Z281:$Z296),0)))))))),0)))))*E23*E69)/1000))</f>
        <v>6.2963999999999993</v>
      </c>
      <c r="F95" s="158">
        <f ca="1">IF(F29="","",IF(OR(COUNT(F19:F21)=3,COUNT(F19:F21)=1),(IF(F29="",0,IF(ISNUMBER(SEARCH("4D",F51)),IF(AND(F51="4D1",OR(F53=2,F53=4,F53=6,F53=8,F53=11),F55="DC"),LOOKUP(F81,T!$AC6:$AC27,T!$U6:$U27),IF(AND(F51="4D1",OR(F53=2,F53=4),F55="AC"),LOOKUP(F81,T!$AC6:$AC27,T!$V6:$V27),IF(AND(F51="4D1",OR(F53=6,F53=8),F55="AC"),LOOKUP(F81,T!$AC6:$AC27,T!$W6:$W27),IF(AND(F51="4D1",OR(F53=11,F53=12),F55="AC",F57=1),LOOKUP(F81,T!$AC6:$AC27,T!$X6:$X27),IF(AND(F51="4D1",OR(F53=3,F53=5),F55="AC"),LOOKUP(F81,T!$AC6:$AC27,T!$Y6:$Y27),IF(AND(F51="4D1",OR(F53=7,F53=10),F55="AC"),LOOKUP(F81,T!$AC6:$AC27,T!$Z6:$Z27),IF(AND(F51="4D1",F53=9,F55="AC"),LOOKUP(F81,T!$AC6:$AC27,T!$AA6:$AA27),IF(AND(F51="4D1",OR(F53=11,F53=12),F55="AC",F57=3),LOOKUP(F81,T!$AC13:$AC27,T!$AB13:$AB27),IF(AND(F51="4D2",OR(F53=2,F53=4,F53=6,F53=8),F55="DC"),LOOKUP(F81,T!$X33:$X50,T!$U33:$U50),IF(AND(F51="4D2",OR(F53=2,F53=4,F53=6,F53=8),F55="AC"),LOOKUP(F81,T!$X33:$X50,T!$V33:$V50),IF(AND(F51="4D2",OR(F53=3,F53=5,F53=7,F53=9),F55="AC"),LOOKUP(F81,T!$X33:$X50,T!$W33:$W50),IF(AND(F51="4D3",OR(F53=2,F53=4,F53=7,F53=8),F55="DC"),LOOKUP(F81,T!$AA56:$AA68,T!$U56:$U68),IF(AND(F51="4D3",OR(F53=2,F53=4),F55="AC"),LOOKUP(F81,T!$AA56:$AA68,T!$V56:$V68),IF(AND(F51="4D3",OR(F53=9,F53=10),F55="AC"),LOOKUP(F81,T!$AA56:$AA$68,T!$W56:$W68),IF(AND(F51="4D3",F53=6,F55="AC"),LOOKUP(F81,T!$AA56:$AA68,T!$X56:$X68),IF(AND(F51="4D3",OR(F53=3,F53=5),F55="AC"),LOOKUP(F81,T!$AA56:$AA68,T!$Y56:$Y68),IF(AND(F51="4D3",OR(F53=11,F53=12),F55="AC"),LOOKUP(F81,T!$AA56:$AA68,T!$Z56:$Z68),IF(AND(F51="4D4",OR(F53=2,F53=4,F53=6),F55="DC"),LOOKUP(F81,T!$X74:$X90,T!$U74:$U90),IF(AND(F51="4D4",OR(F53=2,F53=4,F53=6),F55="AC"),LOOKUP(F81,T!$X74:$X90,T!$V74:$V90),IF(AND(F51="4D4",OR(F53=3,F53=5,F53=7),F55="AC"),LOOKUP(F81,T!$X74:$X90,T!$W74:$W90),IF(AND(F51="4D5",AND(F53&gt;=2,F53&lt;=7)),LOOKUP(F81,T!$I96:$I102,T!$H96:$H102),0))))))))))))))))))))),IF(ISNUMBER(SEARCH("4E",F51)),IF(AND(F51="4E1",OR(F53=2,F53=4,F53=6,F53=8,F53=11),F55="DC"),LOOKUP(F81,T!$AC108:$AC129,T!$U108:$U129),IF(AND(F51="4E1",OR(F53=2,F53=4),F55="AC"),LOOKUP(F81,T!$AC108:$AC129,T!$V108:$V129),IF(AND(F51="4E1",OR(F53=6,F53=8),F55="AC"),LOOKUP(F81,T!$AC108:$AC129,T!$W108:$W129),IF(AND(F51="4E1",OR(F53=11,F53=12),F55="AC",F57=1),LOOKUP(F81,T!$AC108:$AC127,T!$X108:$X129),IF(AND(F51="4E1",OR(F53=3,F53=5),F55="AC"),LOOKUP(F81,T!$AC108:$AC129,T!$Y108:$Y129),IF(AND(F51="4E1",OR(F53=7,F53=10),F55="AC"),LOOKUP(F81,T!$AC108:$AC129,T!$Z108:$Z129),IF(AND(F51="4E1",F53=9,F55="AC"),LOOKUP(F81,T!$AC115:$AC129,T!$AA115:$AA129),IF(AND(F51="4E1",OR(F53=11,F53=12),F55="AC",F57=3),LOOKUP(F81,T!$AC115:$AC129,T!$AB115:$AB129),IF(AND(F51="4E2",OR(F53=2,F53=4,F53=6,F53=8),F55="DC"),LOOKUP(F81,T!$X134:$X152,T!$U134:$U152),IF(AND(F51="4E2",OR(F53=2,F53=4,F53=6,F53=8),F55="AC"),LOOKUP(F81,T!$X134:$X152,T!$V134:$V152),IF(AND(F51="4E2",OR(F53=3,F53=5,F53=7,F53=9),F55="AC"),LOOKUP(F81,T!$X134:$X152,T!$W134:$W152),IF(AND(F51="4E3",OR(F53=2,F53=4,F53=7,F53=8),F55="DC"),LOOKUP(F81,T!$AA158:$AA170,T!$U158:$U170),IF(AND(F51="4E3",OR(F53=2,F53=4),F55="AC"),LOOKUP(F81,T!$AA158:$AA170,T!$V158:$V170),IF(AND(F51="4E3",OR(F53=9,F53=10),F55="AC"),LOOKUP(F81,T!$AA158:$AA170,T!$W158:$W170),IF(AND(F51="4E3",F53=6,F55="AC"),LOOKUP(F81,T!$AA158:$AA170,T!$X158:$X170),IF(AND(F51="4E3",OR(F53=3,F53=5),F55="AC"),LOOKUP(F81,T!$AA158:$AA170,T!$Y158:$Y170),IF(AND(F51="4E3",OR(F53=11,F53=12),F55="AC"),LOOKUP(F81,T!$AA158:$AA170,T!$Z158:$Z170),IF(AND(F51="4E4",OR(F53=2,F53=4,F53=6),F55="DC"),LOOKUP(F81,T!$X176:$X192,T!$U176:$U192),IF(AND(F51="4E4",OR(F53=2,F53=4,F53=6),F55="AC"),LOOKUP(F81,T!$X176:$X192,T!$V176:$V192),IF(AND(F51="4E4",OR(F53=3,F53=5,F53=7),F55="AC"),LOOKUP(F81,T!$X176:$X192,T!$W176:$W192),0)))))))))))))))))))),IF(ISNUMBER(SEARCH("4F",F51)),IF(AND(F51="4F1",F53=2,F55="DC"),LOOKUP(F81,T!$Z198:$Z214,T!$U198:$U214),IF(AND(F51="4F1",F53=2,F55="AC"),LOOKUP(F81,T!$Z198:$Z214,T!$V198:$V214),IF(AND(F51="4F1",F53=3,F55="AC"),LOOKUP(F81,T!$Z198:$Z214,T!$W198:$W214),IF(AND(F51="4F1",F53=4,F55="DC"),LOOKUP(F81,T!$Z198:$Z214,T!$X198:$X214),IF(AND(F51="4F1",F53=4,F55="AC"),LOOKUP(F81,T!$Z198:$Z214,T!$Y198:$Y214),IF(AND(F51="4F2",F53=2,F55="DC"),LOOKUP(F81,T!$Y220:$Y236,T!$U220:$U236),IF(AND(F51="4F2",F53=2,F55="AC"),LOOKUP(F81,T!$Y220:$Y236,T!$V220:$V236),IF(AND(F51="4F2",F53=3,F55="AC"),LOOKUP(F81,T!$Y220:$Y236,T!$W220:$W236),IF(AND(F51="4F2",F53=4,F55="DC"),LOOKUP(F81,T!$Y220:$Y236,T!$X220:$X236),IF(AND(F51="4F3",F53=2),LOOKUP(F81,T!$W242:$W248,T!$U242:$U248),IF(AND(F51="4F3",F53=3,F55="AC"),LOOKUP(F81,T!$W242:$W248,T!$V242:$V248),0))))))))))),IF(ISNUMBER(SEARCH("4G",F51)),IF(AND(F51="4G1",OR(F53=2,F53=5)),LOOKUP(F81,T!$AA254:$AA269,T!$U254:$U269),IF(AND(F51="4G1",OR(F53=3,F53=6)),LOOKUP(F81,T!$AA254:$AA269,T!$X254:$X269),IF(AND(F51="4G1",OR(F53=4,F53=7)),LOOKUP(F81,T!$AA254:$AA269,T!$Y254:$Y269),IF(AND(F51="4G1",OR(F53=8,F53=9)),LOOKUP(F81,T!$AA254:$AA269,T!$Z254:$Z269),IF(AND(F51="4G2",OR(F53=2,F53=5)),LOOKUP(F81,T!$AA281:$AA296,T!$U281:$U296),IF(AND(F51="4G2",OR(F53=3,F53=6)),LOOKUP(F81,T!$AA281:$AA296,T!$X281:$X296),IF(AND(F51="4G2",OR(F53=4,F53=7)),LOOKUP(F81,T!$AA281:$AA296,T!$Y281:$Y296),IF(AND(F51="4G2",OR(F53=8,F53=9)),LOOKUP(F81,T!$AA281:$AA296,T!$Z281:$Z296),0)))))))),0)))))*F23*F69)/1000))</f>
        <v>6.2963999999999993</v>
      </c>
      <c r="G95" s="158">
        <f ca="1">IF(G29="","",IF(OR(COUNT(G19:G21)=3,COUNT(G19:G21)=1),(IF(G29="",0,IF(ISNUMBER(SEARCH("4D",G51)),IF(AND(G51="4D1",OR(G53=2,G53=4,G53=6,G53=8,G53=11),G55="DC"),LOOKUP(G81,T!$AC6:$AC27,T!$U6:$U27),IF(AND(G51="4D1",OR(G53=2,G53=4),G55="AC"),LOOKUP(G81,T!$AC6:$AC27,T!$V6:$V27),IF(AND(G51="4D1",OR(G53=6,G53=8),G55="AC"),LOOKUP(G81,T!$AC6:$AC27,T!$W6:$W27),IF(AND(G51="4D1",OR(G53=11,G53=12),G55="AC",G57=1),LOOKUP(G81,T!$AC6:$AC27,T!$X6:$X27),IF(AND(G51="4D1",OR(G53=3,G53=5),G55="AC"),LOOKUP(G81,T!$AC6:$AC27,T!$Y6:$Y27),IF(AND(G51="4D1",OR(G53=7,G53=10),G55="AC"),LOOKUP(G81,T!$AC6:$AC27,T!$Z6:$Z27),IF(AND(G51="4D1",G53=9,G55="AC"),LOOKUP(G81,T!$AC6:$AC27,T!$AA6:$AA27),IF(AND(G51="4D1",OR(G53=11,G53=12),G55="AC",G57=3),LOOKUP(G81,T!$AC13:$AC27,T!$AB13:$AB27),IF(AND(G51="4D2",OR(G53=2,G53=4,G53=6,G53=8),G55="DC"),LOOKUP(G81,T!$X33:$X50,T!$U33:$U50),IF(AND(G51="4D2",OR(G53=2,G53=4,G53=6,G53=8),G55="AC"),LOOKUP(G81,T!$X33:$X50,T!$V33:$V50),IF(AND(G51="4D2",OR(G53=3,G53=5,G53=7,G53=9),G55="AC"),LOOKUP(G81,T!$X33:$X50,T!$W33:$W50),IF(AND(G51="4D3",OR(G53=2,G53=4,G53=7,G53=8),G55="DC"),LOOKUP(G81,T!$AA56:$AA68,T!$U56:$U68),IF(AND(G51="4D3",OR(G53=2,G53=4),G55="AC"),LOOKUP(G81,T!$AA56:$AA68,T!$V56:$V68),IF(AND(G51="4D3",OR(G53=9,G53=10),G55="AC"),LOOKUP(G81,T!$AA56:$AA$68,T!$W56:$W68),IF(AND(G51="4D3",G53=6,G55="AC"),LOOKUP(G81,T!$AA56:$AA68,T!$X56:$X68),IF(AND(G51="4D3",OR(G53=3,G53=5),G55="AC"),LOOKUP(G81,T!$AA56:$AA68,T!$Y56:$Y68),IF(AND(G51="4D3",OR(G53=11,G53=12),G55="AC"),LOOKUP(G81,T!$AA56:$AA68,T!$Z56:$Z68),IF(AND(G51="4D4",OR(G53=2,G53=4,G53=6),G55="DC"),LOOKUP(G81,T!$X74:$X90,T!$U74:$U90),IF(AND(G51="4D4",OR(G53=2,G53=4,G53=6),G55="AC"),LOOKUP(G81,T!$X74:$X90,T!$V74:$V90),IF(AND(G51="4D4",OR(G53=3,G53=5,G53=7),G55="AC"),LOOKUP(G81,T!$X74:$X90,T!$W74:$W90),IF(AND(G51="4D5",AND(G53&gt;=2,G53&lt;=7)),LOOKUP(G81,T!$I96:$I102,T!$H96:$H102),0))))))))))))))))))))),IF(ISNUMBER(SEARCH("4E",G51)),IF(AND(G51="4E1",OR(G53=2,G53=4,G53=6,G53=8,G53=11),G55="DC"),LOOKUP(G81,T!$AC108:$AC129,T!$U108:$U129),IF(AND(G51="4E1",OR(G53=2,G53=4),G55="AC"),LOOKUP(G81,T!$AC108:$AC129,T!$V108:$V129),IF(AND(G51="4E1",OR(G53=6,G53=8),G55="AC"),LOOKUP(G81,T!$AC108:$AC129,T!$W108:$W129),IF(AND(G51="4E1",OR(G53=11,G53=12),G55="AC",G57=1),LOOKUP(G81,T!$AC108:$AC127,T!$X108:$X129),IF(AND(G51="4E1",OR(G53=3,G53=5),G55="AC"),LOOKUP(G81,T!$AC108:$AC129,T!$Y108:$Y129),IF(AND(G51="4E1",OR(G53=7,G53=10),G55="AC"),LOOKUP(G81,T!$AC108:$AC129,T!$Z108:$Z129),IF(AND(G51="4E1",G53=9,G55="AC"),LOOKUP(G81,T!$AC115:$AC129,T!$AA115:$AA129),IF(AND(G51="4E1",OR(G53=11,G53=12),G55="AC",G57=3),LOOKUP(G81,T!$AC115:$AC129,T!$AB115:$AB129),IF(AND(G51="4E2",OR(G53=2,G53=4,G53=6,G53=8),G55="DC"),LOOKUP(G81,T!$X134:$X152,T!$U134:$U152),IF(AND(G51="4E2",OR(G53=2,G53=4,G53=6,G53=8),G55="AC"),LOOKUP(G81,T!$X134:$X152,T!$V134:$V152),IF(AND(G51="4E2",OR(G53=3,G53=5,G53=7,G53=9),G55="AC"),LOOKUP(G81,T!$X134:$X152,T!$W134:$W152),IF(AND(G51="4E3",OR(G53=2,G53=4,G53=7,G53=8),G55="DC"),LOOKUP(G81,T!$AA158:$AA170,T!$U158:$U170),IF(AND(G51="4E3",OR(G53=2,G53=4),G55="AC"),LOOKUP(G81,T!$AA158:$AA170,T!$V158:$V170),IF(AND(G51="4E3",OR(G53=9,G53=10),G55="AC"),LOOKUP(G81,T!$AA158:$AA170,T!$W158:$W170),IF(AND(G51="4E3",G53=6,G55="AC"),LOOKUP(G81,T!$AA158:$AA170,T!$X158:$X170),IF(AND(G51="4E3",OR(G53=3,G53=5),G55="AC"),LOOKUP(G81,T!$AA158:$AA170,T!$Y158:$Y170),IF(AND(G51="4E3",OR(G53=11,G53=12),G55="AC"),LOOKUP(G81,T!$AA158:$AA170,T!$Z158:$Z170),IF(AND(G51="4E4",OR(G53=2,G53=4,G53=6),G55="DC"),LOOKUP(G81,T!$X176:$X192,T!$U176:$U192),IF(AND(G51="4E4",OR(G53=2,G53=4,G53=6),G55="AC"),LOOKUP(G81,T!$X176:$X192,T!$V176:$V192),IF(AND(G51="4E4",OR(G53=3,G53=5,G53=7),G55="AC"),LOOKUP(G81,T!$X176:$X192,T!$W176:$W192),0)))))))))))))))))))),IF(ISNUMBER(SEARCH("4F",G51)),IF(AND(G51="4F1",G53=2,G55="DC"),LOOKUP(G81,T!$Z198:$Z214,T!$U198:$U214),IF(AND(G51="4F1",G53=2,G55="AC"),LOOKUP(G81,T!$Z198:$Z214,T!$V198:$V214),IF(AND(G51="4F1",G53=3,G55="AC"),LOOKUP(G81,T!$Z198:$Z214,T!$W198:$W214),IF(AND(G51="4F1",G53=4,G55="DC"),LOOKUP(G81,T!$Z198:$Z214,T!$X198:$X214),IF(AND(G51="4F1",G53=4,G55="AC"),LOOKUP(G81,T!$Z198:$Z214,T!$Y198:$Y214),IF(AND(G51="4F2",G53=2,G55="DC"),LOOKUP(G81,T!$Y220:$Y236,T!$U220:$U236),IF(AND(G51="4F2",G53=2,G55="AC"),LOOKUP(G81,T!$Y220:$Y236,T!$V220:$V236),IF(AND(G51="4F2",G53=3,G55="AC"),LOOKUP(G81,T!$Y220:$Y236,T!$W220:$W236),IF(AND(G51="4F2",G53=4,G55="DC"),LOOKUP(G81,T!$Y220:$Y236,T!$X220:$X236),IF(AND(G51="4F3",G53=2),LOOKUP(G81,T!$W242:$W248,T!$U242:$U248),IF(AND(G51="4F3",G53=3,G55="AC"),LOOKUP(G81,T!$W242:$W248,T!$V242:$V248),0))))))))))),IF(ISNUMBER(SEARCH("4G",G51)),IF(AND(G51="4G1",OR(G53=2,G53=5)),LOOKUP(G81,T!$AA254:$AA269,T!$U254:$U269),IF(AND(G51="4G1",OR(G53=3,G53=6)),LOOKUP(G81,T!$AA254:$AA269,T!$X254:$X269),IF(AND(G51="4G1",OR(G53=4,G53=7)),LOOKUP(G81,T!$AA254:$AA269,T!$Y254:$Y269),IF(AND(G51="4G1",OR(G53=8,G53=9)),LOOKUP(G81,T!$AA254:$AA269,T!$Z254:$Z269),IF(AND(G51="4G2",OR(G53=2,G53=5)),LOOKUP(G81,T!$AA281:$AA296,T!$U281:$U296),IF(AND(G51="4G2",OR(G53=3,G53=6)),LOOKUP(G81,T!$AA281:$AA296,T!$X281:$X296),IF(AND(G51="4G2",OR(G53=4,G53=7)),LOOKUP(G81,T!$AA281:$AA296,T!$Y281:$Y296),IF(AND(G51="4G2",OR(G53=8,G53=9)),LOOKUP(G81,T!$AA281:$AA296,T!$Z281:$Z296),0)))))))),0)))))*G23*G69)/1000))</f>
        <v>6.2963999999999993</v>
      </c>
      <c r="H95" s="158">
        <f ca="1">IF(H29="","",IF(OR(COUNT(H19:H21)=3,COUNT(H19:H21)=1),(IF(H29="",0,IF(ISNUMBER(SEARCH("4D",H51)),IF(AND(H51="4D1",OR(H53=2,H53=4,H53=6,H53=8,H53=11),H55="DC"),LOOKUP(H81,T!$AC6:$AC27,T!$U6:$U27),IF(AND(H51="4D1",OR(H53=2,H53=4),H55="AC"),LOOKUP(H81,T!$AC6:$AC27,T!$V6:$V27),IF(AND(H51="4D1",OR(H53=6,H53=8),H55="AC"),LOOKUP(H81,T!$AC6:$AC27,T!$W6:$W27),IF(AND(H51="4D1",OR(H53=11,H53=12),H55="AC",H57=1),LOOKUP(H81,T!$AC6:$AC27,T!$X6:$X27),IF(AND(H51="4D1",OR(H53=3,H53=5),H55="AC"),LOOKUP(H81,T!$AC6:$AC27,T!$Y6:$Y27),IF(AND(H51="4D1",OR(H53=7,H53=10),H55="AC"),LOOKUP(H81,T!$AC6:$AC27,T!$Z6:$Z27),IF(AND(H51="4D1",H53=9,H55="AC"),LOOKUP(H81,T!$AC6:$AC27,T!$AA6:$AA27),IF(AND(H51="4D1",OR(H53=11,H53=12),H55="AC",H57=3),LOOKUP(H81,T!$AC13:$AC27,T!$AB13:$AB27),IF(AND(H51="4D2",OR(H53=2,H53=4,H53=6,H53=8),H55="DC"),LOOKUP(H81,T!$X33:$X50,T!$U33:$U50),IF(AND(H51="4D2",OR(H53=2,H53=4,H53=6,H53=8),H55="AC"),LOOKUP(H81,T!$X33:$X50,T!$V33:$V50),IF(AND(H51="4D2",OR(H53=3,H53=5,H53=7,H53=9),H55="AC"),LOOKUP(H81,T!$X33:$X50,T!$W33:$W50),IF(AND(H51="4D3",OR(H53=2,H53=4,H53=7,H53=8),H55="DC"),LOOKUP(H81,T!$AA56:$AA68,T!$U56:$U68),IF(AND(H51="4D3",OR(H53=2,H53=4),H55="AC"),LOOKUP(H81,T!$AA56:$AA68,T!$V56:$V68),IF(AND(H51="4D3",OR(H53=9,H53=10),H55="AC"),LOOKUP(H81,T!$AA56:$AA$68,T!$W56:$W68),IF(AND(H51="4D3",H53=6,H55="AC"),LOOKUP(H81,T!$AA56:$AA68,T!$X56:$X68),IF(AND(H51="4D3",OR(H53=3,H53=5),H55="AC"),LOOKUP(H81,T!$AA56:$AA68,T!$Y56:$Y68),IF(AND(H51="4D3",OR(H53=11,H53=12),H55="AC"),LOOKUP(H81,T!$AA56:$AA68,T!$Z56:$Z68),IF(AND(H51="4D4",OR(H53=2,H53=4,H53=6),H55="DC"),LOOKUP(H81,T!$X74:$X90,T!$U74:$U90),IF(AND(H51="4D4",OR(H53=2,H53=4,H53=6),H55="AC"),LOOKUP(H81,T!$X74:$X90,T!$V74:$V90),IF(AND(H51="4D4",OR(H53=3,H53=5,H53=7),H55="AC"),LOOKUP(H81,T!$X74:$X90,T!$W74:$W90),IF(AND(H51="4D5",AND(H53&gt;=2,H53&lt;=7)),LOOKUP(H81,T!$I96:$I102,T!$H96:$H102),0))))))))))))))))))))),IF(ISNUMBER(SEARCH("4E",H51)),IF(AND(H51="4E1",OR(H53=2,H53=4,H53=6,H53=8,H53=11),H55="DC"),LOOKUP(H81,T!$AC108:$AC129,T!$U108:$U129),IF(AND(H51="4E1",OR(H53=2,H53=4),H55="AC"),LOOKUP(H81,T!$AC108:$AC129,T!$V108:$V129),IF(AND(H51="4E1",OR(H53=6,H53=8),H55="AC"),LOOKUP(H81,T!$AC108:$AC129,T!$W108:$W129),IF(AND(H51="4E1",OR(H53=11,H53=12),H55="AC",H57=1),LOOKUP(H81,T!$AC108:$AC127,T!$X108:$X129),IF(AND(H51="4E1",OR(H53=3,H53=5),H55="AC"),LOOKUP(H81,T!$AC108:$AC129,T!$Y108:$Y129),IF(AND(H51="4E1",OR(H53=7,H53=10),H55="AC"),LOOKUP(H81,T!$AC108:$AC129,T!$Z108:$Z129),IF(AND(H51="4E1",H53=9,H55="AC"),LOOKUP(H81,T!$AC115:$AC129,T!$AA115:$AA129),IF(AND(H51="4E1",OR(H53=11,H53=12),H55="AC",H57=3),LOOKUP(H81,T!$AC115:$AC129,T!$AB115:$AB129),IF(AND(H51="4E2",OR(H53=2,H53=4,H53=6,H53=8),H55="DC"),LOOKUP(H81,T!$X134:$X152,T!$U134:$U152),IF(AND(H51="4E2",OR(H53=2,H53=4,H53=6,H53=8),H55="AC"),LOOKUP(H81,T!$X134:$X152,T!$V134:$V152),IF(AND(H51="4E2",OR(H53=3,H53=5,H53=7,H53=9),H55="AC"),LOOKUP(H81,T!$X134:$X152,T!$W134:$W152),IF(AND(H51="4E3",OR(H53=2,H53=4,H53=7,H53=8),H55="DC"),LOOKUP(H81,T!$AA158:$AA170,T!$U158:$U170),IF(AND(H51="4E3",OR(H53=2,H53=4),H55="AC"),LOOKUP(H81,T!$AA158:$AA170,T!$V158:$V170),IF(AND(H51="4E3",OR(H53=9,H53=10),H55="AC"),LOOKUP(H81,T!$AA158:$AA170,T!$W158:$W170),IF(AND(H51="4E3",H53=6,H55="AC"),LOOKUP(H81,T!$AA158:$AA170,T!$X158:$X170),IF(AND(H51="4E3",OR(H53=3,H53=5),H55="AC"),LOOKUP(H81,T!$AA158:$AA170,T!$Y158:$Y170),IF(AND(H51="4E3",OR(H53=11,H53=12),H55="AC"),LOOKUP(H81,T!$AA158:$AA170,T!$Z158:$Z170),IF(AND(H51="4E4",OR(H53=2,H53=4,H53=6),H55="DC"),LOOKUP(H81,T!$X176:$X192,T!$U176:$U192),IF(AND(H51="4E4",OR(H53=2,H53=4,H53=6),H55="AC"),LOOKUP(H81,T!$X176:$X192,T!$V176:$V192),IF(AND(H51="4E4",OR(H53=3,H53=5,H53=7),H55="AC"),LOOKUP(H81,T!$X176:$X192,T!$W176:$W192),0)))))))))))))))))))),IF(ISNUMBER(SEARCH("4F",H51)),IF(AND(H51="4F1",H53=2,H55="DC"),LOOKUP(H81,T!$Z198:$Z214,T!$U198:$U214),IF(AND(H51="4F1",H53=2,H55="AC"),LOOKUP(H81,T!$Z198:$Z214,T!$V198:$V214),IF(AND(H51="4F1",H53=3,H55="AC"),LOOKUP(H81,T!$Z198:$Z214,T!$W198:$W214),IF(AND(H51="4F1",H53=4,H55="DC"),LOOKUP(H81,T!$Z198:$Z214,T!$X198:$X214),IF(AND(H51="4F1",H53=4,H55="AC"),LOOKUP(H81,T!$Z198:$Z214,T!$Y198:$Y214),IF(AND(H51="4F2",H53=2,H55="DC"),LOOKUP(H81,T!$Y220:$Y236,T!$U220:$U236),IF(AND(H51="4F2",H53=2,H55="AC"),LOOKUP(H81,T!$Y220:$Y236,T!$V220:$V236),IF(AND(H51="4F2",H53=3,H55="AC"),LOOKUP(H81,T!$Y220:$Y236,T!$W220:$W236),IF(AND(H51="4F2",H53=4,H55="DC"),LOOKUP(H81,T!$Y220:$Y236,T!$X220:$X236),IF(AND(H51="4F3",H53=2),LOOKUP(H81,T!$W242:$W248,T!$U242:$U248),IF(AND(H51="4F3",H53=3,H55="AC"),LOOKUP(H81,T!$W242:$W248,T!$V242:$V248),0))))))))))),IF(ISNUMBER(SEARCH("4G",H51)),IF(AND(H51="4G1",OR(H53=2,H53=5)),LOOKUP(H81,T!$AA254:$AA269,T!$U254:$U269),IF(AND(H51="4G1",OR(H53=3,H53=6)),LOOKUP(H81,T!$AA254:$AA269,T!$X254:$X269),IF(AND(H51="4G1",OR(H53=4,H53=7)),LOOKUP(H81,T!$AA254:$AA269,T!$Y254:$Y269),IF(AND(H51="4G1",OR(H53=8,H53=9)),LOOKUP(H81,T!$AA254:$AA269,T!$Z254:$Z269),IF(AND(H51="4G2",OR(H53=2,H53=5)),LOOKUP(H81,T!$AA281:$AA296,T!$U281:$U296),IF(AND(H51="4G2",OR(H53=3,H53=6)),LOOKUP(H81,T!$AA281:$AA296,T!$X281:$X296),IF(AND(H51="4G2",OR(H53=4,H53=7)),LOOKUP(H81,T!$AA281:$AA296,T!$Y281:$Y296),IF(AND(H51="4G2",OR(H53=8,H53=9)),LOOKUP(H81,T!$AA281:$AA296,T!$Z281:$Z296),0)))))))),0)))))*H23*H69)/1000))</f>
        <v>6.2963999999999993</v>
      </c>
      <c r="I95" s="158">
        <f>IF(I29="","",IF(OR(COUNT(I19:I21)=3,COUNT(I19:I21)=1),(IF(I29="",0,IF(ISNUMBER(SEARCH("4D",I51)),IF(AND(I51="4D1",OR(I53=2,I53=4,I53=6,I53=8,I53=11),I55="DC"),LOOKUP(I81,T!$AC6:$AC27,T!$U6:$U27),IF(AND(I51="4D1",OR(I53=2,I53=4),I55="AC"),LOOKUP(I81,T!$AC6:$AC27,T!$V6:$V27),IF(AND(I51="4D1",OR(I53=6,I53=8),I55="AC"),LOOKUP(I81,T!$AC6:$AC27,T!$W6:$W27),IF(AND(I51="4D1",OR(I53=11,I53=12),I55="AC",I57=1),LOOKUP(I81,T!$AC6:$AC27,T!$X6:$X27),IF(AND(I51="4D1",OR(I53=3,I53=5),I55="AC"),LOOKUP(I81,T!$AC6:$AC27,T!$Y6:$Y27),IF(AND(I51="4D1",OR(I53=7,I53=10),I55="AC"),LOOKUP(I81,T!$AC6:$AC27,T!$Z6:$Z27),IF(AND(I51="4D1",I53=9,I55="AC"),LOOKUP(I81,T!$AC6:$AC27,T!$AA6:$AA27),IF(AND(I51="4D1",OR(I53=11,I53=12),I55="AC",I57=3),LOOKUP(I81,T!$AC13:$AC27,T!$AB13:$AB27),IF(AND(I51="4D2",OR(I53=2,I53=4,I53=6,I53=8),I55="DC"),LOOKUP(I81,T!$X33:$X50,T!$U33:$U50),IF(AND(I51="4D2",OR(I53=2,I53=4,I53=6,I53=8),I55="AC"),LOOKUP(I81,T!$X33:$X50,T!$V33:$V50),IF(AND(I51="4D2",OR(I53=3,I53=5,I53=7,I53=9),I55="AC"),LOOKUP(I81,T!$X33:$X50,T!$W33:$W50),IF(AND(I51="4D3",OR(I53=2,I53=4,I53=7,I53=8),I55="DC"),LOOKUP(I81,T!$AA56:$AA68,T!$U56:$U68),IF(AND(I51="4D3",OR(I53=2,I53=4),I55="AC"),LOOKUP(I81,T!$AA56:$AA68,T!$V56:$V68),IF(AND(I51="4D3",OR(I53=9,I53=10),I55="AC"),LOOKUP(I81,T!$AA56:$AA$68,T!$W56:$W68),IF(AND(I51="4D3",I53=6,I55="AC"),LOOKUP(I81,T!$AA56:$AA68,T!$X56:$X68),IF(AND(I51="4D3",OR(I53=3,I53=5),I55="AC"),LOOKUP(I81,T!$AA56:$AA68,T!$Y56:$Y68),IF(AND(I51="4D3",OR(I53=11,I53=12),I55="AC"),LOOKUP(I81,T!$AA56:$AA68,T!$Z56:$Z68),IF(AND(I51="4D4",OR(I53=2,I53=4,I53=6),I55="DC"),LOOKUP(I81,T!$X74:$X90,T!$U74:$U90),IF(AND(I51="4D4",OR(I53=2,I53=4,I53=6),I55="AC"),LOOKUP(I81,T!$X74:$X90,T!$V74:$V90),IF(AND(I51="4D4",OR(I53=3,I53=5,I53=7),I55="AC"),LOOKUP(I81,T!$X74:$X90,T!$W74:$W90),IF(AND(I51="4D5",AND(I53&gt;=2,I53&lt;=7)),LOOKUP(I81,T!$I96:$I102,T!$H96:$H102),0))))))))))))))))))))),IF(ISNUMBER(SEARCH("4E",I51)),IF(AND(I51="4E1",OR(I53=2,I53=4,I53=6,I53=8,I53=11),I55="DC"),LOOKUP(I81,T!$AC108:$AC129,T!$U108:$U129),IF(AND(I51="4E1",OR(I53=2,I53=4),I55="AC"),LOOKUP(I81,T!$AC108:$AC129,T!$V108:$V129),IF(AND(I51="4E1",OR(I53=6,I53=8),I55="AC"),LOOKUP(I81,T!$AC108:$AC129,T!$W108:$W129),IF(AND(I51="4E1",OR(I53=11,I53=12),I55="AC",I57=1),LOOKUP(I81,T!$AC108:$AC127,T!$X108:$X129),IF(AND(I51="4E1",OR(I53=3,I53=5),I55="AC"),LOOKUP(I81,T!$AC108:$AC129,T!$Y108:$Y129),IF(AND(I51="4E1",OR(I53=7,I53=10),I55="AC"),LOOKUP(I81,T!$AC108:$AC129,T!$Z108:$Z129),IF(AND(I51="4E1",I53=9,I55="AC"),LOOKUP(I81,T!$AC115:$AC129,T!$AA115:$AA129),IF(AND(I51="4E1",OR(I53=11,I53=12),I55="AC",I57=3),LOOKUP(I81,T!$AC115:$AC129,T!$AB115:$AB129),IF(AND(I51="4E2",OR(I53=2,I53=4,I53=6,I53=8),I55="DC"),LOOKUP(I81,T!$X134:$X152,T!$U134:$U152),IF(AND(I51="4E2",OR(I53=2,I53=4,I53=6,I53=8),I55="AC"),LOOKUP(I81,T!$X134:$X152,T!$V134:$V152),IF(AND(I51="4E2",OR(I53=3,I53=5,I53=7,I53=9),I55="AC"),LOOKUP(I81,T!$X134:$X152,T!$W134:$W152),IF(AND(I51="4E3",OR(I53=2,I53=4,I53=7,I53=8),I55="DC"),LOOKUP(I81,T!$AA158:$AA170,T!$U158:$U170),IF(AND(I51="4E3",OR(I53=2,I53=4),I55="AC"),LOOKUP(I81,T!$AA158:$AA170,T!$V158:$V170),IF(AND(I51="4E3",OR(I53=9,I53=10),I55="AC"),LOOKUP(I81,T!$AA158:$AA170,T!$W158:$W170),IF(AND(I51="4E3",I53=6,I55="AC"),LOOKUP(I81,T!$AA158:$AA170,T!$X158:$X170),IF(AND(I51="4E3",OR(I53=3,I53=5),I55="AC"),LOOKUP(I81,T!$AA158:$AA170,T!$Y158:$Y170),IF(AND(I51="4E3",OR(I53=11,I53=12),I55="AC"),LOOKUP(I81,T!$AA158:$AA170,T!$Z158:$Z170),IF(AND(I51="4E4",OR(I53=2,I53=4,I53=6),I55="DC"),LOOKUP(I81,T!$X176:$X192,T!$U176:$U192),IF(AND(I51="4E4",OR(I53=2,I53=4,I53=6),I55="AC"),LOOKUP(I81,T!$X176:$X192,T!$V176:$V192),IF(AND(I51="4E4",OR(I53=3,I53=5,I53=7),I55="AC"),LOOKUP(I81,T!$X176:$X192,T!$W176:$W192),0)))))))))))))))))))),IF(ISNUMBER(SEARCH("4F",I51)),IF(AND(I51="4F1",I53=2,I55="DC"),LOOKUP(I81,T!$Z198:$Z214,T!$U198:$U214),IF(AND(I51="4F1",I53=2,I55="AC"),LOOKUP(I81,T!$Z198:$Z214,T!$V198:$V214),IF(AND(I51="4F1",I53=3,I55="AC"),LOOKUP(I81,T!$Z198:$Z214,T!$W198:$W214),IF(AND(I51="4F1",I53=4,I55="DC"),LOOKUP(I81,T!$Z198:$Z214,T!$X198:$X214),IF(AND(I51="4F1",I53=4,I55="AC"),LOOKUP(I81,T!$Z198:$Z214,T!$Y198:$Y214),IF(AND(I51="4F2",I53=2,I55="DC"),LOOKUP(I81,T!$Y220:$Y236,T!$U220:$U236),IF(AND(I51="4F2",I53=2,I55="AC"),LOOKUP(I81,T!$Y220:$Y236,T!$V220:$V236),IF(AND(I51="4F2",I53=3,I55="AC"),LOOKUP(I81,T!$Y220:$Y236,T!$W220:$W236),IF(AND(I51="4F2",I53=4,I55="DC"),LOOKUP(I81,T!$Y220:$Y236,T!$X220:$X236),IF(AND(I51="4F3",I53=2),LOOKUP(I81,T!$W242:$W248,T!$U242:$U248),IF(AND(I51="4F3",I53=3,I55="AC"),LOOKUP(I81,T!$W242:$W248,T!$V242:$V248),0))))))))))),IF(ISNUMBER(SEARCH("4G",I51)),IF(AND(I51="4G1",OR(I53=2,I53=5)),LOOKUP(I81,T!$AA254:$AA269,T!$U254:$U269),IF(AND(I51="4G1",OR(I53=3,I53=6)),LOOKUP(I81,T!$AA254:$AA269,T!$X254:$X269),IF(AND(I51="4G1",OR(I53=4,I53=7)),LOOKUP(I81,T!$AA254:$AA269,T!$Y254:$Y269),IF(AND(I51="4G1",OR(I53=8,I53=9)),LOOKUP(I81,T!$AA254:$AA269,T!$Z254:$Z269),IF(AND(I51="4G2",OR(I53=2,I53=5)),LOOKUP(I81,T!$AA281:$AA296,T!$U281:$U296),IF(AND(I51="4G2",OR(I53=3,I53=6)),LOOKUP(I81,T!$AA281:$AA296,T!$X281:$X296),IF(AND(I51="4G2",OR(I53=4,I53=7)),LOOKUP(I81,T!$AA281:$AA296,T!$Y281:$Y296),IF(AND(I51="4G2",OR(I53=8,I53=9)),LOOKUP(I81,T!$AA281:$AA296,T!$Z281:$Z296),0)))))))),0)))))*I23*I69)/1000))</f>
        <v>0</v>
      </c>
      <c r="J95" s="158">
        <f>IF(J29="","",IF(OR(COUNT(J19:J21)=3,COUNT(J19:J21)=1),(IF(J29="",0,IF(ISNUMBER(SEARCH("4D",J51)),IF(AND(J51="4D1",OR(J53=2,J53=4,J53=6,J53=8,J53=11),J55="DC"),LOOKUP(J81,T!$AC6:$AC27,T!$U6:$U27),IF(AND(J51="4D1",OR(J53=2,J53=4),J55="AC"),LOOKUP(J81,T!$AC6:$AC27,T!$V6:$V27),IF(AND(J51="4D1",OR(J53=6,J53=8),J55="AC"),LOOKUP(J81,T!$AC6:$AC27,T!$W6:$W27),IF(AND(J51="4D1",OR(J53=11,J53=12),J55="AC",J57=1),LOOKUP(J81,T!$AC6:$AC27,T!$X6:$X27),IF(AND(J51="4D1",OR(J53=3,J53=5),J55="AC"),LOOKUP(J81,T!$AC6:$AC27,T!$Y6:$Y27),IF(AND(J51="4D1",OR(J53=7,J53=10),J55="AC"),LOOKUP(J81,T!$AC6:$AC27,T!$Z6:$Z27),IF(AND(J51="4D1",J53=9,J55="AC"),LOOKUP(J81,T!$AC6:$AC27,T!$AA6:$AA27),IF(AND(J51="4D1",OR(J53=11,J53=12),J55="AC",J57=3),LOOKUP(J81,T!$AC13:$AC27,T!$AB13:$AB27),IF(AND(J51="4D2",OR(J53=2,J53=4,J53=6,J53=8),J55="DC"),LOOKUP(J81,T!$X33:$X50,T!$U33:$U50),IF(AND(J51="4D2",OR(J53=2,J53=4,J53=6,J53=8),J55="AC"),LOOKUP(J81,T!$X33:$X50,T!$V33:$V50),IF(AND(J51="4D2",OR(J53=3,J53=5,J53=7,J53=9),J55="AC"),LOOKUP(J81,T!$X33:$X50,T!$W33:$W50),IF(AND(J51="4D3",OR(J53=2,J53=4,J53=7,J53=8),J55="DC"),LOOKUP(J81,T!$AA56:$AA68,T!$U56:$U68),IF(AND(J51="4D3",OR(J53=2,J53=4),J55="AC"),LOOKUP(J81,T!$AA56:$AA68,T!$V56:$V68),IF(AND(J51="4D3",OR(J53=9,J53=10),J55="AC"),LOOKUP(J81,T!$AA56:$AA$68,T!$W56:$W68),IF(AND(J51="4D3",J53=6,J55="AC"),LOOKUP(J81,T!$AA56:$AA68,T!$X56:$X68),IF(AND(J51="4D3",OR(J53=3,J53=5),J55="AC"),LOOKUP(J81,T!$AA56:$AA68,T!$Y56:$Y68),IF(AND(J51="4D3",OR(J53=11,J53=12),J55="AC"),LOOKUP(J81,T!$AA56:$AA68,T!$Z56:$Z68),IF(AND(J51="4D4",OR(J53=2,J53=4,J53=6),J55="DC"),LOOKUP(J81,T!$X74:$X90,T!$U74:$U90),IF(AND(J51="4D4",OR(J53=2,J53=4,J53=6),J55="AC"),LOOKUP(J81,T!$X74:$X90,T!$V74:$V90),IF(AND(J51="4D4",OR(J53=3,J53=5,J53=7),J55="AC"),LOOKUP(J81,T!$X74:$X90,T!$W74:$W90),IF(AND(J51="4D5",AND(J53&gt;=2,J53&lt;=7)),LOOKUP(J81,T!$I96:$I102,T!$H96:$H102),0))))))))))))))))))))),IF(ISNUMBER(SEARCH("4E",J51)),IF(AND(J51="4E1",OR(J53=2,J53=4,J53=6,J53=8,J53=11),J55="DC"),LOOKUP(J81,T!$AC108:$AC129,T!$U108:$U129),IF(AND(J51="4E1",OR(J53=2,J53=4),J55="AC"),LOOKUP(J81,T!$AC108:$AC129,T!$V108:$V129),IF(AND(J51="4E1",OR(J53=6,J53=8),J55="AC"),LOOKUP(J81,T!$AC108:$AC129,T!$W108:$W129),IF(AND(J51="4E1",OR(J53=11,J53=12),J55="AC",J57=1),LOOKUP(J81,T!$AC108:$AC127,T!$X108:$X129),IF(AND(J51="4E1",OR(J53=3,J53=5),J55="AC"),LOOKUP(J81,T!$AC108:$AC129,T!$Y108:$Y129),IF(AND(J51="4E1",OR(J53=7,J53=10),J55="AC"),LOOKUP(J81,T!$AC108:$AC129,T!$Z108:$Z129),IF(AND(J51="4E1",J53=9,J55="AC"),LOOKUP(J81,T!$AC115:$AC129,T!$AA115:$AA129),IF(AND(J51="4E1",OR(J53=11,J53=12),J55="AC",J57=3),LOOKUP(J81,T!$AC115:$AC129,T!$AB115:$AB129),IF(AND(J51="4E2",OR(J53=2,J53=4,J53=6,J53=8),J55="DC"),LOOKUP(J81,T!$X134:$X152,T!$U134:$U152),IF(AND(J51="4E2",OR(J53=2,J53=4,J53=6,J53=8),J55="AC"),LOOKUP(J81,T!$X134:$X152,T!$V134:$V152),IF(AND(J51="4E2",OR(J53=3,J53=5,J53=7,J53=9),J55="AC"),LOOKUP(J81,T!$X134:$X152,T!$W134:$W152),IF(AND(J51="4E3",OR(J53=2,J53=4,J53=7,J53=8),J55="DC"),LOOKUP(J81,T!$AA158:$AA170,T!$U158:$U170),IF(AND(J51="4E3",OR(J53=2,J53=4),J55="AC"),LOOKUP(J81,T!$AA158:$AA170,T!$V158:$V170),IF(AND(J51="4E3",OR(J53=9,J53=10),J55="AC"),LOOKUP(J81,T!$AA158:$AA170,T!$W158:$W170),IF(AND(J51="4E3",J53=6,J55="AC"),LOOKUP(J81,T!$AA158:$AA170,T!$X158:$X170),IF(AND(J51="4E3",OR(J53=3,J53=5),J55="AC"),LOOKUP(J81,T!$AA158:$AA170,T!$Y158:$Y170),IF(AND(J51="4E3",OR(J53=11,J53=12),J55="AC"),LOOKUP(J81,T!$AA158:$AA170,T!$Z158:$Z170),IF(AND(J51="4E4",OR(J53=2,J53=4,J53=6),J55="DC"),LOOKUP(J81,T!$X176:$X192,T!$U176:$U192),IF(AND(J51="4E4",OR(J53=2,J53=4,J53=6),J55="AC"),LOOKUP(J81,T!$X176:$X192,T!$V176:$V192),IF(AND(J51="4E4",OR(J53=3,J53=5,J53=7),J55="AC"),LOOKUP(J81,T!$X176:$X192,T!$W176:$W192),0)))))))))))))))))))),IF(ISNUMBER(SEARCH("4F",J51)),IF(AND(J51="4F1",J53=2,J55="DC"),LOOKUP(J81,T!$Z198:$Z214,T!$U198:$U214),IF(AND(J51="4F1",J53=2,J55="AC"),LOOKUP(J81,T!$Z198:$Z214,T!$V198:$V214),IF(AND(J51="4F1",J53=3,J55="AC"),LOOKUP(J81,T!$Z198:$Z214,T!$W198:$W214),IF(AND(J51="4F1",J53=4,J55="DC"),LOOKUP(J81,T!$Z198:$Z214,T!$X198:$X214),IF(AND(J51="4F1",J53=4,J55="AC"),LOOKUP(J81,T!$Z198:$Z214,T!$Y198:$Y214),IF(AND(J51="4F2",J53=2,J55="DC"),LOOKUP(J81,T!$Y220:$Y236,T!$U220:$U236),IF(AND(J51="4F2",J53=2,J55="AC"),LOOKUP(J81,T!$Y220:$Y236,T!$V220:$V236),IF(AND(J51="4F2",J53=3,J55="AC"),LOOKUP(J81,T!$Y220:$Y236,T!$W220:$W236),IF(AND(J51="4F2",J53=4,J55="DC"),LOOKUP(J81,T!$Y220:$Y236,T!$X220:$X236),IF(AND(J51="4F3",J53=2),LOOKUP(J81,T!$W242:$W248,T!$U242:$U248),IF(AND(J51="4F3",J53=3,J55="AC"),LOOKUP(J81,T!$W242:$W248,T!$V242:$V248),0))))))))))),IF(ISNUMBER(SEARCH("4G",J51)),IF(AND(J51="4G1",OR(J53=2,J53=5)),LOOKUP(J81,T!$AA254:$AA269,T!$U254:$U269),IF(AND(J51="4G1",OR(J53=3,J53=6)),LOOKUP(J81,T!$AA254:$AA269,T!$X254:$X269),IF(AND(J51="4G1",OR(J53=4,J53=7)),LOOKUP(J81,T!$AA254:$AA269,T!$Y254:$Y269),IF(AND(J51="4G1",OR(J53=8,J53=9)),LOOKUP(J81,T!$AA254:$AA269,T!$Z254:$Z269),IF(AND(J51="4G2",OR(J53=2,J53=5)),LOOKUP(J81,T!$AA281:$AA296,T!$U281:$U296),IF(AND(J51="4G2",OR(J53=3,J53=6)),LOOKUP(J81,T!$AA281:$AA296,T!$X281:$X296),IF(AND(J51="4G2",OR(J53=4,J53=7)),LOOKUP(J81,T!$AA281:$AA296,T!$Y281:$Y296),IF(AND(J51="4G2",OR(J53=8,J53=9)),LOOKUP(J81,T!$AA281:$AA296,T!$Z281:$Z296),0)))))))),0)))))*J23*J69)/1000))</f>
        <v>14.322916666666668</v>
      </c>
      <c r="K95" s="158">
        <f>IF(K29="","",IF(OR(COUNT(K19:K21)=3,COUNT(K19:K21)=1),(IF(K29="",0,IF(ISNUMBER(SEARCH("4D",K51)),IF(AND(K51="4D1",OR(K53=2,K53=4,K53=6,K53=8,K53=11),K55="DC"),LOOKUP(K81,T!$AC6:$AC27,T!$U6:$U27),IF(AND(K51="4D1",OR(K53=2,K53=4),K55="AC"),LOOKUP(K81,T!$AC6:$AC27,T!$V6:$V27),IF(AND(K51="4D1",OR(K53=6,K53=8),K55="AC"),LOOKUP(K81,T!$AC6:$AC27,T!$W6:$W27),IF(AND(K51="4D1",OR(K53=11,K53=12),K55="AC",K57=1),LOOKUP(K81,T!$AC6:$AC27,T!$X6:$X27),IF(AND(K51="4D1",OR(K53=3,K53=5),K55="AC"),LOOKUP(K81,T!$AC6:$AC27,T!$Y6:$Y27),IF(AND(K51="4D1",OR(K53=7,K53=10),K55="AC"),LOOKUP(K81,T!$AC6:$AC27,T!$Z6:$Z27),IF(AND(K51="4D1",K53=9,K55="AC"),LOOKUP(K81,T!$AC6:$AC27,T!$AA6:$AA27),IF(AND(K51="4D1",OR(K53=11,K53=12),K55="AC",K57=3),LOOKUP(K81,T!$AC13:$AC27,T!$AB13:$AB27),IF(AND(K51="4D2",OR(K53=2,K53=4,K53=6,K53=8),K55="DC"),LOOKUP(K81,T!$X33:$X50,T!$U33:$U50),IF(AND(K51="4D2",OR(K53=2,K53=4,K53=6,K53=8),K55="AC"),LOOKUP(K81,T!$X33:$X50,T!$V33:$V50),IF(AND(K51="4D2",OR(K53=3,K53=5,K53=7,K53=9),K55="AC"),LOOKUP(K81,T!$X33:$X50,T!$W33:$W50),IF(AND(K51="4D3",OR(K53=2,K53=4,K53=7,K53=8),K55="DC"),LOOKUP(K81,T!$AA56:$AA68,T!$U56:$U68),IF(AND(K51="4D3",OR(K53=2,K53=4),K55="AC"),LOOKUP(K81,T!$AA56:$AA68,T!$V56:$V68),IF(AND(K51="4D3",OR(K53=9,K53=10),K55="AC"),LOOKUP(K81,T!$AA56:$AA$68,T!$W56:$W68),IF(AND(K51="4D3",K53=6,K55="AC"),LOOKUP(K81,T!$AA56:$AA68,T!$X56:$X68),IF(AND(K51="4D3",OR(K53=3,K53=5),K55="AC"),LOOKUP(K81,T!$AA56:$AA68,T!$Y56:$Y68),IF(AND(K51="4D3",OR(K53=11,K53=12),K55="AC"),LOOKUP(K81,T!$AA56:$AA68,T!$Z56:$Z68),IF(AND(K51="4D4",OR(K53=2,K53=4,K53=6),K55="DC"),LOOKUP(K81,T!$X74:$X90,T!$U74:$U90),IF(AND(K51="4D4",OR(K53=2,K53=4,K53=6),K55="AC"),LOOKUP(K81,T!$X74:$X90,T!$V74:$V90),IF(AND(K51="4D4",OR(K53=3,K53=5,K53=7),K55="AC"),LOOKUP(K81,T!$X74:$X90,T!$W74:$W90),IF(AND(K51="4D5",AND(K53&gt;=2,K53&lt;=7)),LOOKUP(K81,T!$I96:$I102,T!$H96:$H102),0))))))))))))))))))))),IF(ISNUMBER(SEARCH("4E",K51)),IF(AND(K51="4E1",OR(K53=2,K53=4,K53=6,K53=8,K53=11),K55="DC"),LOOKUP(K81,T!$AC108:$AC129,T!$U108:$U129),IF(AND(K51="4E1",OR(K53=2,K53=4),K55="AC"),LOOKUP(K81,T!$AC108:$AC129,T!$V108:$V129),IF(AND(K51="4E1",OR(K53=6,K53=8),K55="AC"),LOOKUP(K81,T!$AC108:$AC129,T!$W108:$W129),IF(AND(K51="4E1",OR(K53=11,K53=12),K55="AC",K57=1),LOOKUP(K81,T!$AC108:$AC127,T!$X108:$X129),IF(AND(K51="4E1",OR(K53=3,K53=5),K55="AC"),LOOKUP(K81,T!$AC108:$AC129,T!$Y108:$Y129),IF(AND(K51="4E1",OR(K53=7,K53=10),K55="AC"),LOOKUP(K81,T!$AC108:$AC129,T!$Z108:$Z129),IF(AND(K51="4E1",K53=9,K55="AC"),LOOKUP(K81,T!$AC115:$AC129,T!$AA115:$AA129),IF(AND(K51="4E1",OR(K53=11,K53=12),K55="AC",K57=3),LOOKUP(K81,T!$AC115:$AC129,T!$AB115:$AB129),IF(AND(K51="4E2",OR(K53=2,K53=4,K53=6,K53=8),K55="DC"),LOOKUP(K81,T!$X134:$X152,T!$U134:$U152),IF(AND(K51="4E2",OR(K53=2,K53=4,K53=6,K53=8),K55="AC"),LOOKUP(K81,T!$X134:$X152,T!$V134:$V152),IF(AND(K51="4E2",OR(K53=3,K53=5,K53=7,K53=9),K55="AC"),LOOKUP(K81,T!$X134:$X152,T!$W134:$W152),IF(AND(K51="4E3",OR(K53=2,K53=4,K53=7,K53=8),K55="DC"),LOOKUP(K81,T!$AA158:$AA170,T!$U158:$U170),IF(AND(K51="4E3",OR(K53=2,K53=4),K55="AC"),LOOKUP(K81,T!$AA158:$AA170,T!$V158:$V170),IF(AND(K51="4E3",OR(K53=9,K53=10),K55="AC"),LOOKUP(K81,T!$AA158:$AA170,T!$W158:$W170),IF(AND(K51="4E3",K53=6,K55="AC"),LOOKUP(K81,T!$AA158:$AA170,T!$X158:$X170),IF(AND(K51="4E3",OR(K53=3,K53=5),K55="AC"),LOOKUP(K81,T!$AA158:$AA170,T!$Y158:$Y170),IF(AND(K51="4E3",OR(K53=11,K53=12),K55="AC"),LOOKUP(K81,T!$AA158:$AA170,T!$Z158:$Z170),IF(AND(K51="4E4",OR(K53=2,K53=4,K53=6),K55="DC"),LOOKUP(K81,T!$X176:$X192,T!$U176:$U192),IF(AND(K51="4E4",OR(K53=2,K53=4,K53=6),K55="AC"),LOOKUP(K81,T!$X176:$X192,T!$V176:$V192),IF(AND(K51="4E4",OR(K53=3,K53=5,K53=7),K55="AC"),LOOKUP(K81,T!$X176:$X192,T!$W176:$W192),0)))))))))))))))))))),IF(ISNUMBER(SEARCH("4F",K51)),IF(AND(K51="4F1",K53=2,K55="DC"),LOOKUP(K81,T!$Z198:$Z214,T!$U198:$U214),IF(AND(K51="4F1",K53=2,K55="AC"),LOOKUP(K81,T!$Z198:$Z214,T!$V198:$V214),IF(AND(K51="4F1",K53=3,K55="AC"),LOOKUP(K81,T!$Z198:$Z214,T!$W198:$W214),IF(AND(K51="4F1",K53=4,K55="DC"),LOOKUP(K81,T!$Z198:$Z214,T!$X198:$X214),IF(AND(K51="4F1",K53=4,K55="AC"),LOOKUP(K81,T!$Z198:$Z214,T!$Y198:$Y214),IF(AND(K51="4F2",K53=2,K55="DC"),LOOKUP(K81,T!$Y220:$Y236,T!$U220:$U236),IF(AND(K51="4F2",K53=2,K55="AC"),LOOKUP(K81,T!$Y220:$Y236,T!$V220:$V236),IF(AND(K51="4F2",K53=3,K55="AC"),LOOKUP(K81,T!$Y220:$Y236,T!$W220:$W236),IF(AND(K51="4F2",K53=4,K55="DC"),LOOKUP(K81,T!$Y220:$Y236,T!$X220:$X236),IF(AND(K51="4F3",K53=2),LOOKUP(K81,T!$W242:$W248,T!$U242:$U248),IF(AND(K51="4F3",K53=3,K55="AC"),LOOKUP(K81,T!$W242:$W248,T!$V242:$V248),0))))))))))),IF(ISNUMBER(SEARCH("4G",K51)),IF(AND(K51="4G1",OR(K53=2,K53=5)),LOOKUP(K81,T!$AA254:$AA269,T!$U254:$U269),IF(AND(K51="4G1",OR(K53=3,K53=6)),LOOKUP(K81,T!$AA254:$AA269,T!$X254:$X269),IF(AND(K51="4G1",OR(K53=4,K53=7)),LOOKUP(K81,T!$AA254:$AA269,T!$Y254:$Y269),IF(AND(K51="4G1",OR(K53=8,K53=9)),LOOKUP(K81,T!$AA254:$AA269,T!$Z254:$Z269),IF(AND(K51="4G2",OR(K53=2,K53=5)),LOOKUP(K81,T!$AA281:$AA296,T!$U281:$U296),IF(AND(K51="4G2",OR(K53=3,K53=6)),LOOKUP(K81,T!$AA281:$AA296,T!$X281:$X296),IF(AND(K51="4G2",OR(K53=4,K53=7)),LOOKUP(K81,T!$AA281:$AA296,T!$Y281:$Y296),IF(AND(K51="4G2",OR(K53=8,K53=9)),LOOKUP(K81,T!$AA281:$AA296,T!$Z281:$Z296),0)))))))),0)))))*K23*K69)/1000))</f>
        <v>8.2997999999999994</v>
      </c>
      <c r="L95" s="158">
        <f>IF(L29="","",IF(OR(COUNT(L19:L21)=3,COUNT(L19:L21)=1),(IF(L29="",0,IF(ISNUMBER(SEARCH("4D",L51)),IF(AND(L51="4D1",OR(L53=2,L53=4,L53=6,L53=8,L53=11),L55="DC"),LOOKUP(L81,T!$AC6:$AC27,T!$U6:$U27),IF(AND(L51="4D1",OR(L53=2,L53=4),L55="AC"),LOOKUP(L81,T!$AC6:$AC27,T!$V6:$V27),IF(AND(L51="4D1",OR(L53=6,L53=8),L55="AC"),LOOKUP(L81,T!$AC6:$AC27,T!$W6:$W27),IF(AND(L51="4D1",OR(L53=11,L53=12),L55="AC",L57=1),LOOKUP(L81,T!$AC6:$AC27,T!$X6:$X27),IF(AND(L51="4D1",OR(L53=3,L53=5),L55="AC"),LOOKUP(L81,T!$AC6:$AC27,T!$Y6:$Y27),IF(AND(L51="4D1",OR(L53=7,L53=10),L55="AC"),LOOKUP(L81,T!$AC6:$AC27,T!$Z6:$Z27),IF(AND(L51="4D1",L53=9,L55="AC"),LOOKUP(L81,T!$AC6:$AC27,T!$AA6:$AA27),IF(AND(L51="4D1",OR(L53=11,L53=12),L55="AC",L57=3),LOOKUP(L81,T!$AC13:$AC27,T!$AB13:$AB27),IF(AND(L51="4D2",OR(L53=2,L53=4,L53=6,L53=8),L55="DC"),LOOKUP(L81,T!$X33:$X50,T!$U33:$U50),IF(AND(L51="4D2",OR(L53=2,L53=4,L53=6,L53=8),L55="AC"),LOOKUP(L81,T!$X33:$X50,T!$V33:$V50),IF(AND(L51="4D2",OR(L53=3,L53=5,L53=7,L53=9),L55="AC"),LOOKUP(L81,T!$X33:$X50,T!$W33:$W50),IF(AND(L51="4D3",OR(L53=2,L53=4,L53=7,L53=8),L55="DC"),LOOKUP(L81,T!$AA56:$AA68,T!$U56:$U68),IF(AND(L51="4D3",OR(L53=2,L53=4),L55="AC"),LOOKUP(L81,T!$AA56:$AA68,T!$V56:$V68),IF(AND(L51="4D3",OR(L53=9,L53=10),L55="AC"),LOOKUP(L81,T!$AA56:$AA$68,T!$W56:$W68),IF(AND(L51="4D3",L53=6,L55="AC"),LOOKUP(L81,T!$AA56:$AA68,T!$X56:$X68),IF(AND(L51="4D3",OR(L53=3,L53=5),L55="AC"),LOOKUP(L81,T!$AA56:$AA68,T!$Y56:$Y68),IF(AND(L51="4D3",OR(L53=11,L53=12),L55="AC"),LOOKUP(L81,T!$AA56:$AA68,T!$Z56:$Z68),IF(AND(L51="4D4",OR(L53=2,L53=4,L53=6),L55="DC"),LOOKUP(L81,T!$X74:$X90,T!$U74:$U90),IF(AND(L51="4D4",OR(L53=2,L53=4,L53=6),L55="AC"),LOOKUP(L81,T!$X74:$X90,T!$V74:$V90),IF(AND(L51="4D4",OR(L53=3,L53=5,L53=7),L55="AC"),LOOKUP(L81,T!$X74:$X90,T!$W74:$W90),IF(AND(L51="4D5",AND(L53&gt;=2,L53&lt;=7)),LOOKUP(L81,T!$I96:$I102,T!$H96:$H102),0))))))))))))))))))))),IF(ISNUMBER(SEARCH("4E",L51)),IF(AND(L51="4E1",OR(L53=2,L53=4,L53=6,L53=8,L53=11),L55="DC"),LOOKUP(L81,T!$AC108:$AC129,T!$U108:$U129),IF(AND(L51="4E1",OR(L53=2,L53=4),L55="AC"),LOOKUP(L81,T!$AC108:$AC129,T!$V108:$V129),IF(AND(L51="4E1",OR(L53=6,L53=8),L55="AC"),LOOKUP(L81,T!$AC108:$AC129,T!$W108:$W129),IF(AND(L51="4E1",OR(L53=11,L53=12),L55="AC",L57=1),LOOKUP(L81,T!$AC108:$AC127,T!$X108:$X129),IF(AND(L51="4E1",OR(L53=3,L53=5),L55="AC"),LOOKUP(L81,T!$AC108:$AC129,T!$Y108:$Y129),IF(AND(L51="4E1",OR(L53=7,L53=10),L55="AC"),LOOKUP(L81,T!$AC108:$AC129,T!$Z108:$Z129),IF(AND(L51="4E1",L53=9,L55="AC"),LOOKUP(L81,T!$AC115:$AC129,T!$AA115:$AA129),IF(AND(L51="4E1",OR(L53=11,L53=12),L55="AC",L57=3),LOOKUP(L81,T!$AC115:$AC129,T!$AB115:$AB129),IF(AND(L51="4E2",OR(L53=2,L53=4,L53=6,L53=8),L55="DC"),LOOKUP(L81,T!$X134:$X152,T!$U134:$U152),IF(AND(L51="4E2",OR(L53=2,L53=4,L53=6,L53=8),L55="AC"),LOOKUP(L81,T!$X134:$X152,T!$V134:$V152),IF(AND(L51="4E2",OR(L53=3,L53=5,L53=7,L53=9),L55="AC"),LOOKUP(L81,T!$X134:$X152,T!$W134:$W152),IF(AND(L51="4E3",OR(L53=2,L53=4,L53=7,L53=8),L55="DC"),LOOKUP(L81,T!$AA158:$AA170,T!$U158:$U170),IF(AND(L51="4E3",OR(L53=2,L53=4),L55="AC"),LOOKUP(L81,T!$AA158:$AA170,T!$V158:$V170),IF(AND(L51="4E3",OR(L53=9,L53=10),L55="AC"),LOOKUP(L81,T!$AA158:$AA170,T!$W158:$W170),IF(AND(L51="4E3",L53=6,L55="AC"),LOOKUP(L81,T!$AA158:$AA170,T!$X158:$X170),IF(AND(L51="4E3",OR(L53=3,L53=5),L55="AC"),LOOKUP(L81,T!$AA158:$AA170,T!$Y158:$Y170),IF(AND(L51="4E3",OR(L53=11,L53=12),L55="AC"),LOOKUP(L81,T!$AA158:$AA170,T!$Z158:$Z170),IF(AND(L51="4E4",OR(L53=2,L53=4,L53=6),L55="DC"),LOOKUP(L81,T!$X176:$X192,T!$U176:$U192),IF(AND(L51="4E4",OR(L53=2,L53=4,L53=6),L55="AC"),LOOKUP(L81,T!$X176:$X192,T!$V176:$V192),IF(AND(L51="4E4",OR(L53=3,L53=5,L53=7),L55="AC"),LOOKUP(L81,T!$X176:$X192,T!$W176:$W192),0)))))))))))))))))))),IF(ISNUMBER(SEARCH("4F",L51)),IF(AND(L51="4F1",L53=2,L55="DC"),LOOKUP(L81,T!$Z198:$Z214,T!$U198:$U214),IF(AND(L51="4F1",L53=2,L55="AC"),LOOKUP(L81,T!$Z198:$Z214,T!$V198:$V214),IF(AND(L51="4F1",L53=3,L55="AC"),LOOKUP(L81,T!$Z198:$Z214,T!$W198:$W214),IF(AND(L51="4F1",L53=4,L55="DC"),LOOKUP(L81,T!$Z198:$Z214,T!$X198:$X214),IF(AND(L51="4F1",L53=4,L55="AC"),LOOKUP(L81,T!$Z198:$Z214,T!$Y198:$Y214),IF(AND(L51="4F2",L53=2,L55="DC"),LOOKUP(L81,T!$Y220:$Y236,T!$U220:$U236),IF(AND(L51="4F2",L53=2,L55="AC"),LOOKUP(L81,T!$Y220:$Y236,T!$V220:$V236),IF(AND(L51="4F2",L53=3,L55="AC"),LOOKUP(L81,T!$Y220:$Y236,T!$W220:$W236),IF(AND(L51="4F2",L53=4,L55="DC"),LOOKUP(L81,T!$Y220:$Y236,T!$X220:$X236),IF(AND(L51="4F3",L53=2),LOOKUP(L81,T!$W242:$W248,T!$U242:$U248),IF(AND(L51="4F3",L53=3,L55="AC"),LOOKUP(L81,T!$W242:$W248,T!$V242:$V248),0))))))))))),IF(ISNUMBER(SEARCH("4G",L51)),IF(AND(L51="4G1",OR(L53=2,L53=5)),LOOKUP(L81,T!$AA254:$AA269,T!$U254:$U269),IF(AND(L51="4G1",OR(L53=3,L53=6)),LOOKUP(L81,T!$AA254:$AA269,T!$X254:$X269),IF(AND(L51="4G1",OR(L53=4,L53=7)),LOOKUP(L81,T!$AA254:$AA269,T!$Y254:$Y269),IF(AND(L51="4G1",OR(L53=8,L53=9)),LOOKUP(L81,T!$AA254:$AA269,T!$Z254:$Z269),IF(AND(L51="4G2",OR(L53=2,L53=5)),LOOKUP(L81,T!$AA281:$AA296,T!$U281:$U296),IF(AND(L51="4G2",OR(L53=3,L53=6)),LOOKUP(L81,T!$AA281:$AA296,T!$X281:$X296),IF(AND(L51="4G2",OR(L53=4,L53=7)),LOOKUP(L81,T!$AA281:$AA296,T!$Y281:$Y296),IF(AND(L51="4G2",OR(L53=8,L53=9)),LOOKUP(L81,T!$AA281:$AA296,T!$Z281:$Z296),0)))))))),0)))))*L23*L69)/1000))</f>
        <v>8.2997999999999994</v>
      </c>
      <c r="M95" s="158" t="str">
        <f>IF(M29="","",IF(OR(COUNT(M19:M21)=3,COUNT(M19:M21)=1),(IF(M29="",0,IF(ISNUMBER(SEARCH("4D",M51)),IF(AND(M51="4D1",OR(M53=2,M53=4,M53=6,M53=8,M53=11),M55="DC"),LOOKUP(M81,T!$AC6:$AC27,T!$U6:$U27),IF(AND(M51="4D1",OR(M53=2,M53=4),M55="AC"),LOOKUP(M81,T!$AC6:$AC27,T!$V6:$V27),IF(AND(M51="4D1",OR(M53=6,M53=8),M55="AC"),LOOKUP(M81,T!$AC6:$AC27,T!$W6:$W27),IF(AND(M51="4D1",OR(M53=11,M53=12),M55="AC",M57=1),LOOKUP(M81,T!$AC6:$AC27,T!$X6:$X27),IF(AND(M51="4D1",OR(M53=3,M53=5),M55="AC"),LOOKUP(M81,T!$AC6:$AC27,T!$Y6:$Y27),IF(AND(M51="4D1",OR(M53=7,M53=10),M55="AC"),LOOKUP(M81,T!$AC6:$AC27,T!$Z6:$Z27),IF(AND(M51="4D1",M53=9,M55="AC"),LOOKUP(M81,T!$AC6:$AC27,T!$AA6:$AA27),IF(AND(M51="4D1",OR(M53=11,M53=12),M55="AC",M57=3),LOOKUP(M81,T!$AC13:$AC27,T!$AB13:$AB27),IF(AND(M51="4D2",OR(M53=2,M53=4,M53=6,M53=8),M55="DC"),LOOKUP(M81,T!$X33:$X50,T!$U33:$U50),IF(AND(M51="4D2",OR(M53=2,M53=4,M53=6,M53=8),M55="AC"),LOOKUP(M81,T!$X33:$X50,T!$V33:$V50),IF(AND(M51="4D2",OR(M53=3,M53=5,M53=7,M53=9),M55="AC"),LOOKUP(M81,T!$X33:$X50,T!$W33:$W50),IF(AND(M51="4D3",OR(M53=2,M53=4,M53=7,M53=8),M55="DC"),LOOKUP(M81,T!$AA56:$AA68,T!$U56:$U68),IF(AND(M51="4D3",OR(M53=2,M53=4),M55="AC"),LOOKUP(M81,T!$AA56:$AA68,T!$V56:$V68),IF(AND(M51="4D3",OR(M53=9,M53=10),M55="AC"),LOOKUP(M81,T!$AA56:$AA$68,T!$W56:$W68),IF(AND(M51="4D3",M53=6,M55="AC"),LOOKUP(M81,T!$AA56:$AA68,T!$X56:$X68),IF(AND(M51="4D3",OR(M53=3,M53=5),M55="AC"),LOOKUP(M81,T!$AA56:$AA68,T!$Y56:$Y68),IF(AND(M51="4D3",OR(M53=11,M53=12),M55="AC"),LOOKUP(M81,T!$AA56:$AA68,T!$Z56:$Z68),IF(AND(M51="4D4",OR(M53=2,M53=4,M53=6),M55="DC"),LOOKUP(M81,T!$X74:$X90,T!$U74:$U90),IF(AND(M51="4D4",OR(M53=2,M53=4,M53=6),M55="AC"),LOOKUP(M81,T!$X74:$X90,T!$V74:$V90),IF(AND(M51="4D4",OR(M53=3,M53=5,M53=7),M55="AC"),LOOKUP(M81,T!$X74:$X90,T!$W74:$W90),IF(AND(M51="4D5",AND(M53&gt;=2,M53&lt;=7)),LOOKUP(M81,T!$I96:$I102,T!$H96:$H102),0))))))))))))))))))))),IF(ISNUMBER(SEARCH("4E",M51)),IF(AND(M51="4E1",OR(M53=2,M53=4,M53=6,M53=8,M53=11),M55="DC"),LOOKUP(M81,T!$AC108:$AC129,T!$U108:$U129),IF(AND(M51="4E1",OR(M53=2,M53=4),M55="AC"),LOOKUP(M81,T!$AC108:$AC129,T!$V108:$V129),IF(AND(M51="4E1",OR(M53=6,M53=8),M55="AC"),LOOKUP(M81,T!$AC108:$AC129,T!$W108:$W129),IF(AND(M51="4E1",OR(M53=11,M53=12),M55="AC",M57=1),LOOKUP(M81,T!$AC108:$AC127,T!$X108:$X129),IF(AND(M51="4E1",OR(M53=3,M53=5),M55="AC"),LOOKUP(M81,T!$AC108:$AC129,T!$Y108:$Y129),IF(AND(M51="4E1",OR(M53=7,M53=10),M55="AC"),LOOKUP(M81,T!$AC108:$AC129,T!$Z108:$Z129),IF(AND(M51="4E1",M53=9,M55="AC"),LOOKUP(M81,T!$AC115:$AC129,T!$AA115:$AA129),IF(AND(M51="4E1",OR(M53=11,M53=12),M55="AC",M57=3),LOOKUP(M81,T!$AC115:$AC129,T!$AB115:$AB129),IF(AND(M51="4E2",OR(M53=2,M53=4,M53=6,M53=8),M55="DC"),LOOKUP(M81,T!$X134:$X152,T!$U134:$U152),IF(AND(M51="4E2",OR(M53=2,M53=4,M53=6,M53=8),M55="AC"),LOOKUP(M81,T!$X134:$X152,T!$V134:$V152),IF(AND(M51="4E2",OR(M53=3,M53=5,M53=7,M53=9),M55="AC"),LOOKUP(M81,T!$X134:$X152,T!$W134:$W152),IF(AND(M51="4E3",OR(M53=2,M53=4,M53=7,M53=8),M55="DC"),LOOKUP(M81,T!$AA158:$AA170,T!$U158:$U170),IF(AND(M51="4E3",OR(M53=2,M53=4),M55="AC"),LOOKUP(M81,T!$AA158:$AA170,T!$V158:$V170),IF(AND(M51="4E3",OR(M53=9,M53=10),M55="AC"),LOOKUP(M81,T!$AA158:$AA170,T!$W158:$W170),IF(AND(M51="4E3",M53=6,M55="AC"),LOOKUP(M81,T!$AA158:$AA170,T!$X158:$X170),IF(AND(M51="4E3",OR(M53=3,M53=5),M55="AC"),LOOKUP(M81,T!$AA158:$AA170,T!$Y158:$Y170),IF(AND(M51="4E3",OR(M53=11,M53=12),M55="AC"),LOOKUP(M81,T!$AA158:$AA170,T!$Z158:$Z170),IF(AND(M51="4E4",OR(M53=2,M53=4,M53=6),M55="DC"),LOOKUP(M81,T!$X176:$X192,T!$U176:$U192),IF(AND(M51="4E4",OR(M53=2,M53=4,M53=6),M55="AC"),LOOKUP(M81,T!$X176:$X192,T!$V176:$V192),IF(AND(M51="4E4",OR(M53=3,M53=5,M53=7),M55="AC"),LOOKUP(M81,T!$X176:$X192,T!$W176:$W192),0)))))))))))))))))))),IF(ISNUMBER(SEARCH("4F",M51)),IF(AND(M51="4F1",M53=2,M55="DC"),LOOKUP(M81,T!$Z198:$Z214,T!$U198:$U214),IF(AND(M51="4F1",M53=2,M55="AC"),LOOKUP(M81,T!$Z198:$Z214,T!$V198:$V214),IF(AND(M51="4F1",M53=3,M55="AC"),LOOKUP(M81,T!$Z198:$Z214,T!$W198:$W214),IF(AND(M51="4F1",M53=4,M55="DC"),LOOKUP(M81,T!$Z198:$Z214,T!$X198:$X214),IF(AND(M51="4F1",M53=4,M55="AC"),LOOKUP(M81,T!$Z198:$Z214,T!$Y198:$Y214),IF(AND(M51="4F2",M53=2,M55="DC"),LOOKUP(M81,T!$Y220:$Y236,T!$U220:$U236),IF(AND(M51="4F2",M53=2,M55="AC"),LOOKUP(M81,T!$Y220:$Y236,T!$V220:$V236),IF(AND(M51="4F2",M53=3,M55="AC"),LOOKUP(M81,T!$Y220:$Y236,T!$W220:$W236),IF(AND(M51="4F2",M53=4,M55="DC"),LOOKUP(M81,T!$Y220:$Y236,T!$X220:$X236),IF(AND(M51="4F3",M53=2),LOOKUP(M81,T!$W242:$W248,T!$U242:$U248),IF(AND(M51="4F3",M53=3,M55="AC"),LOOKUP(M81,T!$W242:$W248,T!$V242:$V248),0))))))))))),IF(ISNUMBER(SEARCH("4G",M51)),IF(AND(M51="4G1",OR(M53=2,M53=5)),LOOKUP(M81,T!$AA254:$AA269,T!$U254:$U269),IF(AND(M51="4G1",OR(M53=3,M53=6)),LOOKUP(M81,T!$AA254:$AA269,T!$X254:$X269),IF(AND(M51="4G1",OR(M53=4,M53=7)),LOOKUP(M81,T!$AA254:$AA269,T!$Y254:$Y269),IF(AND(M51="4G1",OR(M53=8,M53=9)),LOOKUP(M81,T!$AA254:$AA269,T!$Z254:$Z269),IF(AND(M51="4G2",OR(M53=2,M53=5)),LOOKUP(M81,T!$AA281:$AA296,T!$U281:$U296),IF(AND(M51="4G2",OR(M53=3,M53=6)),LOOKUP(M81,T!$AA281:$AA296,T!$X281:$X296),IF(AND(M51="4G2",OR(M53=4,M53=7)),LOOKUP(M81,T!$AA281:$AA296,T!$Y281:$Y296),IF(AND(M51="4G2",OR(M53=8,M53=9)),LOOKUP(M81,T!$AA281:$AA296,T!$Z281:$Z296),0)))))))),0)))))*M23*M69)/1000))</f>
        <v/>
      </c>
      <c r="N95" s="158">
        <f>IF(N29="","",IF(OR(COUNT(N19:N21)=3,COUNT(N19:N21)=1),(IF(N29="",0,IF(ISNUMBER(SEARCH("4D",N51)),IF(AND(N51="4D1",OR(N53=2,N53=4,N53=6,N53=8,N53=11),N55="DC"),LOOKUP(N81,T!$AC6:$AC27,T!$U6:$U27),IF(AND(N51="4D1",OR(N53=2,N53=4),N55="AC"),LOOKUP(N81,T!$AC6:$AC27,T!$V6:$V27),IF(AND(N51="4D1",OR(N53=6,N53=8),N55="AC"),LOOKUP(N81,T!$AC6:$AC27,T!$W6:$W27),IF(AND(N51="4D1",OR(N53=11,N53=12),N55="AC",N57=1),LOOKUP(N81,T!$AC6:$AC27,T!$X6:$X27),IF(AND(N51="4D1",OR(N53=3,N53=5),N55="AC"),LOOKUP(N81,T!$AC6:$AC27,T!$Y6:$Y27),IF(AND(N51="4D1",OR(N53=7,N53=10),N55="AC"),LOOKUP(N81,T!$AC6:$AC27,T!$Z6:$Z27),IF(AND(N51="4D1",N53=9,N55="AC"),LOOKUP(N81,T!$AC6:$AC27,T!$AA6:$AA27),IF(AND(N51="4D1",OR(N53=11,N53=12),N55="AC",N57=3),LOOKUP(N81,T!$AC13:$AC27,T!$AB13:$AB27),IF(AND(N51="4D2",OR(N53=2,N53=4,N53=6,N53=8),N55="DC"),LOOKUP(N81,T!$X33:$X50,T!$U33:$U50),IF(AND(N51="4D2",OR(N53=2,N53=4,N53=6,N53=8),N55="AC"),LOOKUP(N81,T!$X33:$X50,T!$V33:$V50),IF(AND(N51="4D2",OR(N53=3,N53=5,N53=7,N53=9),N55="AC"),LOOKUP(N81,T!$X33:$X50,T!$W33:$W50),IF(AND(N51="4D3",OR(N53=2,N53=4,N53=7,N53=8),N55="DC"),LOOKUP(N81,T!$AA56:$AA68,T!$U56:$U68),IF(AND(N51="4D3",OR(N53=2,N53=4),N55="AC"),LOOKUP(N81,T!$AA56:$AA68,T!$V56:$V68),IF(AND(N51="4D3",OR(N53=9,N53=10),N55="AC"),LOOKUP(N81,T!$AA56:$AA$68,T!$W56:$W68),IF(AND(N51="4D3",N53=6,N55="AC"),LOOKUP(N81,T!$AA56:$AA68,T!$X56:$X68),IF(AND(N51="4D3",OR(N53=3,N53=5),N55="AC"),LOOKUP(N81,T!$AA56:$AA68,T!$Y56:$Y68),IF(AND(N51="4D3",OR(N53=11,N53=12),N55="AC"),LOOKUP(N81,T!$AA56:$AA68,T!$Z56:$Z68),IF(AND(N51="4D4",OR(N53=2,N53=4,N53=6),N55="DC"),LOOKUP(N81,T!$X74:$X90,T!$U74:$U90),IF(AND(N51="4D4",OR(N53=2,N53=4,N53=6),N55="AC"),LOOKUP(N81,T!$X74:$X90,T!$V74:$V90),IF(AND(N51="4D4",OR(N53=3,N53=5,N53=7),N55="AC"),LOOKUP(N81,T!$X74:$X90,T!$W74:$W90),IF(AND(N51="4D5",AND(N53&gt;=2,N53&lt;=7)),LOOKUP(N81,T!$I96:$I102,T!$H96:$H102),0))))))))))))))))))))),IF(ISNUMBER(SEARCH("4E",N51)),IF(AND(N51="4E1",OR(N53=2,N53=4,N53=6,N53=8,N53=11),N55="DC"),LOOKUP(N81,T!$AC108:$AC129,T!$U108:$U129),IF(AND(N51="4E1",OR(N53=2,N53=4),N55="AC"),LOOKUP(N81,T!$AC108:$AC129,T!$V108:$V129),IF(AND(N51="4E1",OR(N53=6,N53=8),N55="AC"),LOOKUP(N81,T!$AC108:$AC129,T!$W108:$W129),IF(AND(N51="4E1",OR(N53=11,N53=12),N55="AC",N57=1),LOOKUP(N81,T!$AC108:$AC127,T!$X108:$X129),IF(AND(N51="4E1",OR(N53=3,N53=5),N55="AC"),LOOKUP(N81,T!$AC108:$AC129,T!$Y108:$Y129),IF(AND(N51="4E1",OR(N53=7,N53=10),N55="AC"),LOOKUP(N81,T!$AC108:$AC129,T!$Z108:$Z129),IF(AND(N51="4E1",N53=9,N55="AC"),LOOKUP(N81,T!$AC115:$AC129,T!$AA115:$AA129),IF(AND(N51="4E1",OR(N53=11,N53=12),N55="AC",N57=3),LOOKUP(N81,T!$AC115:$AC129,T!$AB115:$AB129),IF(AND(N51="4E2",OR(N53=2,N53=4,N53=6,N53=8),N55="DC"),LOOKUP(N81,T!$X134:$X152,T!$U134:$U152),IF(AND(N51="4E2",OR(N53=2,N53=4,N53=6,N53=8),N55="AC"),LOOKUP(N81,T!$X134:$X152,T!$V134:$V152),IF(AND(N51="4E2",OR(N53=3,N53=5,N53=7,N53=9),N55="AC"),LOOKUP(N81,T!$X134:$X152,T!$W134:$W152),IF(AND(N51="4E3",OR(N53=2,N53=4,N53=7,N53=8),N55="DC"),LOOKUP(N81,T!$AA158:$AA170,T!$U158:$U170),IF(AND(N51="4E3",OR(N53=2,N53=4),N55="AC"),LOOKUP(N81,T!$AA158:$AA170,T!$V158:$V170),IF(AND(N51="4E3",OR(N53=9,N53=10),N55="AC"),LOOKUP(N81,T!$AA158:$AA170,T!$W158:$W170),IF(AND(N51="4E3",N53=6,N55="AC"),LOOKUP(N81,T!$AA158:$AA170,T!$X158:$X170),IF(AND(N51="4E3",OR(N53=3,N53=5),N55="AC"),LOOKUP(N81,T!$AA158:$AA170,T!$Y158:$Y170),IF(AND(N51="4E3",OR(N53=11,N53=12),N55="AC"),LOOKUP(N81,T!$AA158:$AA170,T!$Z158:$Z170),IF(AND(N51="4E4",OR(N53=2,N53=4,N53=6),N55="DC"),LOOKUP(N81,T!$X176:$X192,T!$U176:$U192),IF(AND(N51="4E4",OR(N53=2,N53=4,N53=6),N55="AC"),LOOKUP(N81,T!$X176:$X192,T!$V176:$V192),IF(AND(N51="4E4",OR(N53=3,N53=5,N53=7),N55="AC"),LOOKUP(N81,T!$X176:$X192,T!$W176:$W192),0)))))))))))))))))))),IF(ISNUMBER(SEARCH("4F",N51)),IF(AND(N51="4F1",N53=2,N55="DC"),LOOKUP(N81,T!$Z198:$Z214,T!$U198:$U214),IF(AND(N51="4F1",N53=2,N55="AC"),LOOKUP(N81,T!$Z198:$Z214,T!$V198:$V214),IF(AND(N51="4F1",N53=3,N55="AC"),LOOKUP(N81,T!$Z198:$Z214,T!$W198:$W214),IF(AND(N51="4F1",N53=4,N55="DC"),LOOKUP(N81,T!$Z198:$Z214,T!$X198:$X214),IF(AND(N51="4F1",N53=4,N55="AC"),LOOKUP(N81,T!$Z198:$Z214,T!$Y198:$Y214),IF(AND(N51="4F2",N53=2,N55="DC"),LOOKUP(N81,T!$Y220:$Y236,T!$U220:$U236),IF(AND(N51="4F2",N53=2,N55="AC"),LOOKUP(N81,T!$Y220:$Y236,T!$V220:$V236),IF(AND(N51="4F2",N53=3,N55="AC"),LOOKUP(N81,T!$Y220:$Y236,T!$W220:$W236),IF(AND(N51="4F2",N53=4,N55="DC"),LOOKUP(N81,T!$Y220:$Y236,T!$X220:$X236),IF(AND(N51="4F3",N53=2),LOOKUP(N81,T!$W242:$W248,T!$U242:$U248),IF(AND(N51="4F3",N53=3,N55="AC"),LOOKUP(N81,T!$W242:$W248,T!$V242:$V248),0))))))))))),IF(ISNUMBER(SEARCH("4G",N51)),IF(AND(N51="4G1",OR(N53=2,N53=5)),LOOKUP(N81,T!$AA254:$AA269,T!$U254:$U269),IF(AND(N51="4G1",OR(N53=3,N53=6)),LOOKUP(N81,T!$AA254:$AA269,T!$X254:$X269),IF(AND(N51="4G1",OR(N53=4,N53=7)),LOOKUP(N81,T!$AA254:$AA269,T!$Y254:$Y269),IF(AND(N51="4G1",OR(N53=8,N53=9)),LOOKUP(N81,T!$AA254:$AA269,T!$Z254:$Z269),IF(AND(N51="4G2",OR(N53=2,N53=5)),LOOKUP(N81,T!$AA281:$AA296,T!$U281:$U296),IF(AND(N51="4G2",OR(N53=3,N53=6)),LOOKUP(N81,T!$AA281:$AA296,T!$X281:$X296),IF(AND(N51="4G2",OR(N53=4,N53=7)),LOOKUP(N81,T!$AA281:$AA296,T!$Y281:$Y296),IF(AND(N51="4G2",OR(N53=8,N53=9)),LOOKUP(N81,T!$AA281:$AA296,T!$Z281:$Z296),0)))))))),0)))))*N23*N69)/1000))</f>
        <v>5.0083396845365131</v>
      </c>
      <c r="O95" s="143" t="str">
        <f t="shared" si="23"/>
        <v>mV/A/m</v>
      </c>
    </row>
    <row r="96" spans="1:15" s="168" customFormat="1" ht="17">
      <c r="A96" s="188"/>
      <c r="B96" s="395"/>
      <c r="C96" s="392"/>
      <c r="D96" s="158">
        <f>IF(D29="","",IF(OR(COUNT(D19:D21)=3,COUNT(D19:D21)=1),(IF(D29="",0,IF(ISNUMBER(SEARCH("4D",D51)),IF(AND(D51="4D1",OR(D53=2,D53=4,D53=6,D53=8,D53=11),D55="DC"),LOOKUP(D82,T!$AC6:$AC27,T!$U6:$U27),IF(AND(D51="4D1",OR(D53=2,D53=4),D55="AC"),LOOKUP(D82,T!$AC6:$AC27,T!$V6:$V27),IF(AND(D51="4D1",OR(D53=6,D53=8),D55="AC"),LOOKUP(D82,T!$AC6:$AC27,T!$W6:$W27),IF(AND(D51="4D1",OR(D53=11,D53=12),D55="AC",D57=1),LOOKUP(D82,T!$AC6:$AC27,T!$X6:$X27),IF(AND(D51="4D1",OR(D53=3,D53=5),D55="AC"),LOOKUP(D82,T!$AC6:$AC27,T!$Y6:$Y27),IF(AND(D51="4D1",OR(D53=7,D53=10),D55="AC"),LOOKUP(D82,T!$AC6:$AC27,T!$Z6:$Z27),IF(AND(D51="4D1",D53=9,D55="AC"),LOOKUP(D82,T!$AC6:$AC27,T!$AA6:$AA27),IF(AND(D51="4D1",OR(D53=11,D53=12),D55="AC",D57=3),LOOKUP(D82,T!$AC13:$AC27,T!$AB13:$AB27),IF(AND(D51="4D2",OR(D53=2,D53=4,D53=6,D53=8),D55="DC"),LOOKUP(D82,T!$X33:$X50,T!$U33:$U50),IF(AND(D51="4D2",OR(D53=2,D53=4,D53=6,D53=8),D55="AC"),LOOKUP(D82,T!$X33:$X50,T!$V33:$V50),IF(AND(D51="4D2",OR(D53=3,D53=5,D53=7,D53=9),D55="AC"),LOOKUP(D82,T!$X33:$X50,T!$W33:$W50),IF(AND(D51="4D3",OR(D53=2,D53=4,D53=7,D53=8),D55="DC"),LOOKUP(D82,T!$AA56:$AA68,T!$U56:$U68),IF(AND(D51="4D3",OR(D53=2,D53=4),D55="AC"),LOOKUP(D82,T!$AA56:$AA68,T!$V56:$V68),IF(AND(D51="4D3",OR(D53=9,D53=10),D55="AC"),LOOKUP(D82,T!$AA56:$AA$68,T!$W56:$W68),IF(AND(D51="4D3",D53=6,D55="AC"),LOOKUP(D82,T!$AA56:$AA68,T!$X56:$X68),IF(AND(D51="4D3",OR(D53=3,D53=5),D55="AC"),LOOKUP(D82,T!$AA56:$AA68,T!$Y56:$Y68),IF(AND(D51="4D3",OR(D53=11,D53=12),D55="AC"),LOOKUP(D82,T!$AA56:$AA68,T!$Z56:$Z68),IF(AND(D51="4D4",OR(D53=2,D53=4,D53=6),D55="DC"),LOOKUP(D82,T!$X74:$X90,T!$U74:$U90),IF(AND(D51="4D4",OR(D53=2,D53=4,D53=6),D55="AC"),LOOKUP(D82,T!$X74:$X90,T!$V74:$V90),IF(AND(D51="4D4",OR(D53=3,D53=5,D53=7),D55="AC"),LOOKUP(D82,T!$X74:$X90,T!$W74:$W90),IF(AND(D51="4D5",AND(D53&gt;=2,D53&lt;=7)),LOOKUP(D82,T!$I96:$I102,T!$H96:$H102),0))))))))))))))))))))),IF(ISNUMBER(SEARCH("4E",D51)),IF(AND(D51="4E1",OR(D53=2,D53=4,D53=6,D53=8,D53=11),D55="DC"),LOOKUP(D82,T!$AC108:$AC129,T!$U108:$U129),IF(AND(D51="4E1",OR(D53=2,D53=4),D55="AC"),LOOKUP(D82,T!$AC108:$AC129,T!$V108:$V129),IF(AND(D51="4E1",OR(D53=6,D53=8),D55="AC"),LOOKUP(D82,T!$AC108:$AC129,T!$W108:$W129),IF(AND(D51="4E1",OR(D53=11,D53=12),D55="AC",D57=1),LOOKUP(D82,T!$AC108:$AC127,T!$X108:$X129),IF(AND(D51="4E1",OR(D53=3,D53=5),D55="AC"),LOOKUP(D82,T!$AC108:$AC129,T!$Y108:$Y129),IF(AND(D51="4E1",OR(D53=7,D53=10),D55="AC"),LOOKUP(D82,T!$AC108:$AC129,T!$Z108:$Z129),IF(AND(D51="4E1",D53=9,D55="AC"),LOOKUP(D82,T!$AC115:$AC129,T!$AA115:$AA129),IF(AND(D51="4E1",OR(D53=11,D53=12),D55="AC",D57=3),LOOKUP(D82,T!$AC115:$AC129,T!$AB115:$AB129),IF(AND(D51="4E2",OR(D53=2,D53=4,D53=6,D53=8),D55="DC"),LOOKUP(D82,T!$X134:$X152,T!$U134:$U152),IF(AND(D51="4E2",OR(D53=2,D53=4,D53=6,D53=8),D55="AC"),LOOKUP(D82,T!$X134:$X152,T!$V134:$V152),IF(AND(D51="4E2",OR(D53=3,D53=5,D53=7,D53=9),D55="AC"),LOOKUP(D82,T!$X134:$X152,T!$W134:$W152),IF(AND(D51="4E3",OR(D53=2,D53=4,D53=7,D53=8),D55="DC"),LOOKUP(D82,T!$AA158:$AA170,T!$U158:$U170),IF(AND(D51="4E3",OR(D53=2,D53=4),D55="AC"),LOOKUP(D82,T!$AA158:$AA170,T!$V158:$V170),IF(AND(D51="4E3",OR(D53=9,D53=10),D55="AC"),LOOKUP(D82,T!$AA158:$AA170,T!$W158:$W170),IF(AND(D51="4E3",D53=6,D55="AC"),LOOKUP(D82,T!$AA158:$AA170,T!$X158:$X170),IF(AND(D51="4E3",OR(D53=3,D53=5),D55="AC"),LOOKUP(D82,T!$AA158:$AA170,T!$Y158:$Y170),IF(AND(D51="4E3",OR(D53=11,D53=12),D55="AC"),LOOKUP(D82,T!$AA158:$AA170,T!$Z158:$Z170),IF(AND(D51="4E4",OR(D53=2,D53=4,D53=6),D55="DC"),LOOKUP(D82,T!$X176:$X192,T!$U176:$U192),IF(AND(D51="4E4",OR(D53=2,D53=4,D53=6),D55="AC"),LOOKUP(D82,T!$X176:$X192,T!$V176:$V192),IF(AND(D51="4E4",OR(D53=3,D53=5,D53=7),D55="AC"),LOOKUP(D82,T!$X176:$X192,T!$W176:$W192),0)))))))))))))))))))),IF(ISNUMBER(SEARCH("4F",D51)),IF(AND(D51="4F1",D53=2,D55="DC"),LOOKUP(D82,T!$Z198:$Z214,T!$U198:$U214),IF(AND(D51="4F1",D53=2,D55="AC"),LOOKUP(D82,T!$Z198:$Z214,T!$V198:$V214),IF(AND(D51="4F1",D53=3,D55="AC"),LOOKUP(D82,T!$Z198:$Z214,T!$W198:$W214),IF(AND(D51="4F1",D53=4,D55="DC"),LOOKUP(D82,T!$Z198:$Z214,T!$X198:$X214),IF(AND(D51="4F1",D53=4,D55="AC"),LOOKUP(D82,T!$Z198:$Z214,T!$Y198:$Y214),IF(AND(D51="4F2",D53=2,D55="DC"),LOOKUP(D82,T!$Y220:$Y236,T!$U220:$U236),IF(AND(D51="4F2",D53=2,D55="AC"),LOOKUP(D82,T!$Y220:$Y236,T!$V220:$V236),IF(AND(D51="4F2",D53=3,D55="AC"),LOOKUP(D82,T!$Y220:$Y236,T!$W220:$W236),IF(AND(D51="4F2",D53=4,D55="DC"),LOOKUP(D82,T!$Y220:$Y236,T!$X220:$X236),IF(AND(D51="4F3",D53=2),LOOKUP(D82,T!$W242:$W248,T!$U242:$U248),IF(AND(D51="4F3",D53=3,D55="AC"),LOOKUP(D82,T!$W242:$W248,T!$V242:$V248),0))))))))))),IF(ISNUMBER(SEARCH("4G",D51)),IF(AND(D51="4G1",OR(D53=2,D53=5)),LOOKUP(D82,T!$AA254:$AA269,T!$U254:$U269),IF(AND(D51="4G1",OR(D53=3,D53=6)),LOOKUP(D82,T!$AA254:$AA269,T!$X254:$X269),IF(AND(D51="4G1",OR(D53=4,D53=7)),LOOKUP(D82,T!$AA254:$AA269,T!$Y254:$Y269),IF(AND(D51="4G1",OR(D53=8,D53=9)),LOOKUP(D82,T!$AA254:$AA269,T!$Z254:$Z269),IF(AND(D51="4G2",OR(D53=2,D53=5)),LOOKUP(D82,T!$AA281:$AA296,T!$U281:$U296),IF(AND(D51="4G2",OR(D53=3,D53=6)),LOOKUP(D82,T!$AA281:$AA296,T!$X281:$X296),IF(AND(D51="4G2",OR(D53=4,D53=7)),LOOKUP(D82,T!$AA281:$AA296,T!$Y281:$Y296),IF(AND(D51="4G2",OR(D53=8,D53=9)),LOOKUP(D82,T!$AA281:$AA296,T!$Z281:$Z296),0)))))))),0)))))*D23*D69)/1000))</f>
        <v>2.8645833333333339</v>
      </c>
      <c r="E96" s="158">
        <f ca="1">IF(E29="","",IF(OR(COUNT(E19:E21)=3,COUNT(E19:E21)=1),(IF(E29="",0,IF(ISNUMBER(SEARCH("4D",E51)),IF(AND(E51="4D1",OR(E53=2,E53=4,E53=6,E53=8,E53=11),E55="DC"),LOOKUP(E82,T!$AC6:$AC27,T!$U6:$U27),IF(AND(E51="4D1",OR(E53=2,E53=4),E55="AC"),LOOKUP(E82,T!$AC6:$AC27,T!$V6:$V27),IF(AND(E51="4D1",OR(E53=6,E53=8),E55="AC"),LOOKUP(E82,T!$AC6:$AC27,T!$W6:$W27),IF(AND(E51="4D1",OR(E53=11,E53=12),E55="AC",E57=1),LOOKUP(E82,T!$AC6:$AC27,T!$X6:$X27),IF(AND(E51="4D1",OR(E53=3,E53=5),E55="AC"),LOOKUP(E82,T!$AC6:$AC27,T!$Y6:$Y27),IF(AND(E51="4D1",OR(E53=7,E53=10),E55="AC"),LOOKUP(E82,T!$AC6:$AC27,T!$Z6:$Z27),IF(AND(E51="4D1",E53=9,E55="AC"),LOOKUP(E82,T!$AC6:$AC27,T!$AA6:$AA27),IF(AND(E51="4D1",OR(E53=11,E53=12),E55="AC",E57=3),LOOKUP(E82,T!$AC13:$AC27,T!$AB13:$AB27),IF(AND(E51="4D2",OR(E53=2,E53=4,E53=6,E53=8),E55="DC"),LOOKUP(E82,T!$X33:$X50,T!$U33:$U50),IF(AND(E51="4D2",OR(E53=2,E53=4,E53=6,E53=8),E55="AC"),LOOKUP(E82,T!$X33:$X50,T!$V33:$V50),IF(AND(E51="4D2",OR(E53=3,E53=5,E53=7,E53=9),E55="AC"),LOOKUP(E82,T!$X33:$X50,T!$W33:$W50),IF(AND(E51="4D3",OR(E53=2,E53=4,E53=7,E53=8),E55="DC"),LOOKUP(E82,T!$AA56:$AA68,T!$U56:$U68),IF(AND(E51="4D3",OR(E53=2,E53=4),E55="AC"),LOOKUP(E82,T!$AA56:$AA68,T!$V56:$V68),IF(AND(E51="4D3",OR(E53=9,E53=10),E55="AC"),LOOKUP(E82,T!$AA56:$AA$68,T!$W56:$W68),IF(AND(E51="4D3",E53=6,E55="AC"),LOOKUP(E82,T!$AA56:$AA68,T!$X56:$X68),IF(AND(E51="4D3",OR(E53=3,E53=5),E55="AC"),LOOKUP(E82,T!$AA56:$AA68,T!$Y56:$Y68),IF(AND(E51="4D3",OR(E53=11,E53=12),E55="AC"),LOOKUP(E82,T!$AA56:$AA68,T!$Z56:$Z68),IF(AND(E51="4D4",OR(E53=2,E53=4,E53=6),E55="DC"),LOOKUP(E82,T!$X74:$X90,T!$U74:$U90),IF(AND(E51="4D4",OR(E53=2,E53=4,E53=6),E55="AC"),LOOKUP(E82,T!$X74:$X90,T!$V74:$V90),IF(AND(E51="4D4",OR(E53=3,E53=5,E53=7),E55="AC"),LOOKUP(E82,T!$X74:$X90,T!$W74:$W90),IF(AND(E51="4D5",AND(E53&gt;=2,E53&lt;=7)),LOOKUP(E82,T!$I96:$I102,T!$H96:$H102),0))))))))))))))))))))),IF(ISNUMBER(SEARCH("4E",E51)),IF(AND(E51="4E1",OR(E53=2,E53=4,E53=6,E53=8,E53=11),E55="DC"),LOOKUP(E82,T!$AC108:$AC129,T!$U108:$U129),IF(AND(E51="4E1",OR(E53=2,E53=4),E55="AC"),LOOKUP(E82,T!$AC108:$AC129,T!$V108:$V129),IF(AND(E51="4E1",OR(E53=6,E53=8),E55="AC"),LOOKUP(E82,T!$AC108:$AC129,T!$W108:$W129),IF(AND(E51="4E1",OR(E53=11,E53=12),E55="AC",E57=1),LOOKUP(E82,T!$AC108:$AC127,T!$X108:$X129),IF(AND(E51="4E1",OR(E53=3,E53=5),E55="AC"),LOOKUP(E82,T!$AC108:$AC129,T!$Y108:$Y129),IF(AND(E51="4E1",OR(E53=7,E53=10),E55="AC"),LOOKUP(E82,T!$AC108:$AC129,T!$Z108:$Z129),IF(AND(E51="4E1",E53=9,E55="AC"),LOOKUP(E82,T!$AC115:$AC129,T!$AA115:$AA129),IF(AND(E51="4E1",OR(E53=11,E53=12),E55="AC",E57=3),LOOKUP(E82,T!$AC115:$AC129,T!$AB115:$AB129),IF(AND(E51="4E2",OR(E53=2,E53=4,E53=6,E53=8),E55="DC"),LOOKUP(E82,T!$X134:$X152,T!$U134:$U152),IF(AND(E51="4E2",OR(E53=2,E53=4,E53=6,E53=8),E55="AC"),LOOKUP(E82,T!$X134:$X152,T!$V134:$V152),IF(AND(E51="4E2",OR(E53=3,E53=5,E53=7,E53=9),E55="AC"),LOOKUP(E82,T!$X134:$X152,T!$W134:$W152),IF(AND(E51="4E3",OR(E53=2,E53=4,E53=7,E53=8),E55="DC"),LOOKUP(E82,T!$AA158:$AA170,T!$U158:$U170),IF(AND(E51="4E3",OR(E53=2,E53=4),E55="AC"),LOOKUP(E82,T!$AA158:$AA170,T!$V158:$V170),IF(AND(E51="4E3",OR(E53=9,E53=10),E55="AC"),LOOKUP(E82,T!$AA158:$AA170,T!$W158:$W170),IF(AND(E51="4E3",E53=6,E55="AC"),LOOKUP(E82,T!$AA158:$AA170,T!$X158:$X170),IF(AND(E51="4E3",OR(E53=3,E53=5),E55="AC"),LOOKUP(E82,T!$AA158:$AA170,T!$Y158:$Y170),IF(AND(E51="4E3",OR(E53=11,E53=12),E55="AC"),LOOKUP(E82,T!$AA158:$AA170,T!$Z158:$Z170),IF(AND(E51="4E4",OR(E53=2,E53=4,E53=6),E55="DC"),LOOKUP(E82,T!$X176:$X192,T!$U176:$U192),IF(AND(E51="4E4",OR(E53=2,E53=4,E53=6),E55="AC"),LOOKUP(E82,T!$X176:$X192,T!$V176:$V192),IF(AND(E51="4E4",OR(E53=3,E53=5,E53=7),E55="AC"),LOOKUP(E82,T!$X176:$X192,T!$W176:$W192),0)))))))))))))))))))),IF(ISNUMBER(SEARCH("4F",E51)),IF(AND(E51="4F1",E53=2,E55="DC"),LOOKUP(E82,T!$Z198:$Z214,T!$U198:$U214),IF(AND(E51="4F1",E53=2,E55="AC"),LOOKUP(E82,T!$Z198:$Z214,T!$V198:$V214),IF(AND(E51="4F1",E53=3,E55="AC"),LOOKUP(E82,T!$Z198:$Z214,T!$W198:$W214),IF(AND(E51="4F1",E53=4,E55="DC"),LOOKUP(E82,T!$Z198:$Z214,T!$X198:$X214),IF(AND(E51="4F1",E53=4,E55="AC"),LOOKUP(E82,T!$Z198:$Z214,T!$Y198:$Y214),IF(AND(E51="4F2",E53=2,E55="DC"),LOOKUP(E82,T!$Y220:$Y236,T!$U220:$U236),IF(AND(E51="4F2",E53=2,E55="AC"),LOOKUP(E82,T!$Y220:$Y236,T!$V220:$V236),IF(AND(E51="4F2",E53=3,E55="AC"),LOOKUP(E82,T!$Y220:$Y236,T!$W220:$W236),IF(AND(E51="4F2",E53=4,E55="DC"),LOOKUP(E82,T!$Y220:$Y236,T!$X220:$X236),IF(AND(E51="4F3",E53=2),LOOKUP(E82,T!$W242:$W248,T!$U242:$U248),IF(AND(E51="4F3",E53=3,E55="AC"),LOOKUP(E82,T!$W242:$W248,T!$V242:$V248),0))))))))))),IF(ISNUMBER(SEARCH("4G",E51)),IF(AND(E51="4G1",OR(E53=2,E53=5)),LOOKUP(E82,T!$AA254:$AA269,T!$U254:$U269),IF(AND(E51="4G1",OR(E53=3,E53=6)),LOOKUP(E82,T!$AA254:$AA269,T!$X254:$X269),IF(AND(E51="4G1",OR(E53=4,E53=7)),LOOKUP(E82,T!$AA254:$AA269,T!$Y254:$Y269),IF(AND(E51="4G1",OR(E53=8,E53=9)),LOOKUP(E82,T!$AA254:$AA269,T!$Z254:$Z269),IF(AND(E51="4G2",OR(E53=2,E53=5)),LOOKUP(E82,T!$AA281:$AA296,T!$U281:$U296),IF(AND(E51="4G2",OR(E53=3,E53=6)),LOOKUP(E82,T!$AA281:$AA296,T!$X281:$X296),IF(AND(E51="4G2",OR(E53=4,E53=7)),LOOKUP(E82,T!$AA281:$AA296,T!$Y281:$Y296),IF(AND(E51="4G2",OR(E53=8,E53=9)),LOOKUP(E82,T!$AA281:$AA296,T!$Z281:$Z296),0)))))))),0)))))*E23*E69)/1000))</f>
        <v>6.2963999999999993</v>
      </c>
      <c r="F96" s="158">
        <f ca="1">IF(F29="","",IF(OR(COUNT(F19:F21)=3,COUNT(F19:F21)=1),(IF(F29="",0,IF(ISNUMBER(SEARCH("4D",F51)),IF(AND(F51="4D1",OR(F53=2,F53=4,F53=6,F53=8,F53=11),F55="DC"),LOOKUP(F82,T!$AC6:$AC27,T!$U6:$U27),IF(AND(F51="4D1",OR(F53=2,F53=4),F55="AC"),LOOKUP(F82,T!$AC6:$AC27,T!$V6:$V27),IF(AND(F51="4D1",OR(F53=6,F53=8),F55="AC"),LOOKUP(F82,T!$AC6:$AC27,T!$W6:$W27),IF(AND(F51="4D1",OR(F53=11,F53=12),F55="AC",F57=1),LOOKUP(F82,T!$AC6:$AC27,T!$X6:$X27),IF(AND(F51="4D1",OR(F53=3,F53=5),F55="AC"),LOOKUP(F82,T!$AC6:$AC27,T!$Y6:$Y27),IF(AND(F51="4D1",OR(F53=7,F53=10),F55="AC"),LOOKUP(F82,T!$AC6:$AC27,T!$Z6:$Z27),IF(AND(F51="4D1",F53=9,F55="AC"),LOOKUP(F82,T!$AC6:$AC27,T!$AA6:$AA27),IF(AND(F51="4D1",OR(F53=11,F53=12),F55="AC",F57=3),LOOKUP(F82,T!$AC13:$AC27,T!$AB13:$AB27),IF(AND(F51="4D2",OR(F53=2,F53=4,F53=6,F53=8),F55="DC"),LOOKUP(F82,T!$X33:$X50,T!$U33:$U50),IF(AND(F51="4D2",OR(F53=2,F53=4,F53=6,F53=8),F55="AC"),LOOKUP(F82,T!$X33:$X50,T!$V33:$V50),IF(AND(F51="4D2",OR(F53=3,F53=5,F53=7,F53=9),F55="AC"),LOOKUP(F82,T!$X33:$X50,T!$W33:$W50),IF(AND(F51="4D3",OR(F53=2,F53=4,F53=7,F53=8),F55="DC"),LOOKUP(F82,T!$AA56:$AA68,T!$U56:$U68),IF(AND(F51="4D3",OR(F53=2,F53=4),F55="AC"),LOOKUP(F82,T!$AA56:$AA68,T!$V56:$V68),IF(AND(F51="4D3",OR(F53=9,F53=10),F55="AC"),LOOKUP(F82,T!$AA56:$AA$68,T!$W56:$W68),IF(AND(F51="4D3",F53=6,F55="AC"),LOOKUP(F82,T!$AA56:$AA68,T!$X56:$X68),IF(AND(F51="4D3",OR(F53=3,F53=5),F55="AC"),LOOKUP(F82,T!$AA56:$AA68,T!$Y56:$Y68),IF(AND(F51="4D3",OR(F53=11,F53=12),F55="AC"),LOOKUP(F82,T!$AA56:$AA68,T!$Z56:$Z68),IF(AND(F51="4D4",OR(F53=2,F53=4,F53=6),F55="DC"),LOOKUP(F82,T!$X74:$X90,T!$U74:$U90),IF(AND(F51="4D4",OR(F53=2,F53=4,F53=6),F55="AC"),LOOKUP(F82,T!$X74:$X90,T!$V74:$V90),IF(AND(F51="4D4",OR(F53=3,F53=5,F53=7),F55="AC"),LOOKUP(F82,T!$X74:$X90,T!$W74:$W90),IF(AND(F51="4D5",AND(F53&gt;=2,F53&lt;=7)),LOOKUP(F82,T!$I96:$I102,T!$H96:$H102),0))))))))))))))))))))),IF(ISNUMBER(SEARCH("4E",F51)),IF(AND(F51="4E1",OR(F53=2,F53=4,F53=6,F53=8,F53=11),F55="DC"),LOOKUP(F82,T!$AC108:$AC129,T!$U108:$U129),IF(AND(F51="4E1",OR(F53=2,F53=4),F55="AC"),LOOKUP(F82,T!$AC108:$AC129,T!$V108:$V129),IF(AND(F51="4E1",OR(F53=6,F53=8),F55="AC"),LOOKUP(F82,T!$AC108:$AC129,T!$W108:$W129),IF(AND(F51="4E1",OR(F53=11,F53=12),F55="AC",F57=1),LOOKUP(F82,T!$AC108:$AC127,T!$X108:$X129),IF(AND(F51="4E1",OR(F53=3,F53=5),F55="AC"),LOOKUP(F82,T!$AC108:$AC129,T!$Y108:$Y129),IF(AND(F51="4E1",OR(F53=7,F53=10),F55="AC"),LOOKUP(F82,T!$AC108:$AC129,T!$Z108:$Z129),IF(AND(F51="4E1",F53=9,F55="AC"),LOOKUP(F82,T!$AC115:$AC129,T!$AA115:$AA129),IF(AND(F51="4E1",OR(F53=11,F53=12),F55="AC",F57=3),LOOKUP(F82,T!$AC115:$AC129,T!$AB115:$AB129),IF(AND(F51="4E2",OR(F53=2,F53=4,F53=6,F53=8),F55="DC"),LOOKUP(F82,T!$X134:$X152,T!$U134:$U152),IF(AND(F51="4E2",OR(F53=2,F53=4,F53=6,F53=8),F55="AC"),LOOKUP(F82,T!$X134:$X152,T!$V134:$V152),IF(AND(F51="4E2",OR(F53=3,F53=5,F53=7,F53=9),F55="AC"),LOOKUP(F82,T!$X134:$X152,T!$W134:$W152),IF(AND(F51="4E3",OR(F53=2,F53=4,F53=7,F53=8),F55="DC"),LOOKUP(F82,T!$AA158:$AA170,T!$U158:$U170),IF(AND(F51="4E3",OR(F53=2,F53=4),F55="AC"),LOOKUP(F82,T!$AA158:$AA170,T!$V158:$V170),IF(AND(F51="4E3",OR(F53=9,F53=10),F55="AC"),LOOKUP(F82,T!$AA158:$AA170,T!$W158:$W170),IF(AND(F51="4E3",F53=6,F55="AC"),LOOKUP(F82,T!$AA158:$AA170,T!$X158:$X170),IF(AND(F51="4E3",OR(F53=3,F53=5),F55="AC"),LOOKUP(F82,T!$AA158:$AA170,T!$Y158:$Y170),IF(AND(F51="4E3",OR(F53=11,F53=12),F55="AC"),LOOKUP(F82,T!$AA158:$AA170,T!$Z158:$Z170),IF(AND(F51="4E4",OR(F53=2,F53=4,F53=6),F55="DC"),LOOKUP(F82,T!$X176:$X192,T!$U176:$U192),IF(AND(F51="4E4",OR(F53=2,F53=4,F53=6),F55="AC"),LOOKUP(F82,T!$X176:$X192,T!$V176:$V192),IF(AND(F51="4E4",OR(F53=3,F53=5,F53=7),F55="AC"),LOOKUP(F82,T!$X176:$X192,T!$W176:$W192),0)))))))))))))))))))),IF(ISNUMBER(SEARCH("4F",F51)),IF(AND(F51="4F1",F53=2,F55="DC"),LOOKUP(F82,T!$Z198:$Z214,T!$U198:$U214),IF(AND(F51="4F1",F53=2,F55="AC"),LOOKUP(F82,T!$Z198:$Z214,T!$V198:$V214),IF(AND(F51="4F1",F53=3,F55="AC"),LOOKUP(F82,T!$Z198:$Z214,T!$W198:$W214),IF(AND(F51="4F1",F53=4,F55="DC"),LOOKUP(F82,T!$Z198:$Z214,T!$X198:$X214),IF(AND(F51="4F1",F53=4,F55="AC"),LOOKUP(F82,T!$Z198:$Z214,T!$Y198:$Y214),IF(AND(F51="4F2",F53=2,F55="DC"),LOOKUP(F82,T!$Y220:$Y236,T!$U220:$U236),IF(AND(F51="4F2",F53=2,F55="AC"),LOOKUP(F82,T!$Y220:$Y236,T!$V220:$V236),IF(AND(F51="4F2",F53=3,F55="AC"),LOOKUP(F82,T!$Y220:$Y236,T!$W220:$W236),IF(AND(F51="4F2",F53=4,F55="DC"),LOOKUP(F82,T!$Y220:$Y236,T!$X220:$X236),IF(AND(F51="4F3",F53=2),LOOKUP(F82,T!$W242:$W248,T!$U242:$U248),IF(AND(F51="4F3",F53=3,F55="AC"),LOOKUP(F82,T!$W242:$W248,T!$V242:$V248),0))))))))))),IF(ISNUMBER(SEARCH("4G",F51)),IF(AND(F51="4G1",OR(F53=2,F53=5)),LOOKUP(F82,T!$AA254:$AA269,T!$U254:$U269),IF(AND(F51="4G1",OR(F53=3,F53=6)),LOOKUP(F82,T!$AA254:$AA269,T!$X254:$X269),IF(AND(F51="4G1",OR(F53=4,F53=7)),LOOKUP(F82,T!$AA254:$AA269,T!$Y254:$Y269),IF(AND(F51="4G1",OR(F53=8,F53=9)),LOOKUP(F82,T!$AA254:$AA269,T!$Z254:$Z269),IF(AND(F51="4G2",OR(F53=2,F53=5)),LOOKUP(F82,T!$AA281:$AA296,T!$U281:$U296),IF(AND(F51="4G2",OR(F53=3,F53=6)),LOOKUP(F82,T!$AA281:$AA296,T!$X281:$X296),IF(AND(F51="4G2",OR(F53=4,F53=7)),LOOKUP(F82,T!$AA281:$AA296,T!$Y281:$Y296),IF(AND(F51="4G2",OR(F53=8,F53=9)),LOOKUP(F82,T!$AA281:$AA296,T!$Z281:$Z296),0)))))))),0)))))*F23*F69)/1000))</f>
        <v>6.2963999999999993</v>
      </c>
      <c r="G96" s="158">
        <f ca="1">IF(G29="","",IF(OR(COUNT(G19:G21)=3,COUNT(G19:G21)=1),(IF(G29="",0,IF(ISNUMBER(SEARCH("4D",G51)),IF(AND(G51="4D1",OR(G53=2,G53=4,G53=6,G53=8,G53=11),G55="DC"),LOOKUP(G82,T!$AC6:$AC27,T!$U6:$U27),IF(AND(G51="4D1",OR(G53=2,G53=4),G55="AC"),LOOKUP(G82,T!$AC6:$AC27,T!$V6:$V27),IF(AND(G51="4D1",OR(G53=6,G53=8),G55="AC"),LOOKUP(G82,T!$AC6:$AC27,T!$W6:$W27),IF(AND(G51="4D1",OR(G53=11,G53=12),G55="AC",G57=1),LOOKUP(G82,T!$AC6:$AC27,T!$X6:$X27),IF(AND(G51="4D1",OR(G53=3,G53=5),G55="AC"),LOOKUP(G82,T!$AC6:$AC27,T!$Y6:$Y27),IF(AND(G51="4D1",OR(G53=7,G53=10),G55="AC"),LOOKUP(G82,T!$AC6:$AC27,T!$Z6:$Z27),IF(AND(G51="4D1",G53=9,G55="AC"),LOOKUP(G82,T!$AC6:$AC27,T!$AA6:$AA27),IF(AND(G51="4D1",OR(G53=11,G53=12),G55="AC",G57=3),LOOKUP(G82,T!$AC13:$AC27,T!$AB13:$AB27),IF(AND(G51="4D2",OR(G53=2,G53=4,G53=6,G53=8),G55="DC"),LOOKUP(G82,T!$X33:$X50,T!$U33:$U50),IF(AND(G51="4D2",OR(G53=2,G53=4,G53=6,G53=8),G55="AC"),LOOKUP(G82,T!$X33:$X50,T!$V33:$V50),IF(AND(G51="4D2",OR(G53=3,G53=5,G53=7,G53=9),G55="AC"),LOOKUP(G82,T!$X33:$X50,T!$W33:$W50),IF(AND(G51="4D3",OR(G53=2,G53=4,G53=7,G53=8),G55="DC"),LOOKUP(G82,T!$AA56:$AA68,T!$U56:$U68),IF(AND(G51="4D3",OR(G53=2,G53=4),G55="AC"),LOOKUP(G82,T!$AA56:$AA68,T!$V56:$V68),IF(AND(G51="4D3",OR(G53=9,G53=10),G55="AC"),LOOKUP(G82,T!$AA56:$AA$68,T!$W56:$W68),IF(AND(G51="4D3",G53=6,G55="AC"),LOOKUP(G82,T!$AA56:$AA68,T!$X56:$X68),IF(AND(G51="4D3",OR(G53=3,G53=5),G55="AC"),LOOKUP(G82,T!$AA56:$AA68,T!$Y56:$Y68),IF(AND(G51="4D3",OR(G53=11,G53=12),G55="AC"),LOOKUP(G82,T!$AA56:$AA68,T!$Z56:$Z68),IF(AND(G51="4D4",OR(G53=2,G53=4,G53=6),G55="DC"),LOOKUP(G82,T!$X74:$X90,T!$U74:$U90),IF(AND(G51="4D4",OR(G53=2,G53=4,G53=6),G55="AC"),LOOKUP(G82,T!$X74:$X90,T!$V74:$V90),IF(AND(G51="4D4",OR(G53=3,G53=5,G53=7),G55="AC"),LOOKUP(G82,T!$X74:$X90,T!$W74:$W90),IF(AND(G51="4D5",AND(G53&gt;=2,G53&lt;=7)),LOOKUP(G82,T!$I96:$I102,T!$H96:$H102),0))))))))))))))))))))),IF(ISNUMBER(SEARCH("4E",G51)),IF(AND(G51="4E1",OR(G53=2,G53=4,G53=6,G53=8,G53=11),G55="DC"),LOOKUP(G82,T!$AC108:$AC129,T!$U108:$U129),IF(AND(G51="4E1",OR(G53=2,G53=4),G55="AC"),LOOKUP(G82,T!$AC108:$AC129,T!$V108:$V129),IF(AND(G51="4E1",OR(G53=6,G53=8),G55="AC"),LOOKUP(G82,T!$AC108:$AC129,T!$W108:$W129),IF(AND(G51="4E1",OR(G53=11,G53=12),G55="AC",G57=1),LOOKUP(G82,T!$AC108:$AC127,T!$X108:$X129),IF(AND(G51="4E1",OR(G53=3,G53=5),G55="AC"),LOOKUP(G82,T!$AC108:$AC129,T!$Y108:$Y129),IF(AND(G51="4E1",OR(G53=7,G53=10),G55="AC"),LOOKUP(G82,T!$AC108:$AC129,T!$Z108:$Z129),IF(AND(G51="4E1",G53=9,G55="AC"),LOOKUP(G82,T!$AC115:$AC129,T!$AA115:$AA129),IF(AND(G51="4E1",OR(G53=11,G53=12),G55="AC",G57=3),LOOKUP(G82,T!$AC115:$AC129,T!$AB115:$AB129),IF(AND(G51="4E2",OR(G53=2,G53=4,G53=6,G53=8),G55="DC"),LOOKUP(G82,T!$X134:$X152,T!$U134:$U152),IF(AND(G51="4E2",OR(G53=2,G53=4,G53=6,G53=8),G55="AC"),LOOKUP(G82,T!$X134:$X152,T!$V134:$V152),IF(AND(G51="4E2",OR(G53=3,G53=5,G53=7,G53=9),G55="AC"),LOOKUP(G82,T!$X134:$X152,T!$W134:$W152),IF(AND(G51="4E3",OR(G53=2,G53=4,G53=7,G53=8),G55="DC"),LOOKUP(G82,T!$AA158:$AA170,T!$U158:$U170),IF(AND(G51="4E3",OR(G53=2,G53=4),G55="AC"),LOOKUP(G82,T!$AA158:$AA170,T!$V158:$V170),IF(AND(G51="4E3",OR(G53=9,G53=10),G55="AC"),LOOKUP(G82,T!$AA158:$AA170,T!$W158:$W170),IF(AND(G51="4E3",G53=6,G55="AC"),LOOKUP(G82,T!$AA158:$AA170,T!$X158:$X170),IF(AND(G51="4E3",OR(G53=3,G53=5),G55="AC"),LOOKUP(G82,T!$AA158:$AA170,T!$Y158:$Y170),IF(AND(G51="4E3",OR(G53=11,G53=12),G55="AC"),LOOKUP(G82,T!$AA158:$AA170,T!$Z158:$Z170),IF(AND(G51="4E4",OR(G53=2,G53=4,G53=6),G55="DC"),LOOKUP(G82,T!$X176:$X192,T!$U176:$U192),IF(AND(G51="4E4",OR(G53=2,G53=4,G53=6),G55="AC"),LOOKUP(G82,T!$X176:$X192,T!$V176:$V192),IF(AND(G51="4E4",OR(G53=3,G53=5,G53=7),G55="AC"),LOOKUP(G82,T!$X176:$X192,T!$W176:$W192),0)))))))))))))))))))),IF(ISNUMBER(SEARCH("4F",G51)),IF(AND(G51="4F1",G53=2,G55="DC"),LOOKUP(G82,T!$Z198:$Z214,T!$U198:$U214),IF(AND(G51="4F1",G53=2,G55="AC"),LOOKUP(G82,T!$Z198:$Z214,T!$V198:$V214),IF(AND(G51="4F1",G53=3,G55="AC"),LOOKUP(G82,T!$Z198:$Z214,T!$W198:$W214),IF(AND(G51="4F1",G53=4,G55="DC"),LOOKUP(G82,T!$Z198:$Z214,T!$X198:$X214),IF(AND(G51="4F1",G53=4,G55="AC"),LOOKUP(G82,T!$Z198:$Z214,T!$Y198:$Y214),IF(AND(G51="4F2",G53=2,G55="DC"),LOOKUP(G82,T!$Y220:$Y236,T!$U220:$U236),IF(AND(G51="4F2",G53=2,G55="AC"),LOOKUP(G82,T!$Y220:$Y236,T!$V220:$V236),IF(AND(G51="4F2",G53=3,G55="AC"),LOOKUP(G82,T!$Y220:$Y236,T!$W220:$W236),IF(AND(G51="4F2",G53=4,G55="DC"),LOOKUP(G82,T!$Y220:$Y236,T!$X220:$X236),IF(AND(G51="4F3",G53=2),LOOKUP(G82,T!$W242:$W248,T!$U242:$U248),IF(AND(G51="4F3",G53=3,G55="AC"),LOOKUP(G82,T!$W242:$W248,T!$V242:$V248),0))))))))))),IF(ISNUMBER(SEARCH("4G",G51)),IF(AND(G51="4G1",OR(G53=2,G53=5)),LOOKUP(G82,T!$AA254:$AA269,T!$U254:$U269),IF(AND(G51="4G1",OR(G53=3,G53=6)),LOOKUP(G82,T!$AA254:$AA269,T!$X254:$X269),IF(AND(G51="4G1",OR(G53=4,G53=7)),LOOKUP(G82,T!$AA254:$AA269,T!$Y254:$Y269),IF(AND(G51="4G1",OR(G53=8,G53=9)),LOOKUP(G82,T!$AA254:$AA269,T!$Z254:$Z269),IF(AND(G51="4G2",OR(G53=2,G53=5)),LOOKUP(G82,T!$AA281:$AA296,T!$U281:$U296),IF(AND(G51="4G2",OR(G53=3,G53=6)),LOOKUP(G82,T!$AA281:$AA296,T!$X281:$X296),IF(AND(G51="4G2",OR(G53=4,G53=7)),LOOKUP(G82,T!$AA281:$AA296,T!$Y281:$Y296),IF(AND(G51="4G2",OR(G53=8,G53=9)),LOOKUP(G82,T!$AA281:$AA296,T!$Z281:$Z296),0)))))))),0)))))*G23*G69)/1000))</f>
        <v>6.2963999999999993</v>
      </c>
      <c r="H96" s="158">
        <f ca="1">IF(H29="","",IF(OR(COUNT(H19:H21)=3,COUNT(H19:H21)=1),(IF(H29="",0,IF(ISNUMBER(SEARCH("4D",H51)),IF(AND(H51="4D1",OR(H53=2,H53=4,H53=6,H53=8,H53=11),H55="DC"),LOOKUP(H82,T!$AC6:$AC27,T!$U6:$U27),IF(AND(H51="4D1",OR(H53=2,H53=4),H55="AC"),LOOKUP(H82,T!$AC6:$AC27,T!$V6:$V27),IF(AND(H51="4D1",OR(H53=6,H53=8),H55="AC"),LOOKUP(H82,T!$AC6:$AC27,T!$W6:$W27),IF(AND(H51="4D1",OR(H53=11,H53=12),H55="AC",H57=1),LOOKUP(H82,T!$AC6:$AC27,T!$X6:$X27),IF(AND(H51="4D1",OR(H53=3,H53=5),H55="AC"),LOOKUP(H82,T!$AC6:$AC27,T!$Y6:$Y27),IF(AND(H51="4D1",OR(H53=7,H53=10),H55="AC"),LOOKUP(H82,T!$AC6:$AC27,T!$Z6:$Z27),IF(AND(H51="4D1",H53=9,H55="AC"),LOOKUP(H82,T!$AC6:$AC27,T!$AA6:$AA27),IF(AND(H51="4D1",OR(H53=11,H53=12),H55="AC",H57=3),LOOKUP(H82,T!$AC13:$AC27,T!$AB13:$AB27),IF(AND(H51="4D2",OR(H53=2,H53=4,H53=6,H53=8),H55="DC"),LOOKUP(H82,T!$X33:$X50,T!$U33:$U50),IF(AND(H51="4D2",OR(H53=2,H53=4,H53=6,H53=8),H55="AC"),LOOKUP(H82,T!$X33:$X50,T!$V33:$V50),IF(AND(H51="4D2",OR(H53=3,H53=5,H53=7,H53=9),H55="AC"),LOOKUP(H82,T!$X33:$X50,T!$W33:$W50),IF(AND(H51="4D3",OR(H53=2,H53=4,H53=7,H53=8),H55="DC"),LOOKUP(H82,T!$AA56:$AA68,T!$U56:$U68),IF(AND(H51="4D3",OR(H53=2,H53=4),H55="AC"),LOOKUP(H82,T!$AA56:$AA68,T!$V56:$V68),IF(AND(H51="4D3",OR(H53=9,H53=10),H55="AC"),LOOKUP(H82,T!$AA56:$AA$68,T!$W56:$W68),IF(AND(H51="4D3",H53=6,H55="AC"),LOOKUP(H82,T!$AA56:$AA68,T!$X56:$X68),IF(AND(H51="4D3",OR(H53=3,H53=5),H55="AC"),LOOKUP(H82,T!$AA56:$AA68,T!$Y56:$Y68),IF(AND(H51="4D3",OR(H53=11,H53=12),H55="AC"),LOOKUP(H82,T!$AA56:$AA68,T!$Z56:$Z68),IF(AND(H51="4D4",OR(H53=2,H53=4,H53=6),H55="DC"),LOOKUP(H82,T!$X74:$X90,T!$U74:$U90),IF(AND(H51="4D4",OR(H53=2,H53=4,H53=6),H55="AC"),LOOKUP(H82,T!$X74:$X90,T!$V74:$V90),IF(AND(H51="4D4",OR(H53=3,H53=5,H53=7),H55="AC"),LOOKUP(H82,T!$X74:$X90,T!$W74:$W90),IF(AND(H51="4D5",AND(H53&gt;=2,H53&lt;=7)),LOOKUP(H82,T!$I96:$I102,T!$H96:$H102),0))))))))))))))))))))),IF(ISNUMBER(SEARCH("4E",H51)),IF(AND(H51="4E1",OR(H53=2,H53=4,H53=6,H53=8,H53=11),H55="DC"),LOOKUP(H82,T!$AC108:$AC129,T!$U108:$U129),IF(AND(H51="4E1",OR(H53=2,H53=4),H55="AC"),LOOKUP(H82,T!$AC108:$AC129,T!$V108:$V129),IF(AND(H51="4E1",OR(H53=6,H53=8),H55="AC"),LOOKUP(H82,T!$AC108:$AC129,T!$W108:$W129),IF(AND(H51="4E1",OR(H53=11,H53=12),H55="AC",H57=1),LOOKUP(H82,T!$AC108:$AC127,T!$X108:$X129),IF(AND(H51="4E1",OR(H53=3,H53=5),H55="AC"),LOOKUP(H82,T!$AC108:$AC129,T!$Y108:$Y129),IF(AND(H51="4E1",OR(H53=7,H53=10),H55="AC"),LOOKUP(H82,T!$AC108:$AC129,T!$Z108:$Z129),IF(AND(H51="4E1",H53=9,H55="AC"),LOOKUP(H82,T!$AC115:$AC129,T!$AA115:$AA129),IF(AND(H51="4E1",OR(H53=11,H53=12),H55="AC",H57=3),LOOKUP(H82,T!$AC115:$AC129,T!$AB115:$AB129),IF(AND(H51="4E2",OR(H53=2,H53=4,H53=6,H53=8),H55="DC"),LOOKUP(H82,T!$X134:$X152,T!$U134:$U152),IF(AND(H51="4E2",OR(H53=2,H53=4,H53=6,H53=8),H55="AC"),LOOKUP(H82,T!$X134:$X152,T!$V134:$V152),IF(AND(H51="4E2",OR(H53=3,H53=5,H53=7,H53=9),H55="AC"),LOOKUP(H82,T!$X134:$X152,T!$W134:$W152),IF(AND(H51="4E3",OR(H53=2,H53=4,H53=7,H53=8),H55="DC"),LOOKUP(H82,T!$AA158:$AA170,T!$U158:$U170),IF(AND(H51="4E3",OR(H53=2,H53=4),H55="AC"),LOOKUP(H82,T!$AA158:$AA170,T!$V158:$V170),IF(AND(H51="4E3",OR(H53=9,H53=10),H55="AC"),LOOKUP(H82,T!$AA158:$AA170,T!$W158:$W170),IF(AND(H51="4E3",H53=6,H55="AC"),LOOKUP(H82,T!$AA158:$AA170,T!$X158:$X170),IF(AND(H51="4E3",OR(H53=3,H53=5),H55="AC"),LOOKUP(H82,T!$AA158:$AA170,T!$Y158:$Y170),IF(AND(H51="4E3",OR(H53=11,H53=12),H55="AC"),LOOKUP(H82,T!$AA158:$AA170,T!$Z158:$Z170),IF(AND(H51="4E4",OR(H53=2,H53=4,H53=6),H55="DC"),LOOKUP(H82,T!$X176:$X192,T!$U176:$U192),IF(AND(H51="4E4",OR(H53=2,H53=4,H53=6),H55="AC"),LOOKUP(H82,T!$X176:$X192,T!$V176:$V192),IF(AND(H51="4E4",OR(H53=3,H53=5,H53=7),H55="AC"),LOOKUP(H82,T!$X176:$X192,T!$W176:$W192),0)))))))))))))))))))),IF(ISNUMBER(SEARCH("4F",H51)),IF(AND(H51="4F1",H53=2,H55="DC"),LOOKUP(H82,T!$Z198:$Z214,T!$U198:$U214),IF(AND(H51="4F1",H53=2,H55="AC"),LOOKUP(H82,T!$Z198:$Z214,T!$V198:$V214),IF(AND(H51="4F1",H53=3,H55="AC"),LOOKUP(H82,T!$Z198:$Z214,T!$W198:$W214),IF(AND(H51="4F1",H53=4,H55="DC"),LOOKUP(H82,T!$Z198:$Z214,T!$X198:$X214),IF(AND(H51="4F1",H53=4,H55="AC"),LOOKUP(H82,T!$Z198:$Z214,T!$Y198:$Y214),IF(AND(H51="4F2",H53=2,H55="DC"),LOOKUP(H82,T!$Y220:$Y236,T!$U220:$U236),IF(AND(H51="4F2",H53=2,H55="AC"),LOOKUP(H82,T!$Y220:$Y236,T!$V220:$V236),IF(AND(H51="4F2",H53=3,H55="AC"),LOOKUP(H82,T!$Y220:$Y236,T!$W220:$W236),IF(AND(H51="4F2",H53=4,H55="DC"),LOOKUP(H82,T!$Y220:$Y236,T!$X220:$X236),IF(AND(H51="4F3",H53=2),LOOKUP(H82,T!$W242:$W248,T!$U242:$U248),IF(AND(H51="4F3",H53=3,H55="AC"),LOOKUP(H82,T!$W242:$W248,T!$V242:$V248),0))))))))))),IF(ISNUMBER(SEARCH("4G",H51)),IF(AND(H51="4G1",OR(H53=2,H53=5)),LOOKUP(H82,T!$AA254:$AA269,T!$U254:$U269),IF(AND(H51="4G1",OR(H53=3,H53=6)),LOOKUP(H82,T!$AA254:$AA269,T!$X254:$X269),IF(AND(H51="4G1",OR(H53=4,H53=7)),LOOKUP(H82,T!$AA254:$AA269,T!$Y254:$Y269),IF(AND(H51="4G1",OR(H53=8,H53=9)),LOOKUP(H82,T!$AA254:$AA269,T!$Z254:$Z269),IF(AND(H51="4G2",OR(H53=2,H53=5)),LOOKUP(H82,T!$AA281:$AA296,T!$U281:$U296),IF(AND(H51="4G2",OR(H53=3,H53=6)),LOOKUP(H82,T!$AA281:$AA296,T!$X281:$X296),IF(AND(H51="4G2",OR(H53=4,H53=7)),LOOKUP(H82,T!$AA281:$AA296,T!$Y281:$Y296),IF(AND(H51="4G2",OR(H53=8,H53=9)),LOOKUP(H82,T!$AA281:$AA296,T!$Z281:$Z296),0)))))))),0)))))*H23*H69)/1000))</f>
        <v>6.2963999999999993</v>
      </c>
      <c r="I96" s="158">
        <f>IF(I29="","",IF(OR(COUNT(I19:I21)=3,COUNT(I19:I21)=1),(IF(I29="",0,IF(ISNUMBER(SEARCH("4D",I51)),IF(AND(I51="4D1",OR(I53=2,I53=4,I53=6,I53=8,I53=11),I55="DC"),LOOKUP(I82,T!$AC6:$AC27,T!$U6:$U27),IF(AND(I51="4D1",OR(I53=2,I53=4),I55="AC"),LOOKUP(I82,T!$AC6:$AC27,T!$V6:$V27),IF(AND(I51="4D1",OR(I53=6,I53=8),I55="AC"),LOOKUP(I82,T!$AC6:$AC27,T!$W6:$W27),IF(AND(I51="4D1",OR(I53=11,I53=12),I55="AC",I57=1),LOOKUP(I82,T!$AC6:$AC27,T!$X6:$X27),IF(AND(I51="4D1",OR(I53=3,I53=5),I55="AC"),LOOKUP(I82,T!$AC6:$AC27,T!$Y6:$Y27),IF(AND(I51="4D1",OR(I53=7,I53=10),I55="AC"),LOOKUP(I82,T!$AC6:$AC27,T!$Z6:$Z27),IF(AND(I51="4D1",I53=9,I55="AC"),LOOKUP(I82,T!$AC6:$AC27,T!$AA6:$AA27),IF(AND(I51="4D1",OR(I53=11,I53=12),I55="AC",I57=3),LOOKUP(I82,T!$AC13:$AC27,T!$AB13:$AB27),IF(AND(I51="4D2",OR(I53=2,I53=4,I53=6,I53=8),I55="DC"),LOOKUP(I82,T!$X33:$X50,T!$U33:$U50),IF(AND(I51="4D2",OR(I53=2,I53=4,I53=6,I53=8),I55="AC"),LOOKUP(I82,T!$X33:$X50,T!$V33:$V50),IF(AND(I51="4D2",OR(I53=3,I53=5,I53=7,I53=9),I55="AC"),LOOKUP(I82,T!$X33:$X50,T!$W33:$W50),IF(AND(I51="4D3",OR(I53=2,I53=4,I53=7,I53=8),I55="DC"),LOOKUP(I82,T!$AA56:$AA68,T!$U56:$U68),IF(AND(I51="4D3",OR(I53=2,I53=4),I55="AC"),LOOKUP(I82,T!$AA56:$AA68,T!$V56:$V68),IF(AND(I51="4D3",OR(I53=9,I53=10),I55="AC"),LOOKUP(I82,T!$AA56:$AA$68,T!$W56:$W68),IF(AND(I51="4D3",I53=6,I55="AC"),LOOKUP(I82,T!$AA56:$AA68,T!$X56:$X68),IF(AND(I51="4D3",OR(I53=3,I53=5),I55="AC"),LOOKUP(I82,T!$AA56:$AA68,T!$Y56:$Y68),IF(AND(I51="4D3",OR(I53=11,I53=12),I55="AC"),LOOKUP(I82,T!$AA56:$AA68,T!$Z56:$Z68),IF(AND(I51="4D4",OR(I53=2,I53=4,I53=6),I55="DC"),LOOKUP(I82,T!$X74:$X90,T!$U74:$U90),IF(AND(I51="4D4",OR(I53=2,I53=4,I53=6),I55="AC"),LOOKUP(I82,T!$X74:$X90,T!$V74:$V90),IF(AND(I51="4D4",OR(I53=3,I53=5,I53=7),I55="AC"),LOOKUP(I82,T!$X74:$X90,T!$W74:$W90),IF(AND(I51="4D5",AND(I53&gt;=2,I53&lt;=7)),LOOKUP(I82,T!$I96:$I102,T!$H96:$H102),0))))))))))))))))))))),IF(ISNUMBER(SEARCH("4E",I51)),IF(AND(I51="4E1",OR(I53=2,I53=4,I53=6,I53=8,I53=11),I55="DC"),LOOKUP(I82,T!$AC108:$AC129,T!$U108:$U129),IF(AND(I51="4E1",OR(I53=2,I53=4),I55="AC"),LOOKUP(I82,T!$AC108:$AC129,T!$V108:$V129),IF(AND(I51="4E1",OR(I53=6,I53=8),I55="AC"),LOOKUP(I82,T!$AC108:$AC129,T!$W108:$W129),IF(AND(I51="4E1",OR(I53=11,I53=12),I55="AC",I57=1),LOOKUP(I82,T!$AC108:$AC127,T!$X108:$X129),IF(AND(I51="4E1",OR(I53=3,I53=5),I55="AC"),LOOKUP(I82,T!$AC108:$AC129,T!$Y108:$Y129),IF(AND(I51="4E1",OR(I53=7,I53=10),I55="AC"),LOOKUP(I82,T!$AC108:$AC129,T!$Z108:$Z129),IF(AND(I51="4E1",I53=9,I55="AC"),LOOKUP(I82,T!$AC115:$AC129,T!$AA115:$AA129),IF(AND(I51="4E1",OR(I53=11,I53=12),I55="AC",I57=3),LOOKUP(I82,T!$AC115:$AC129,T!$AB115:$AB129),IF(AND(I51="4E2",OR(I53=2,I53=4,I53=6,I53=8),I55="DC"),LOOKUP(I82,T!$X134:$X152,T!$U134:$U152),IF(AND(I51="4E2",OR(I53=2,I53=4,I53=6,I53=8),I55="AC"),LOOKUP(I82,T!$X134:$X152,T!$V134:$V152),IF(AND(I51="4E2",OR(I53=3,I53=5,I53=7,I53=9),I55="AC"),LOOKUP(I82,T!$X134:$X152,T!$W134:$W152),IF(AND(I51="4E3",OR(I53=2,I53=4,I53=7,I53=8),I55="DC"),LOOKUP(I82,T!$AA158:$AA170,T!$U158:$U170),IF(AND(I51="4E3",OR(I53=2,I53=4),I55="AC"),LOOKUP(I82,T!$AA158:$AA170,T!$V158:$V170),IF(AND(I51="4E3",OR(I53=9,I53=10),I55="AC"),LOOKUP(I82,T!$AA158:$AA170,T!$W158:$W170),IF(AND(I51="4E3",I53=6,I55="AC"),LOOKUP(I82,T!$AA158:$AA170,T!$X158:$X170),IF(AND(I51="4E3",OR(I53=3,I53=5),I55="AC"),LOOKUP(I82,T!$AA158:$AA170,T!$Y158:$Y170),IF(AND(I51="4E3",OR(I53=11,I53=12),I55="AC"),LOOKUP(I82,T!$AA158:$AA170,T!$Z158:$Z170),IF(AND(I51="4E4",OR(I53=2,I53=4,I53=6),I55="DC"),LOOKUP(I82,T!$X176:$X192,T!$U176:$U192),IF(AND(I51="4E4",OR(I53=2,I53=4,I53=6),I55="AC"),LOOKUP(I82,T!$X176:$X192,T!$V176:$V192),IF(AND(I51="4E4",OR(I53=3,I53=5,I53=7),I55="AC"),LOOKUP(I82,T!$X176:$X192,T!$W176:$W192),0)))))))))))))))))))),IF(ISNUMBER(SEARCH("4F",I51)),IF(AND(I51="4F1",I53=2,I55="DC"),LOOKUP(I82,T!$Z198:$Z214,T!$U198:$U214),IF(AND(I51="4F1",I53=2,I55="AC"),LOOKUP(I82,T!$Z198:$Z214,T!$V198:$V214),IF(AND(I51="4F1",I53=3,I55="AC"),LOOKUP(I82,T!$Z198:$Z214,T!$W198:$W214),IF(AND(I51="4F1",I53=4,I55="DC"),LOOKUP(I82,T!$Z198:$Z214,T!$X198:$X214),IF(AND(I51="4F1",I53=4,I55="AC"),LOOKUP(I82,T!$Z198:$Z214,T!$Y198:$Y214),IF(AND(I51="4F2",I53=2,I55="DC"),LOOKUP(I82,T!$Y220:$Y236,T!$U220:$U236),IF(AND(I51="4F2",I53=2,I55="AC"),LOOKUP(I82,T!$Y220:$Y236,T!$V220:$V236),IF(AND(I51="4F2",I53=3,I55="AC"),LOOKUP(I82,T!$Y220:$Y236,T!$W220:$W236),IF(AND(I51="4F2",I53=4,I55="DC"),LOOKUP(I82,T!$Y220:$Y236,T!$X220:$X236),IF(AND(I51="4F3",I53=2),LOOKUP(I82,T!$W242:$W248,T!$U242:$U248),IF(AND(I51="4F3",I53=3,I55="AC"),LOOKUP(I82,T!$W242:$W248,T!$V242:$V248),0))))))))))),IF(ISNUMBER(SEARCH("4G",I51)),IF(AND(I51="4G1",OR(I53=2,I53=5)),LOOKUP(I82,T!$AA254:$AA269,T!$U254:$U269),IF(AND(I51="4G1",OR(I53=3,I53=6)),LOOKUP(I82,T!$AA254:$AA269,T!$X254:$X269),IF(AND(I51="4G1",OR(I53=4,I53=7)),LOOKUP(I82,T!$AA254:$AA269,T!$Y254:$Y269),IF(AND(I51="4G1",OR(I53=8,I53=9)),LOOKUP(I82,T!$AA254:$AA269,T!$Z254:$Z269),IF(AND(I51="4G2",OR(I53=2,I53=5)),LOOKUP(I82,T!$AA281:$AA296,T!$U281:$U296),IF(AND(I51="4G2",OR(I53=3,I53=6)),LOOKUP(I82,T!$AA281:$AA296,T!$X281:$X296),IF(AND(I51="4G2",OR(I53=4,I53=7)),LOOKUP(I82,T!$AA281:$AA296,T!$Y281:$Y296),IF(AND(I51="4G2",OR(I53=8,I53=9)),LOOKUP(I82,T!$AA281:$AA296,T!$Z281:$Z296),0)))))))),0)))))*I23*I69)/1000))</f>
        <v>0</v>
      </c>
      <c r="J96" s="158">
        <f>IF(J29="","",IF(OR(COUNT(J19:J21)=3,COUNT(J19:J21)=1),(IF(J29="",0,IF(ISNUMBER(SEARCH("4D",J51)),IF(AND(J51="4D1",OR(J53=2,J53=4,J53=6,J53=8,J53=11),J55="DC"),LOOKUP(J82,T!$AC6:$AC27,T!$U6:$U27),IF(AND(J51="4D1",OR(J53=2,J53=4),J55="AC"),LOOKUP(J82,T!$AC6:$AC27,T!$V6:$V27),IF(AND(J51="4D1",OR(J53=6,J53=8),J55="AC"),LOOKUP(J82,T!$AC6:$AC27,T!$W6:$W27),IF(AND(J51="4D1",OR(J53=11,J53=12),J55="AC",J57=1),LOOKUP(J82,T!$AC6:$AC27,T!$X6:$X27),IF(AND(J51="4D1",OR(J53=3,J53=5),J55="AC"),LOOKUP(J82,T!$AC6:$AC27,T!$Y6:$Y27),IF(AND(J51="4D1",OR(J53=7,J53=10),J55="AC"),LOOKUP(J82,T!$AC6:$AC27,T!$Z6:$Z27),IF(AND(J51="4D1",J53=9,J55="AC"),LOOKUP(J82,T!$AC6:$AC27,T!$AA6:$AA27),IF(AND(J51="4D1",OR(J53=11,J53=12),J55="AC",J57=3),LOOKUP(J82,T!$AC13:$AC27,T!$AB13:$AB27),IF(AND(J51="4D2",OR(J53=2,J53=4,J53=6,J53=8),J55="DC"),LOOKUP(J82,T!$X33:$X50,T!$U33:$U50),IF(AND(J51="4D2",OR(J53=2,J53=4,J53=6,J53=8),J55="AC"),LOOKUP(J82,T!$X33:$X50,T!$V33:$V50),IF(AND(J51="4D2",OR(J53=3,J53=5,J53=7,J53=9),J55="AC"),LOOKUP(J82,T!$X33:$X50,T!$W33:$W50),IF(AND(J51="4D3",OR(J53=2,J53=4,J53=7,J53=8),J55="DC"),LOOKUP(J82,T!$AA56:$AA68,T!$U56:$U68),IF(AND(J51="4D3",OR(J53=2,J53=4),J55="AC"),LOOKUP(J82,T!$AA56:$AA68,T!$V56:$V68),IF(AND(J51="4D3",OR(J53=9,J53=10),J55="AC"),LOOKUP(J82,T!$AA56:$AA$68,T!$W56:$W68),IF(AND(J51="4D3",J53=6,J55="AC"),LOOKUP(J82,T!$AA56:$AA68,T!$X56:$X68),IF(AND(J51="4D3",OR(J53=3,J53=5),J55="AC"),LOOKUP(J82,T!$AA56:$AA68,T!$Y56:$Y68),IF(AND(J51="4D3",OR(J53=11,J53=12),J55="AC"),LOOKUP(J82,T!$AA56:$AA68,T!$Z56:$Z68),IF(AND(J51="4D4",OR(J53=2,J53=4,J53=6),J55="DC"),LOOKUP(J82,T!$X74:$X90,T!$U74:$U90),IF(AND(J51="4D4",OR(J53=2,J53=4,J53=6),J55="AC"),LOOKUP(J82,T!$X74:$X90,T!$V74:$V90),IF(AND(J51="4D4",OR(J53=3,J53=5,J53=7),J55="AC"),LOOKUP(J82,T!$X74:$X90,T!$W74:$W90),IF(AND(J51="4D5",AND(J53&gt;=2,J53&lt;=7)),LOOKUP(J82,T!$I96:$I102,T!$H96:$H102),0))))))))))))))))))))),IF(ISNUMBER(SEARCH("4E",J51)),IF(AND(J51="4E1",OR(J53=2,J53=4,J53=6,J53=8,J53=11),J55="DC"),LOOKUP(J82,T!$AC108:$AC129,T!$U108:$U129),IF(AND(J51="4E1",OR(J53=2,J53=4),J55="AC"),LOOKUP(J82,T!$AC108:$AC129,T!$V108:$V129),IF(AND(J51="4E1",OR(J53=6,J53=8),J55="AC"),LOOKUP(J82,T!$AC108:$AC129,T!$W108:$W129),IF(AND(J51="4E1",OR(J53=11,J53=12),J55="AC",J57=1),LOOKUP(J82,T!$AC108:$AC127,T!$X108:$X129),IF(AND(J51="4E1",OR(J53=3,J53=5),J55="AC"),LOOKUP(J82,T!$AC108:$AC129,T!$Y108:$Y129),IF(AND(J51="4E1",OR(J53=7,J53=10),J55="AC"),LOOKUP(J82,T!$AC108:$AC129,T!$Z108:$Z129),IF(AND(J51="4E1",J53=9,J55="AC"),LOOKUP(J82,T!$AC115:$AC129,T!$AA115:$AA129),IF(AND(J51="4E1",OR(J53=11,J53=12),J55="AC",J57=3),LOOKUP(J82,T!$AC115:$AC129,T!$AB115:$AB129),IF(AND(J51="4E2",OR(J53=2,J53=4,J53=6,J53=8),J55="DC"),LOOKUP(J82,T!$X134:$X152,T!$U134:$U152),IF(AND(J51="4E2",OR(J53=2,J53=4,J53=6,J53=8),J55="AC"),LOOKUP(J82,T!$X134:$X152,T!$V134:$V152),IF(AND(J51="4E2",OR(J53=3,J53=5,J53=7,J53=9),J55="AC"),LOOKUP(J82,T!$X134:$X152,T!$W134:$W152),IF(AND(J51="4E3",OR(J53=2,J53=4,J53=7,J53=8),J55="DC"),LOOKUP(J82,T!$AA158:$AA170,T!$U158:$U170),IF(AND(J51="4E3",OR(J53=2,J53=4),J55="AC"),LOOKUP(J82,T!$AA158:$AA170,T!$V158:$V170),IF(AND(J51="4E3",OR(J53=9,J53=10),J55="AC"),LOOKUP(J82,T!$AA158:$AA170,T!$W158:$W170),IF(AND(J51="4E3",J53=6,J55="AC"),LOOKUP(J82,T!$AA158:$AA170,T!$X158:$X170),IF(AND(J51="4E3",OR(J53=3,J53=5),J55="AC"),LOOKUP(J82,T!$AA158:$AA170,T!$Y158:$Y170),IF(AND(J51="4E3",OR(J53=11,J53=12),J55="AC"),LOOKUP(J82,T!$AA158:$AA170,T!$Z158:$Z170),IF(AND(J51="4E4",OR(J53=2,J53=4,J53=6),J55="DC"),LOOKUP(J82,T!$X176:$X192,T!$U176:$U192),IF(AND(J51="4E4",OR(J53=2,J53=4,J53=6),J55="AC"),LOOKUP(J82,T!$X176:$X192,T!$V176:$V192),IF(AND(J51="4E4",OR(J53=3,J53=5,J53=7),J55="AC"),LOOKUP(J82,T!$X176:$X192,T!$W176:$W192),0)))))))))))))))))))),IF(ISNUMBER(SEARCH("4F",J51)),IF(AND(J51="4F1",J53=2,J55="DC"),LOOKUP(J82,T!$Z198:$Z214,T!$U198:$U214),IF(AND(J51="4F1",J53=2,J55="AC"),LOOKUP(J82,T!$Z198:$Z214,T!$V198:$V214),IF(AND(J51="4F1",J53=3,J55="AC"),LOOKUP(J82,T!$Z198:$Z214,T!$W198:$W214),IF(AND(J51="4F1",J53=4,J55="DC"),LOOKUP(J82,T!$Z198:$Z214,T!$X198:$X214),IF(AND(J51="4F1",J53=4,J55="AC"),LOOKUP(J82,T!$Z198:$Z214,T!$Y198:$Y214),IF(AND(J51="4F2",J53=2,J55="DC"),LOOKUP(J82,T!$Y220:$Y236,T!$U220:$U236),IF(AND(J51="4F2",J53=2,J55="AC"),LOOKUP(J82,T!$Y220:$Y236,T!$V220:$V236),IF(AND(J51="4F2",J53=3,J55="AC"),LOOKUP(J82,T!$Y220:$Y236,T!$W220:$W236),IF(AND(J51="4F2",J53=4,J55="DC"),LOOKUP(J82,T!$Y220:$Y236,T!$X220:$X236),IF(AND(J51="4F3",J53=2),LOOKUP(J82,T!$W242:$W248,T!$U242:$U248),IF(AND(J51="4F3",J53=3,J55="AC"),LOOKUP(J82,T!$W242:$W248,T!$V242:$V248),0))))))))))),IF(ISNUMBER(SEARCH("4G",J51)),IF(AND(J51="4G1",OR(J53=2,J53=5)),LOOKUP(J82,T!$AA254:$AA269,T!$U254:$U269),IF(AND(J51="4G1",OR(J53=3,J53=6)),LOOKUP(J82,T!$AA254:$AA269,T!$X254:$X269),IF(AND(J51="4G1",OR(J53=4,J53=7)),LOOKUP(J82,T!$AA254:$AA269,T!$Y254:$Y269),IF(AND(J51="4G1",OR(J53=8,J53=9)),LOOKUP(J82,T!$AA254:$AA269,T!$Z254:$Z269),IF(AND(J51="4G2",OR(J53=2,J53=5)),LOOKUP(J82,T!$AA281:$AA296,T!$U281:$U296),IF(AND(J51="4G2",OR(J53=3,J53=6)),LOOKUP(J82,T!$AA281:$AA296,T!$X281:$X296),IF(AND(J51="4G2",OR(J53=4,J53=7)),LOOKUP(J82,T!$AA281:$AA296,T!$Y281:$Y296),IF(AND(J51="4G2",OR(J53=8,J53=9)),LOOKUP(J82,T!$AA281:$AA296,T!$Z281:$Z296),0)))))))),0)))))*J23*J69)/1000))</f>
        <v>14.322916666666668</v>
      </c>
      <c r="K96" s="158">
        <f>IF(K29="","",IF(OR(COUNT(K19:K21)=3,COUNT(K19:K21)=1),(IF(K29="",0,IF(ISNUMBER(SEARCH("4D",K51)),IF(AND(K51="4D1",OR(K53=2,K53=4,K53=6,K53=8,K53=11),K55="DC"),LOOKUP(K82,T!$AC6:$AC27,T!$U6:$U27),IF(AND(K51="4D1",OR(K53=2,K53=4),K55="AC"),LOOKUP(K82,T!$AC6:$AC27,T!$V6:$V27),IF(AND(K51="4D1",OR(K53=6,K53=8),K55="AC"),LOOKUP(K82,T!$AC6:$AC27,T!$W6:$W27),IF(AND(K51="4D1",OR(K53=11,K53=12),K55="AC",K57=1),LOOKUP(K82,T!$AC6:$AC27,T!$X6:$X27),IF(AND(K51="4D1",OR(K53=3,K53=5),K55="AC"),LOOKUP(K82,T!$AC6:$AC27,T!$Y6:$Y27),IF(AND(K51="4D1",OR(K53=7,K53=10),K55="AC"),LOOKUP(K82,T!$AC6:$AC27,T!$Z6:$Z27),IF(AND(K51="4D1",K53=9,K55="AC"),LOOKUP(K82,T!$AC6:$AC27,T!$AA6:$AA27),IF(AND(K51="4D1",OR(K53=11,K53=12),K55="AC",K57=3),LOOKUP(K82,T!$AC13:$AC27,T!$AB13:$AB27),IF(AND(K51="4D2",OR(K53=2,K53=4,K53=6,K53=8),K55="DC"),LOOKUP(K82,T!$X33:$X50,T!$U33:$U50),IF(AND(K51="4D2",OR(K53=2,K53=4,K53=6,K53=8),K55="AC"),LOOKUP(K82,T!$X33:$X50,T!$V33:$V50),IF(AND(K51="4D2",OR(K53=3,K53=5,K53=7,K53=9),K55="AC"),LOOKUP(K82,T!$X33:$X50,T!$W33:$W50),IF(AND(K51="4D3",OR(K53=2,K53=4,K53=7,K53=8),K55="DC"),LOOKUP(K82,T!$AA56:$AA68,T!$U56:$U68),IF(AND(K51="4D3",OR(K53=2,K53=4),K55="AC"),LOOKUP(K82,T!$AA56:$AA68,T!$V56:$V68),IF(AND(K51="4D3",OR(K53=9,K53=10),K55="AC"),LOOKUP(K82,T!$AA56:$AA$68,T!$W56:$W68),IF(AND(K51="4D3",K53=6,K55="AC"),LOOKUP(K82,T!$AA56:$AA68,T!$X56:$X68),IF(AND(K51="4D3",OR(K53=3,K53=5),K55="AC"),LOOKUP(K82,T!$AA56:$AA68,T!$Y56:$Y68),IF(AND(K51="4D3",OR(K53=11,K53=12),K55="AC"),LOOKUP(K82,T!$AA56:$AA68,T!$Z56:$Z68),IF(AND(K51="4D4",OR(K53=2,K53=4,K53=6),K55="DC"),LOOKUP(K82,T!$X74:$X90,T!$U74:$U90),IF(AND(K51="4D4",OR(K53=2,K53=4,K53=6),K55="AC"),LOOKUP(K82,T!$X74:$X90,T!$V74:$V90),IF(AND(K51="4D4",OR(K53=3,K53=5,K53=7),K55="AC"),LOOKUP(K82,T!$X74:$X90,T!$W74:$W90),IF(AND(K51="4D5",AND(K53&gt;=2,K53&lt;=7)),LOOKUP(K82,T!$I96:$I102,T!$H96:$H102),0))))))))))))))))))))),IF(ISNUMBER(SEARCH("4E",K51)),IF(AND(K51="4E1",OR(K53=2,K53=4,K53=6,K53=8,K53=11),K55="DC"),LOOKUP(K82,T!$AC108:$AC129,T!$U108:$U129),IF(AND(K51="4E1",OR(K53=2,K53=4),K55="AC"),LOOKUP(K82,T!$AC108:$AC129,T!$V108:$V129),IF(AND(K51="4E1",OR(K53=6,K53=8),K55="AC"),LOOKUP(K82,T!$AC108:$AC129,T!$W108:$W129),IF(AND(K51="4E1",OR(K53=11,K53=12),K55="AC",K57=1),LOOKUP(K82,T!$AC108:$AC127,T!$X108:$X129),IF(AND(K51="4E1",OR(K53=3,K53=5),K55="AC"),LOOKUP(K82,T!$AC108:$AC129,T!$Y108:$Y129),IF(AND(K51="4E1",OR(K53=7,K53=10),K55="AC"),LOOKUP(K82,T!$AC108:$AC129,T!$Z108:$Z129),IF(AND(K51="4E1",K53=9,K55="AC"),LOOKUP(K82,T!$AC115:$AC129,T!$AA115:$AA129),IF(AND(K51="4E1",OR(K53=11,K53=12),K55="AC",K57=3),LOOKUP(K82,T!$AC115:$AC129,T!$AB115:$AB129),IF(AND(K51="4E2",OR(K53=2,K53=4,K53=6,K53=8),K55="DC"),LOOKUP(K82,T!$X134:$X152,T!$U134:$U152),IF(AND(K51="4E2",OR(K53=2,K53=4,K53=6,K53=8),K55="AC"),LOOKUP(K82,T!$X134:$X152,T!$V134:$V152),IF(AND(K51="4E2",OR(K53=3,K53=5,K53=7,K53=9),K55="AC"),LOOKUP(K82,T!$X134:$X152,T!$W134:$W152),IF(AND(K51="4E3",OR(K53=2,K53=4,K53=7,K53=8),K55="DC"),LOOKUP(K82,T!$AA158:$AA170,T!$U158:$U170),IF(AND(K51="4E3",OR(K53=2,K53=4),K55="AC"),LOOKUP(K82,T!$AA158:$AA170,T!$V158:$V170),IF(AND(K51="4E3",OR(K53=9,K53=10),K55="AC"),LOOKUP(K82,T!$AA158:$AA170,T!$W158:$W170),IF(AND(K51="4E3",K53=6,K55="AC"),LOOKUP(K82,T!$AA158:$AA170,T!$X158:$X170),IF(AND(K51="4E3",OR(K53=3,K53=5),K55="AC"),LOOKUP(K82,T!$AA158:$AA170,T!$Y158:$Y170),IF(AND(K51="4E3",OR(K53=11,K53=12),K55="AC"),LOOKUP(K82,T!$AA158:$AA170,T!$Z158:$Z170),IF(AND(K51="4E4",OR(K53=2,K53=4,K53=6),K55="DC"),LOOKUP(K82,T!$X176:$X192,T!$U176:$U192),IF(AND(K51="4E4",OR(K53=2,K53=4,K53=6),K55="AC"),LOOKUP(K82,T!$X176:$X192,T!$V176:$V192),IF(AND(K51="4E4",OR(K53=3,K53=5,K53=7),K55="AC"),LOOKUP(K82,T!$X176:$X192,T!$W176:$W192),0)))))))))))))))))))),IF(ISNUMBER(SEARCH("4F",K51)),IF(AND(K51="4F1",K53=2,K55="DC"),LOOKUP(K82,T!$Z198:$Z214,T!$U198:$U214),IF(AND(K51="4F1",K53=2,K55="AC"),LOOKUP(K82,T!$Z198:$Z214,T!$V198:$V214),IF(AND(K51="4F1",K53=3,K55="AC"),LOOKUP(K82,T!$Z198:$Z214,T!$W198:$W214),IF(AND(K51="4F1",K53=4,K55="DC"),LOOKUP(K82,T!$Z198:$Z214,T!$X198:$X214),IF(AND(K51="4F1",K53=4,K55="AC"),LOOKUP(K82,T!$Z198:$Z214,T!$Y198:$Y214),IF(AND(K51="4F2",K53=2,K55="DC"),LOOKUP(K82,T!$Y220:$Y236,T!$U220:$U236),IF(AND(K51="4F2",K53=2,K55="AC"),LOOKUP(K82,T!$Y220:$Y236,T!$V220:$V236),IF(AND(K51="4F2",K53=3,K55="AC"),LOOKUP(K82,T!$Y220:$Y236,T!$W220:$W236),IF(AND(K51="4F2",K53=4,K55="DC"),LOOKUP(K82,T!$Y220:$Y236,T!$X220:$X236),IF(AND(K51="4F3",K53=2),LOOKUP(K82,T!$W242:$W248,T!$U242:$U248),IF(AND(K51="4F3",K53=3,K55="AC"),LOOKUP(K82,T!$W242:$W248,T!$V242:$V248),0))))))))))),IF(ISNUMBER(SEARCH("4G",K51)),IF(AND(K51="4G1",OR(K53=2,K53=5)),LOOKUP(K82,T!$AA254:$AA269,T!$U254:$U269),IF(AND(K51="4G1",OR(K53=3,K53=6)),LOOKUP(K82,T!$AA254:$AA269,T!$X254:$X269),IF(AND(K51="4G1",OR(K53=4,K53=7)),LOOKUP(K82,T!$AA254:$AA269,T!$Y254:$Y269),IF(AND(K51="4G1",OR(K53=8,K53=9)),LOOKUP(K82,T!$AA254:$AA269,T!$Z254:$Z269),IF(AND(K51="4G2",OR(K53=2,K53=5)),LOOKUP(K82,T!$AA281:$AA296,T!$U281:$U296),IF(AND(K51="4G2",OR(K53=3,K53=6)),LOOKUP(K82,T!$AA281:$AA296,T!$X281:$X296),IF(AND(K51="4G2",OR(K53=4,K53=7)),LOOKUP(K82,T!$AA281:$AA296,T!$Y281:$Y296),IF(AND(K51="4G2",OR(K53=8,K53=9)),LOOKUP(K82,T!$AA281:$AA296,T!$Z281:$Z296),0)))))))),0)))))*K23*K69)/1000))</f>
        <v>8.2997999999999994</v>
      </c>
      <c r="L96" s="158">
        <f>IF(L29="","",IF(OR(COUNT(L19:L21)=3,COUNT(L19:L21)=1),(IF(L29="",0,IF(ISNUMBER(SEARCH("4D",L51)),IF(AND(L51="4D1",OR(L53=2,L53=4,L53=6,L53=8,L53=11),L55="DC"),LOOKUP(L82,T!$AC6:$AC27,T!$U6:$U27),IF(AND(L51="4D1",OR(L53=2,L53=4),L55="AC"),LOOKUP(L82,T!$AC6:$AC27,T!$V6:$V27),IF(AND(L51="4D1",OR(L53=6,L53=8),L55="AC"),LOOKUP(L82,T!$AC6:$AC27,T!$W6:$W27),IF(AND(L51="4D1",OR(L53=11,L53=12),L55="AC",L57=1),LOOKUP(L82,T!$AC6:$AC27,T!$X6:$X27),IF(AND(L51="4D1",OR(L53=3,L53=5),L55="AC"),LOOKUP(L82,T!$AC6:$AC27,T!$Y6:$Y27),IF(AND(L51="4D1",OR(L53=7,L53=10),L55="AC"),LOOKUP(L82,T!$AC6:$AC27,T!$Z6:$Z27),IF(AND(L51="4D1",L53=9,L55="AC"),LOOKUP(L82,T!$AC6:$AC27,T!$AA6:$AA27),IF(AND(L51="4D1",OR(L53=11,L53=12),L55="AC",L57=3),LOOKUP(L82,T!$AC13:$AC27,T!$AB13:$AB27),IF(AND(L51="4D2",OR(L53=2,L53=4,L53=6,L53=8),L55="DC"),LOOKUP(L82,T!$X33:$X50,T!$U33:$U50),IF(AND(L51="4D2",OR(L53=2,L53=4,L53=6,L53=8),L55="AC"),LOOKUP(L82,T!$X33:$X50,T!$V33:$V50),IF(AND(L51="4D2",OR(L53=3,L53=5,L53=7,L53=9),L55="AC"),LOOKUP(L82,T!$X33:$X50,T!$W33:$W50),IF(AND(L51="4D3",OR(L53=2,L53=4,L53=7,L53=8),L55="DC"),LOOKUP(L82,T!$AA56:$AA68,T!$U56:$U68),IF(AND(L51="4D3",OR(L53=2,L53=4),L55="AC"),LOOKUP(L82,T!$AA56:$AA68,T!$V56:$V68),IF(AND(L51="4D3",OR(L53=9,L53=10),L55="AC"),LOOKUP(L82,T!$AA56:$AA$68,T!$W56:$W68),IF(AND(L51="4D3",L53=6,L55="AC"),LOOKUP(L82,T!$AA56:$AA68,T!$X56:$X68),IF(AND(L51="4D3",OR(L53=3,L53=5),L55="AC"),LOOKUP(L82,T!$AA56:$AA68,T!$Y56:$Y68),IF(AND(L51="4D3",OR(L53=11,L53=12),L55="AC"),LOOKUP(L82,T!$AA56:$AA68,T!$Z56:$Z68),IF(AND(L51="4D4",OR(L53=2,L53=4,L53=6),L55="DC"),LOOKUP(L82,T!$X74:$X90,T!$U74:$U90),IF(AND(L51="4D4",OR(L53=2,L53=4,L53=6),L55="AC"),LOOKUP(L82,T!$X74:$X90,T!$V74:$V90),IF(AND(L51="4D4",OR(L53=3,L53=5,L53=7),L55="AC"),LOOKUP(L82,T!$X74:$X90,T!$W74:$W90),IF(AND(L51="4D5",AND(L53&gt;=2,L53&lt;=7)),LOOKUP(L82,T!$I96:$I102,T!$H96:$H102),0))))))))))))))))))))),IF(ISNUMBER(SEARCH("4E",L51)),IF(AND(L51="4E1",OR(L53=2,L53=4,L53=6,L53=8,L53=11),L55="DC"),LOOKUP(L82,T!$AC108:$AC129,T!$U108:$U129),IF(AND(L51="4E1",OR(L53=2,L53=4),L55="AC"),LOOKUP(L82,T!$AC108:$AC129,T!$V108:$V129),IF(AND(L51="4E1",OR(L53=6,L53=8),L55="AC"),LOOKUP(L82,T!$AC108:$AC129,T!$W108:$W129),IF(AND(L51="4E1",OR(L53=11,L53=12),L55="AC",L57=1),LOOKUP(L82,T!$AC108:$AC127,T!$X108:$X129),IF(AND(L51="4E1",OR(L53=3,L53=5),L55="AC"),LOOKUP(L82,T!$AC108:$AC129,T!$Y108:$Y129),IF(AND(L51="4E1",OR(L53=7,L53=10),L55="AC"),LOOKUP(L82,T!$AC108:$AC129,T!$Z108:$Z129),IF(AND(L51="4E1",L53=9,L55="AC"),LOOKUP(L82,T!$AC115:$AC129,T!$AA115:$AA129),IF(AND(L51="4E1",OR(L53=11,L53=12),L55="AC",L57=3),LOOKUP(L82,T!$AC115:$AC129,T!$AB115:$AB129),IF(AND(L51="4E2",OR(L53=2,L53=4,L53=6,L53=8),L55="DC"),LOOKUP(L82,T!$X134:$X152,T!$U134:$U152),IF(AND(L51="4E2",OR(L53=2,L53=4,L53=6,L53=8),L55="AC"),LOOKUP(L82,T!$X134:$X152,T!$V134:$V152),IF(AND(L51="4E2",OR(L53=3,L53=5,L53=7,L53=9),L55="AC"),LOOKUP(L82,T!$X134:$X152,T!$W134:$W152),IF(AND(L51="4E3",OR(L53=2,L53=4,L53=7,L53=8),L55="DC"),LOOKUP(L82,T!$AA158:$AA170,T!$U158:$U170),IF(AND(L51="4E3",OR(L53=2,L53=4),L55="AC"),LOOKUP(L82,T!$AA158:$AA170,T!$V158:$V170),IF(AND(L51="4E3",OR(L53=9,L53=10),L55="AC"),LOOKUP(L82,T!$AA158:$AA170,T!$W158:$W170),IF(AND(L51="4E3",L53=6,L55="AC"),LOOKUP(L82,T!$AA158:$AA170,T!$X158:$X170),IF(AND(L51="4E3",OR(L53=3,L53=5),L55="AC"),LOOKUP(L82,T!$AA158:$AA170,T!$Y158:$Y170),IF(AND(L51="4E3",OR(L53=11,L53=12),L55="AC"),LOOKUP(L82,T!$AA158:$AA170,T!$Z158:$Z170),IF(AND(L51="4E4",OR(L53=2,L53=4,L53=6),L55="DC"),LOOKUP(L82,T!$X176:$X192,T!$U176:$U192),IF(AND(L51="4E4",OR(L53=2,L53=4,L53=6),L55="AC"),LOOKUP(L82,T!$X176:$X192,T!$V176:$V192),IF(AND(L51="4E4",OR(L53=3,L53=5,L53=7),L55="AC"),LOOKUP(L82,T!$X176:$X192,T!$W176:$W192),0)))))))))))))))))))),IF(ISNUMBER(SEARCH("4F",L51)),IF(AND(L51="4F1",L53=2,L55="DC"),LOOKUP(L82,T!$Z198:$Z214,T!$U198:$U214),IF(AND(L51="4F1",L53=2,L55="AC"),LOOKUP(L82,T!$Z198:$Z214,T!$V198:$V214),IF(AND(L51="4F1",L53=3,L55="AC"),LOOKUP(L82,T!$Z198:$Z214,T!$W198:$W214),IF(AND(L51="4F1",L53=4,L55="DC"),LOOKUP(L82,T!$Z198:$Z214,T!$X198:$X214),IF(AND(L51="4F1",L53=4,L55="AC"),LOOKUP(L82,T!$Z198:$Z214,T!$Y198:$Y214),IF(AND(L51="4F2",L53=2,L55="DC"),LOOKUP(L82,T!$Y220:$Y236,T!$U220:$U236),IF(AND(L51="4F2",L53=2,L55="AC"),LOOKUP(L82,T!$Y220:$Y236,T!$V220:$V236),IF(AND(L51="4F2",L53=3,L55="AC"),LOOKUP(L82,T!$Y220:$Y236,T!$W220:$W236),IF(AND(L51="4F2",L53=4,L55="DC"),LOOKUP(L82,T!$Y220:$Y236,T!$X220:$X236),IF(AND(L51="4F3",L53=2),LOOKUP(L82,T!$W242:$W248,T!$U242:$U248),IF(AND(L51="4F3",L53=3,L55="AC"),LOOKUP(L82,T!$W242:$W248,T!$V242:$V248),0))))))))))),IF(ISNUMBER(SEARCH("4G",L51)),IF(AND(L51="4G1",OR(L53=2,L53=5)),LOOKUP(L82,T!$AA254:$AA269,T!$U254:$U269),IF(AND(L51="4G1",OR(L53=3,L53=6)),LOOKUP(L82,T!$AA254:$AA269,T!$X254:$X269),IF(AND(L51="4G1",OR(L53=4,L53=7)),LOOKUP(L82,T!$AA254:$AA269,T!$Y254:$Y269),IF(AND(L51="4G1",OR(L53=8,L53=9)),LOOKUP(L82,T!$AA254:$AA269,T!$Z254:$Z269),IF(AND(L51="4G2",OR(L53=2,L53=5)),LOOKUP(L82,T!$AA281:$AA296,T!$U281:$U296),IF(AND(L51="4G2",OR(L53=3,L53=6)),LOOKUP(L82,T!$AA281:$AA296,T!$X281:$X296),IF(AND(L51="4G2",OR(L53=4,L53=7)),LOOKUP(L82,T!$AA281:$AA296,T!$Y281:$Y296),IF(AND(L51="4G2",OR(L53=8,L53=9)),LOOKUP(L82,T!$AA281:$AA296,T!$Z281:$Z296),0)))))))),0)))))*L23*L69)/1000))</f>
        <v>8.2997999999999994</v>
      </c>
      <c r="M96" s="158" t="str">
        <f>IF(M29="","",IF(OR(COUNT(M19:M21)=3,COUNT(M19:M21)=1),(IF(M29="",0,IF(ISNUMBER(SEARCH("4D",M51)),IF(AND(M51="4D1",OR(M53=2,M53=4,M53=6,M53=8,M53=11),M55="DC"),LOOKUP(M82,T!$AC6:$AC27,T!$U6:$U27),IF(AND(M51="4D1",OR(M53=2,M53=4),M55="AC"),LOOKUP(M82,T!$AC6:$AC27,T!$V6:$V27),IF(AND(M51="4D1",OR(M53=6,M53=8),M55="AC"),LOOKUP(M82,T!$AC6:$AC27,T!$W6:$W27),IF(AND(M51="4D1",OR(M53=11,M53=12),M55="AC",M57=1),LOOKUP(M82,T!$AC6:$AC27,T!$X6:$X27),IF(AND(M51="4D1",OR(M53=3,M53=5),M55="AC"),LOOKUP(M82,T!$AC6:$AC27,T!$Y6:$Y27),IF(AND(M51="4D1",OR(M53=7,M53=10),M55="AC"),LOOKUP(M82,T!$AC6:$AC27,T!$Z6:$Z27),IF(AND(M51="4D1",M53=9,M55="AC"),LOOKUP(M82,T!$AC6:$AC27,T!$AA6:$AA27),IF(AND(M51="4D1",OR(M53=11,M53=12),M55="AC",M57=3),LOOKUP(M82,T!$AC13:$AC27,T!$AB13:$AB27),IF(AND(M51="4D2",OR(M53=2,M53=4,M53=6,M53=8),M55="DC"),LOOKUP(M82,T!$X33:$X50,T!$U33:$U50),IF(AND(M51="4D2",OR(M53=2,M53=4,M53=6,M53=8),M55="AC"),LOOKUP(M82,T!$X33:$X50,T!$V33:$V50),IF(AND(M51="4D2",OR(M53=3,M53=5,M53=7,M53=9),M55="AC"),LOOKUP(M82,T!$X33:$X50,T!$W33:$W50),IF(AND(M51="4D3",OR(M53=2,M53=4,M53=7,M53=8),M55="DC"),LOOKUP(M82,T!$AA56:$AA68,T!$U56:$U68),IF(AND(M51="4D3",OR(M53=2,M53=4),M55="AC"),LOOKUP(M82,T!$AA56:$AA68,T!$V56:$V68),IF(AND(M51="4D3",OR(M53=9,M53=10),M55="AC"),LOOKUP(M82,T!$AA56:$AA$68,T!$W56:$W68),IF(AND(M51="4D3",M53=6,M55="AC"),LOOKUP(M82,T!$AA56:$AA68,T!$X56:$X68),IF(AND(M51="4D3",OR(M53=3,M53=5),M55="AC"),LOOKUP(M82,T!$AA56:$AA68,T!$Y56:$Y68),IF(AND(M51="4D3",OR(M53=11,M53=12),M55="AC"),LOOKUP(M82,T!$AA56:$AA68,T!$Z56:$Z68),IF(AND(M51="4D4",OR(M53=2,M53=4,M53=6),M55="DC"),LOOKUP(M82,T!$X74:$X90,T!$U74:$U90),IF(AND(M51="4D4",OR(M53=2,M53=4,M53=6),M55="AC"),LOOKUP(M82,T!$X74:$X90,T!$V74:$V90),IF(AND(M51="4D4",OR(M53=3,M53=5,M53=7),M55="AC"),LOOKUP(M82,T!$X74:$X90,T!$W74:$W90),IF(AND(M51="4D5",AND(M53&gt;=2,M53&lt;=7)),LOOKUP(M82,T!$I96:$I102,T!$H96:$H102),0))))))))))))))))))))),IF(ISNUMBER(SEARCH("4E",M51)),IF(AND(M51="4E1",OR(M53=2,M53=4,M53=6,M53=8,M53=11),M55="DC"),LOOKUP(M82,T!$AC108:$AC129,T!$U108:$U129),IF(AND(M51="4E1",OR(M53=2,M53=4),M55="AC"),LOOKUP(M82,T!$AC108:$AC129,T!$V108:$V129),IF(AND(M51="4E1",OR(M53=6,M53=8),M55="AC"),LOOKUP(M82,T!$AC108:$AC129,T!$W108:$W129),IF(AND(M51="4E1",OR(M53=11,M53=12),M55="AC",M57=1),LOOKUP(M82,T!$AC108:$AC127,T!$X108:$X129),IF(AND(M51="4E1",OR(M53=3,M53=5),M55="AC"),LOOKUP(M82,T!$AC108:$AC129,T!$Y108:$Y129),IF(AND(M51="4E1",OR(M53=7,M53=10),M55="AC"),LOOKUP(M82,T!$AC108:$AC129,T!$Z108:$Z129),IF(AND(M51="4E1",M53=9,M55="AC"),LOOKUP(M82,T!$AC115:$AC129,T!$AA115:$AA129),IF(AND(M51="4E1",OR(M53=11,M53=12),M55="AC",M57=3),LOOKUP(M82,T!$AC115:$AC129,T!$AB115:$AB129),IF(AND(M51="4E2",OR(M53=2,M53=4,M53=6,M53=8),M55="DC"),LOOKUP(M82,T!$X134:$X152,T!$U134:$U152),IF(AND(M51="4E2",OR(M53=2,M53=4,M53=6,M53=8),M55="AC"),LOOKUP(M82,T!$X134:$X152,T!$V134:$V152),IF(AND(M51="4E2",OR(M53=3,M53=5,M53=7,M53=9),M55="AC"),LOOKUP(M82,T!$X134:$X152,T!$W134:$W152),IF(AND(M51="4E3",OR(M53=2,M53=4,M53=7,M53=8),M55="DC"),LOOKUP(M82,T!$AA158:$AA170,T!$U158:$U170),IF(AND(M51="4E3",OR(M53=2,M53=4),M55="AC"),LOOKUP(M82,T!$AA158:$AA170,T!$V158:$V170),IF(AND(M51="4E3",OR(M53=9,M53=10),M55="AC"),LOOKUP(M82,T!$AA158:$AA170,T!$W158:$W170),IF(AND(M51="4E3",M53=6,M55="AC"),LOOKUP(M82,T!$AA158:$AA170,T!$X158:$X170),IF(AND(M51="4E3",OR(M53=3,M53=5),M55="AC"),LOOKUP(M82,T!$AA158:$AA170,T!$Y158:$Y170),IF(AND(M51="4E3",OR(M53=11,M53=12),M55="AC"),LOOKUP(M82,T!$AA158:$AA170,T!$Z158:$Z170),IF(AND(M51="4E4",OR(M53=2,M53=4,M53=6),M55="DC"),LOOKUP(M82,T!$X176:$X192,T!$U176:$U192),IF(AND(M51="4E4",OR(M53=2,M53=4,M53=6),M55="AC"),LOOKUP(M82,T!$X176:$X192,T!$V176:$V192),IF(AND(M51="4E4",OR(M53=3,M53=5,M53=7),M55="AC"),LOOKUP(M82,T!$X176:$X192,T!$W176:$W192),0)))))))))))))))))))),IF(ISNUMBER(SEARCH("4F",M51)),IF(AND(M51="4F1",M53=2,M55="DC"),LOOKUP(M82,T!$Z198:$Z214,T!$U198:$U214),IF(AND(M51="4F1",M53=2,M55="AC"),LOOKUP(M82,T!$Z198:$Z214,T!$V198:$V214),IF(AND(M51="4F1",M53=3,M55="AC"),LOOKUP(M82,T!$Z198:$Z214,T!$W198:$W214),IF(AND(M51="4F1",M53=4,M55="DC"),LOOKUP(M82,T!$Z198:$Z214,T!$X198:$X214),IF(AND(M51="4F1",M53=4,M55="AC"),LOOKUP(M82,T!$Z198:$Z214,T!$Y198:$Y214),IF(AND(M51="4F2",M53=2,M55="DC"),LOOKUP(M82,T!$Y220:$Y236,T!$U220:$U236),IF(AND(M51="4F2",M53=2,M55="AC"),LOOKUP(M82,T!$Y220:$Y236,T!$V220:$V236),IF(AND(M51="4F2",M53=3,M55="AC"),LOOKUP(M82,T!$Y220:$Y236,T!$W220:$W236),IF(AND(M51="4F2",M53=4,M55="DC"),LOOKUP(M82,T!$Y220:$Y236,T!$X220:$X236),IF(AND(M51="4F3",M53=2),LOOKUP(M82,T!$W242:$W248,T!$U242:$U248),IF(AND(M51="4F3",M53=3,M55="AC"),LOOKUP(M82,T!$W242:$W248,T!$V242:$V248),0))))))))))),IF(ISNUMBER(SEARCH("4G",M51)),IF(AND(M51="4G1",OR(M53=2,M53=5)),LOOKUP(M82,T!$AA254:$AA269,T!$U254:$U269),IF(AND(M51="4G1",OR(M53=3,M53=6)),LOOKUP(M82,T!$AA254:$AA269,T!$X254:$X269),IF(AND(M51="4G1",OR(M53=4,M53=7)),LOOKUP(M82,T!$AA254:$AA269,T!$Y254:$Y269),IF(AND(M51="4G1",OR(M53=8,M53=9)),LOOKUP(M82,T!$AA254:$AA269,T!$Z254:$Z269),IF(AND(M51="4G2",OR(M53=2,M53=5)),LOOKUP(M82,T!$AA281:$AA296,T!$U281:$U296),IF(AND(M51="4G2",OR(M53=3,M53=6)),LOOKUP(M82,T!$AA281:$AA296,T!$X281:$X296),IF(AND(M51="4G2",OR(M53=4,M53=7)),LOOKUP(M82,T!$AA281:$AA296,T!$Y281:$Y296),IF(AND(M51="4G2",OR(M53=8,M53=9)),LOOKUP(M82,T!$AA281:$AA296,T!$Z281:$Z296),0)))))))),0)))))*M23*M69)/1000))</f>
        <v/>
      </c>
      <c r="N96" s="158">
        <f>IF(N29="","",IF(OR(COUNT(N19:N21)=3,COUNT(N19:N21)=1),(IF(N29="",0,IF(ISNUMBER(SEARCH("4D",N51)),IF(AND(N51="4D1",OR(N53=2,N53=4,N53=6,N53=8,N53=11),N55="DC"),LOOKUP(N82,T!$AC6:$AC27,T!$U6:$U27),IF(AND(N51="4D1",OR(N53=2,N53=4),N55="AC"),LOOKUP(N82,T!$AC6:$AC27,T!$V6:$V27),IF(AND(N51="4D1",OR(N53=6,N53=8),N55="AC"),LOOKUP(N82,T!$AC6:$AC27,T!$W6:$W27),IF(AND(N51="4D1",OR(N53=11,N53=12),N55="AC",N57=1),LOOKUP(N82,T!$AC6:$AC27,T!$X6:$X27),IF(AND(N51="4D1",OR(N53=3,N53=5),N55="AC"),LOOKUP(N82,T!$AC6:$AC27,T!$Y6:$Y27),IF(AND(N51="4D1",OR(N53=7,N53=10),N55="AC"),LOOKUP(N82,T!$AC6:$AC27,T!$Z6:$Z27),IF(AND(N51="4D1",N53=9,N55="AC"),LOOKUP(N82,T!$AC6:$AC27,T!$AA6:$AA27),IF(AND(N51="4D1",OR(N53=11,N53=12),N55="AC",N57=3),LOOKUP(N82,T!$AC13:$AC27,T!$AB13:$AB27),IF(AND(N51="4D2",OR(N53=2,N53=4,N53=6,N53=8),N55="DC"),LOOKUP(N82,T!$X33:$X50,T!$U33:$U50),IF(AND(N51="4D2",OR(N53=2,N53=4,N53=6,N53=8),N55="AC"),LOOKUP(N82,T!$X33:$X50,T!$V33:$V50),IF(AND(N51="4D2",OR(N53=3,N53=5,N53=7,N53=9),N55="AC"),LOOKUP(N82,T!$X33:$X50,T!$W33:$W50),IF(AND(N51="4D3",OR(N53=2,N53=4,N53=7,N53=8),N55="DC"),LOOKUP(N82,T!$AA56:$AA68,T!$U56:$U68),IF(AND(N51="4D3",OR(N53=2,N53=4),N55="AC"),LOOKUP(N82,T!$AA56:$AA68,T!$V56:$V68),IF(AND(N51="4D3",OR(N53=9,N53=10),N55="AC"),LOOKUP(N82,T!$AA56:$AA$68,T!$W56:$W68),IF(AND(N51="4D3",N53=6,N55="AC"),LOOKUP(N82,T!$AA56:$AA68,T!$X56:$X68),IF(AND(N51="4D3",OR(N53=3,N53=5),N55="AC"),LOOKUP(N82,T!$AA56:$AA68,T!$Y56:$Y68),IF(AND(N51="4D3",OR(N53=11,N53=12),N55="AC"),LOOKUP(N82,T!$AA56:$AA68,T!$Z56:$Z68),IF(AND(N51="4D4",OR(N53=2,N53=4,N53=6),N55="DC"),LOOKUP(N82,T!$X74:$X90,T!$U74:$U90),IF(AND(N51="4D4",OR(N53=2,N53=4,N53=6),N55="AC"),LOOKUP(N82,T!$X74:$X90,T!$V74:$V90),IF(AND(N51="4D4",OR(N53=3,N53=5,N53=7),N55="AC"),LOOKUP(N82,T!$X74:$X90,T!$W74:$W90),IF(AND(N51="4D5",AND(N53&gt;=2,N53&lt;=7)),LOOKUP(N82,T!$I96:$I102,T!$H96:$H102),0))))))))))))))))))))),IF(ISNUMBER(SEARCH("4E",N51)),IF(AND(N51="4E1",OR(N53=2,N53=4,N53=6,N53=8,N53=11),N55="DC"),LOOKUP(N82,T!$AC108:$AC129,T!$U108:$U129),IF(AND(N51="4E1",OR(N53=2,N53=4),N55="AC"),LOOKUP(N82,T!$AC108:$AC129,T!$V108:$V129),IF(AND(N51="4E1",OR(N53=6,N53=8),N55="AC"),LOOKUP(N82,T!$AC108:$AC129,T!$W108:$W129),IF(AND(N51="4E1",OR(N53=11,N53=12),N55="AC",N57=1),LOOKUP(N82,T!$AC108:$AC127,T!$X108:$X129),IF(AND(N51="4E1",OR(N53=3,N53=5),N55="AC"),LOOKUP(N82,T!$AC108:$AC129,T!$Y108:$Y129),IF(AND(N51="4E1",OR(N53=7,N53=10),N55="AC"),LOOKUP(N82,T!$AC108:$AC129,T!$Z108:$Z129),IF(AND(N51="4E1",N53=9,N55="AC"),LOOKUP(N82,T!$AC115:$AC129,T!$AA115:$AA129),IF(AND(N51="4E1",OR(N53=11,N53=12),N55="AC",N57=3),LOOKUP(N82,T!$AC115:$AC129,T!$AB115:$AB129),IF(AND(N51="4E2",OR(N53=2,N53=4,N53=6,N53=8),N55="DC"),LOOKUP(N82,T!$X134:$X152,T!$U134:$U152),IF(AND(N51="4E2",OR(N53=2,N53=4,N53=6,N53=8),N55="AC"),LOOKUP(N82,T!$X134:$X152,T!$V134:$V152),IF(AND(N51="4E2",OR(N53=3,N53=5,N53=7,N53=9),N55="AC"),LOOKUP(N82,T!$X134:$X152,T!$W134:$W152),IF(AND(N51="4E3",OR(N53=2,N53=4,N53=7,N53=8),N55="DC"),LOOKUP(N82,T!$AA158:$AA170,T!$U158:$U170),IF(AND(N51="4E3",OR(N53=2,N53=4),N55="AC"),LOOKUP(N82,T!$AA158:$AA170,T!$V158:$V170),IF(AND(N51="4E3",OR(N53=9,N53=10),N55="AC"),LOOKUP(N82,T!$AA158:$AA170,T!$W158:$W170),IF(AND(N51="4E3",N53=6,N55="AC"),LOOKUP(N82,T!$AA158:$AA170,T!$X158:$X170),IF(AND(N51="4E3",OR(N53=3,N53=5),N55="AC"),LOOKUP(N82,T!$AA158:$AA170,T!$Y158:$Y170),IF(AND(N51="4E3",OR(N53=11,N53=12),N55="AC"),LOOKUP(N82,T!$AA158:$AA170,T!$Z158:$Z170),IF(AND(N51="4E4",OR(N53=2,N53=4,N53=6),N55="DC"),LOOKUP(N82,T!$X176:$X192,T!$U176:$U192),IF(AND(N51="4E4",OR(N53=2,N53=4,N53=6),N55="AC"),LOOKUP(N82,T!$X176:$X192,T!$V176:$V192),IF(AND(N51="4E4",OR(N53=3,N53=5,N53=7),N55="AC"),LOOKUP(N82,T!$X176:$X192,T!$W176:$W192),0)))))))))))))))))))),IF(ISNUMBER(SEARCH("4F",N51)),IF(AND(N51="4F1",N53=2,N55="DC"),LOOKUP(N82,T!$Z198:$Z214,T!$U198:$U214),IF(AND(N51="4F1",N53=2,N55="AC"),LOOKUP(N82,T!$Z198:$Z214,T!$V198:$V214),IF(AND(N51="4F1",N53=3,N55="AC"),LOOKUP(N82,T!$Z198:$Z214,T!$W198:$W214),IF(AND(N51="4F1",N53=4,N55="DC"),LOOKUP(N82,T!$Z198:$Z214,T!$X198:$X214),IF(AND(N51="4F1",N53=4,N55="AC"),LOOKUP(N82,T!$Z198:$Z214,T!$Y198:$Y214),IF(AND(N51="4F2",N53=2,N55="DC"),LOOKUP(N82,T!$Y220:$Y236,T!$U220:$U236),IF(AND(N51="4F2",N53=2,N55="AC"),LOOKUP(N82,T!$Y220:$Y236,T!$V220:$V236),IF(AND(N51="4F2",N53=3,N55="AC"),LOOKUP(N82,T!$Y220:$Y236,T!$W220:$W236),IF(AND(N51="4F2",N53=4,N55="DC"),LOOKUP(N82,T!$Y220:$Y236,T!$X220:$X236),IF(AND(N51="4F3",N53=2),LOOKUP(N82,T!$W242:$W248,T!$U242:$U248),IF(AND(N51="4F3",N53=3,N55="AC"),LOOKUP(N82,T!$W242:$W248,T!$V242:$V248),0))))))))))),IF(ISNUMBER(SEARCH("4G",N51)),IF(AND(N51="4G1",OR(N53=2,N53=5)),LOOKUP(N82,T!$AA254:$AA269,T!$U254:$U269),IF(AND(N51="4G1",OR(N53=3,N53=6)),LOOKUP(N82,T!$AA254:$AA269,T!$X254:$X269),IF(AND(N51="4G1",OR(N53=4,N53=7)),LOOKUP(N82,T!$AA254:$AA269,T!$Y254:$Y269),IF(AND(N51="4G1",OR(N53=8,N53=9)),LOOKUP(N82,T!$AA254:$AA269,T!$Z254:$Z269),IF(AND(N51="4G2",OR(N53=2,N53=5)),LOOKUP(N82,T!$AA281:$AA296,T!$U281:$U296),IF(AND(N51="4G2",OR(N53=3,N53=6)),LOOKUP(N82,T!$AA281:$AA296,T!$X281:$X296),IF(AND(N51="4G2",OR(N53=4,N53=7)),LOOKUP(N82,T!$AA281:$AA296,T!$Y281:$Y296),IF(AND(N51="4G2",OR(N53=8,N53=9)),LOOKUP(N82,T!$AA281:$AA296,T!$Z281:$Z296),0)))))))),0)))))*N23*N69)/1000))</f>
        <v>5.0083396845365131</v>
      </c>
      <c r="O96" s="143" t="str">
        <f t="shared" si="23"/>
        <v>mV/A/m</v>
      </c>
    </row>
    <row r="97" spans="1:58" s="168" customFormat="1" ht="17">
      <c r="A97" s="189"/>
      <c r="B97" s="395"/>
      <c r="C97" s="392"/>
      <c r="D97" s="159">
        <f>IF(D29="","",IF(OR(COUNT(D19:D21)=3,COUNT(D19:D21)=1),(IF(D29="",0,IF(ISNUMBER(SEARCH("4D",D51)),IF(AND(D51="4D1",OR(D53=2,D53=4,D53=6,D53=8,D53=11),D55="DC"),LOOKUP(D83,T!$AC6:$AC27,T!$U6:$U27),IF(AND(D51="4D1",OR(D53=2,D53=4),D55="AC"),LOOKUP(D83,T!$AC6:$AC27,T!$V6:$V27),IF(AND(D51="4D1",OR(D53=6,D53=8),D55="AC"),LOOKUP(D83,T!$AC6:$AC27,T!$W6:$W27),IF(AND(D51="4D1",OR(D53=11,D53=12),D55="AC",D57=1),LOOKUP(D83,T!$AC6:$AC27,T!$X6:$X27),IF(AND(D51="4D1",OR(D53=3,D53=5),D55="AC"),LOOKUP(D83,T!$AC6:$AC27,T!$Y6:$Y27),IF(AND(D51="4D1",OR(D53=7,D53=10),D55="AC"),LOOKUP(D83,T!$AC6:$AC27,T!$Z6:$Z27),IF(AND(D51="4D1",D53=9,D55="AC"),LOOKUP(D83,T!$AC6:$AC27,T!$AA6:$AA27),IF(AND(D51="4D1",OR(D53=11,D53=12),D55="AC",D57=3),LOOKUP(D83,T!$AC13:$AC27,T!$AB13:$AB27),IF(AND(D51="4D2",OR(D53=2,D53=4,D53=6,D53=8),D55="DC"),LOOKUP(D83,T!$X33:$X50,T!$U33:$U50),IF(AND(D51="4D2",OR(D53=2,D53=4,D53=6,D53=8),D55="AC"),LOOKUP(D83,T!$X33:$X50,T!$V33:$V50),IF(AND(D51="4D2",OR(D53=3,D53=5,D53=7,D53=9),D55="AC"),LOOKUP(D83,T!$X33:$X50,T!$W33:$W50),IF(AND(D51="4D3",OR(D53=2,D53=4,D53=7,D53=8),D55="DC"),LOOKUP(D83,T!$AA56:$AA68,T!$U56:$U68),IF(AND(D51="4D3",OR(D53=2,D53=4),D55="AC"),LOOKUP(D83,T!$AA56:$AA68,T!$V56:$V68),IF(AND(D51="4D3",OR(D53=9,D53=10),D55="AC"),LOOKUP(D83,T!$AA56:$AA$68,T!$W56:$W68),IF(AND(D51="4D3",D53=6,D55="AC"),LOOKUP(D83,T!$AA56:$AA68,T!$X56:$X68),IF(AND(D51="4D3",OR(D53=3,D53=5),D55="AC"),LOOKUP(D83,T!$AA56:$AA68,T!$Y56:$Y68),IF(AND(D51="4D3",OR(D53=11,D53=12),D55="AC"),LOOKUP(D83,T!$AA56:$AA68,T!$Z56:$Z68),IF(AND(D51="4D4",OR(D53=2,D53=4,D53=6),D55="DC"),LOOKUP(D83,T!$X74:$X90,T!$U74:$U90),IF(AND(D51="4D4",OR(D53=2,D53=4,D53=6),D55="AC"),LOOKUP(D83,T!$X74:$X90,T!$V74:$V90),IF(AND(D51="4D4",OR(D53=3,D53=5,D53=7),D55="AC"),LOOKUP(D83,T!$X74:$X90,T!$W74:$W90),IF(AND(D51="4D5",AND(D53&gt;=2,D53&lt;=7)),LOOKUP(D83,T!$I96:$I102,T!$H96:$H102),0))))))))))))))))))))),IF(ISNUMBER(SEARCH("4E",D51)),IF(AND(D51="4E1",OR(D53=2,D53=4,D53=6,D53=8,D53=11),D55="DC"),LOOKUP(D83,T!$AC108:$AC129,T!$U108:$U129),IF(AND(D51="4E1",OR(D53=2,D53=4),D55="AC"),LOOKUP(D83,T!$AC108:$AC129,T!$V108:$V129),IF(AND(D51="4E1",OR(D53=6,D53=8),D55="AC"),LOOKUP(D83,T!$AC108:$AC129,T!$W108:$W129),IF(AND(D51="4E1",OR(D53=11,D53=12),D55="AC",D57=1),LOOKUP(D83,T!$AC108:$AC127,T!$X108:$X129),IF(AND(D51="4E1",OR(D53=3,D53=5),D55="AC"),LOOKUP(D83,T!$AC108:$AC129,T!$Y108:$Y129),IF(AND(D51="4E1",OR(D53=7,D53=10),D55="AC"),LOOKUP(D83,T!$AC108:$AC129,T!$Z108:$Z129),IF(AND(D51="4E1",D53=9,D55="AC"),LOOKUP(D83,T!$AC115:$AC129,T!$AA115:$AA129),IF(AND(D51="4E1",OR(D53=11,D53=12),D55="AC",D57=3),LOOKUP(D83,T!$AC115:$AC129,T!$AB115:$AB129),IF(AND(D51="4E2",OR(D53=2,D53=4,D53=6,D53=8),D55="DC"),LOOKUP(D83,T!$X134:$X152,T!$U134:$U152),IF(AND(D51="4E2",OR(D53=2,D53=4,D53=6,D53=8),D55="AC"),LOOKUP(D83,T!$X134:$X152,T!$V134:$V152),IF(AND(D51="4E2",OR(D53=3,D53=5,D53=7,D53=9),D55="AC"),LOOKUP(D83,T!$X134:$X152,T!$W134:$W152),IF(AND(D51="4E3",OR(D53=2,D53=4,D53=7,D53=8),D55="DC"),LOOKUP(D83,T!$AA158:$AA170,T!$U158:$U170),IF(AND(D51="4E3",OR(D53=2,D53=4),D55="AC"),LOOKUP(D83,T!$AA158:$AA170,T!$V158:$V170),IF(AND(D51="4E3",OR(D53=9,D53=10),D55="AC"),LOOKUP(D83,T!$AA158:$AA170,T!$W158:$W170),IF(AND(D51="4E3",D53=6,D55="AC"),LOOKUP(D83,T!$AA158:$AA170,T!$X158:$X170),IF(AND(D51="4E3",OR(D53=3,D53=5),D55="AC"),LOOKUP(D83,T!$AA158:$AA170,T!$Y158:$Y170),IF(AND(D51="4E3",OR(D53=11,D53=12),D55="AC"),LOOKUP(D83,T!$AA158:$AA170,T!$Z158:$Z170),IF(AND(D51="4E4",OR(D53=2,D53=4,D53=6),D55="DC"),LOOKUP(D83,T!$X176:$X192,T!$U176:$U192),IF(AND(D51="4E4",OR(D53=2,D53=4,D53=6),D55="AC"),LOOKUP(D83,T!$X176:$X192,T!$V176:$V192),IF(AND(D51="4E4",OR(D53=3,D53=5,D53=7),D55="AC"),LOOKUP(D83,T!$X176:$X192,T!$W176:$W192),0)))))))))))))))))))),IF(ISNUMBER(SEARCH("4F",D51)),IF(AND(D51="4F1",D53=2,D55="DC"),LOOKUP(D83,T!$Z198:$Z214,T!$U198:$U214),IF(AND(D51="4F1",D53=2,D55="AC"),LOOKUP(D83,T!$Z198:$Z214,T!$V198:$V214),IF(AND(D51="4F1",D53=3,D55="AC"),LOOKUP(D83,T!$Z198:$Z214,T!$W198:$W214),IF(AND(D51="4F1",D53=4,D55="DC"),LOOKUP(D83,T!$Z198:$Z214,T!$X198:$X214),IF(AND(D51="4F1",D53=4,D55="AC"),LOOKUP(D83,T!$Z198:$Z214,T!$Y198:$Y214),IF(AND(D51="4F2",D53=2,D55="DC"),LOOKUP(D83,T!$Y220:$Y236,T!$U220:$U236),IF(AND(D51="4F2",D53=2,D55="AC"),LOOKUP(D83,T!$Y220:$Y236,T!$V220:$V236),IF(AND(D51="4F2",D53=3,D55="AC"),LOOKUP(D83,T!$Y220:$Y236,T!$W220:$W236),IF(AND(D51="4F2",D53=4,D55="DC"),LOOKUP(D83,T!$Y220:$Y236,T!$X220:$X236),IF(AND(D51="4F3",D53=2),LOOKUP(D83,T!$W242:$W248,T!$U242:$U248),IF(AND(D51="4F3",D53=3,D55="AC"),LOOKUP(D83,T!$W242:$W248,T!$V242:$V248),0))))))))))),IF(ISNUMBER(SEARCH("4G",D51)),IF(AND(D51="4G1",OR(D53=2,D53=5)),LOOKUP(D83,T!$AA254:$AA269,T!$U254:$U269),IF(AND(D51="4G1",OR(D53=3,D53=6)),LOOKUP(D83,T!$AA254:$AA269,T!$X254:$X269),IF(AND(D51="4G1",OR(D53=4,D53=7)),LOOKUP(D83,T!$AA254:$AA269,T!$Y254:$Y269),IF(AND(D51="4G1",OR(D53=8,D53=9)),LOOKUP(D83,T!$AA254:$AA269,T!$Z254:$Z269),IF(AND(D51="4G2",OR(D53=2,D53=5)),LOOKUP(D83,T!$AA281:$AA296,T!$U281:$U296),IF(AND(D51="4G2",OR(D53=3,D53=6)),LOOKUP(D83,T!$AA281:$AA296,T!$X281:$X296),IF(AND(D51="4G2",OR(D53=4,D53=7)),LOOKUP(D83,T!$AA281:$AA296,T!$Y281:$Y296),IF(AND(D51="4G2",OR(D53=8,D53=9)),LOOKUP(D83,T!$AA281:$AA296,T!$Z281:$Z296),0)))))))),0)))))*D23*D69)/1000))</f>
        <v>2.8645833333333339</v>
      </c>
      <c r="E97" s="159">
        <f ca="1">IF(E29="","",IF(OR(COUNT(E19:E21)=3,COUNT(E19:E21)=1),(IF(E29="",0,IF(ISNUMBER(SEARCH("4D",E51)),IF(AND(E51="4D1",OR(E53=2,E53=4,E53=6,E53=8,E53=11),E55="DC"),LOOKUP(E83,T!$AC6:$AC27,T!$U6:$U27),IF(AND(E51="4D1",OR(E53=2,E53=4),E55="AC"),LOOKUP(E83,T!$AC6:$AC27,T!$V6:$V27),IF(AND(E51="4D1",OR(E53=6,E53=8),E55="AC"),LOOKUP(E83,T!$AC6:$AC27,T!$W6:$W27),IF(AND(E51="4D1",OR(E53=11,E53=12),E55="AC",E57=1),LOOKUP(E83,T!$AC6:$AC27,T!$X6:$X27),IF(AND(E51="4D1",OR(E53=3,E53=5),E55="AC"),LOOKUP(E83,T!$AC6:$AC27,T!$Y6:$Y27),IF(AND(E51="4D1",OR(E53=7,E53=10),E55="AC"),LOOKUP(E83,T!$AC6:$AC27,T!$Z6:$Z27),IF(AND(E51="4D1",E53=9,E55="AC"),LOOKUP(E83,T!$AC6:$AC27,T!$AA6:$AA27),IF(AND(E51="4D1",OR(E53=11,E53=12),E55="AC",E57=3),LOOKUP(E83,T!$AC13:$AC27,T!$AB13:$AB27),IF(AND(E51="4D2",OR(E53=2,E53=4,E53=6,E53=8),E55="DC"),LOOKUP(E83,T!$X33:$X50,T!$U33:$U50),IF(AND(E51="4D2",OR(E53=2,E53=4,E53=6,E53=8),E55="AC"),LOOKUP(E83,T!$X33:$X50,T!$V33:$V50),IF(AND(E51="4D2",OR(E53=3,E53=5,E53=7,E53=9),E55="AC"),LOOKUP(E83,T!$X33:$X50,T!$W33:$W50),IF(AND(E51="4D3",OR(E53=2,E53=4,E53=7,E53=8),E55="DC"),LOOKUP(E83,T!$AA56:$AA68,T!$U56:$U68),IF(AND(E51="4D3",OR(E53=2,E53=4),E55="AC"),LOOKUP(E83,T!$AA56:$AA68,T!$V56:$V68),IF(AND(E51="4D3",OR(E53=9,E53=10),E55="AC"),LOOKUP(E83,T!$AA56:$AA$68,T!$W56:$W68),IF(AND(E51="4D3",E53=6,E55="AC"),LOOKUP(E83,T!$AA56:$AA68,T!$X56:$X68),IF(AND(E51="4D3",OR(E53=3,E53=5),E55="AC"),LOOKUP(E83,T!$AA56:$AA68,T!$Y56:$Y68),IF(AND(E51="4D3",OR(E53=11,E53=12),E55="AC"),LOOKUP(E83,T!$AA56:$AA68,T!$Z56:$Z68),IF(AND(E51="4D4",OR(E53=2,E53=4,E53=6),E55="DC"),LOOKUP(E83,T!$X74:$X90,T!$U74:$U90),IF(AND(E51="4D4",OR(E53=2,E53=4,E53=6),E55="AC"),LOOKUP(E83,T!$X74:$X90,T!$V74:$V90),IF(AND(E51="4D4",OR(E53=3,E53=5,E53=7),E55="AC"),LOOKUP(E83,T!$X74:$X90,T!$W74:$W90),IF(AND(E51="4D5",AND(E53&gt;=2,E53&lt;=7)),LOOKUP(E83,T!$I96:$I102,T!$H96:$H102),0))))))))))))))))))))),IF(ISNUMBER(SEARCH("4E",E51)),IF(AND(E51="4E1",OR(E53=2,E53=4,E53=6,E53=8,E53=11),E55="DC"),LOOKUP(E83,T!$AC108:$AC129,T!$U108:$U129),IF(AND(E51="4E1",OR(E53=2,E53=4),E55="AC"),LOOKUP(E83,T!$AC108:$AC129,T!$V108:$V129),IF(AND(E51="4E1",OR(E53=6,E53=8),E55="AC"),LOOKUP(E83,T!$AC108:$AC129,T!$W108:$W129),IF(AND(E51="4E1",OR(E53=11,E53=12),E55="AC",E57=1),LOOKUP(E83,T!$AC108:$AC127,T!$X108:$X129),IF(AND(E51="4E1",OR(E53=3,E53=5),E55="AC"),LOOKUP(E83,T!$AC108:$AC129,T!$Y108:$Y129),IF(AND(E51="4E1",OR(E53=7,E53=10),E55="AC"),LOOKUP(E83,T!$AC108:$AC129,T!$Z108:$Z129),IF(AND(E51="4E1",E53=9,E55="AC"),LOOKUP(E83,T!$AC115:$AC129,T!$AA115:$AA129),IF(AND(E51="4E1",OR(E53=11,E53=12),E55="AC",E57=3),LOOKUP(E83,T!$AC115:$AC129,T!$AB115:$AB129),IF(AND(E51="4E2",OR(E53=2,E53=4,E53=6,E53=8),E55="DC"),LOOKUP(E83,T!$X134:$X152,T!$U134:$U152),IF(AND(E51="4E2",OR(E53=2,E53=4,E53=6,E53=8),E55="AC"),LOOKUP(E83,T!$X134:$X152,T!$V134:$V152),IF(AND(E51="4E2",OR(E53=3,E53=5,E53=7,E53=9),E55="AC"),LOOKUP(E83,T!$X134:$X152,T!$W134:$W152),IF(AND(E51="4E3",OR(E53=2,E53=4,E53=7,E53=8),E55="DC"),LOOKUP(E83,T!$AA158:$AA170,T!$U158:$U170),IF(AND(E51="4E3",OR(E53=2,E53=4),E55="AC"),LOOKUP(E83,T!$AA158:$AA170,T!$V158:$V170),IF(AND(E51="4E3",OR(E53=9,E53=10),E55="AC"),LOOKUP(E83,T!$AA158:$AA170,T!$W158:$W170),IF(AND(E51="4E3",E53=6,E55="AC"),LOOKUP(E83,T!$AA158:$AA170,T!$X158:$X170),IF(AND(E51="4E3",OR(E53=3,E53=5),E55="AC"),LOOKUP(E83,T!$AA158:$AA170,T!$Y158:$Y170),IF(AND(E51="4E3",OR(E53=11,E53=12),E55="AC"),LOOKUP(E83,T!$AA158:$AA170,T!$Z158:$Z170),IF(AND(E51="4E4",OR(E53=2,E53=4,E53=6),E55="DC"),LOOKUP(E83,T!$X176:$X192,T!$U176:$U192),IF(AND(E51="4E4",OR(E53=2,E53=4,E53=6),E55="AC"),LOOKUP(E83,T!$X176:$X192,T!$V176:$V192),IF(AND(E51="4E4",OR(E53=3,E53=5,E53=7),E55="AC"),LOOKUP(E83,T!$X176:$X192,T!$W176:$W192),0)))))))))))))))))))),IF(ISNUMBER(SEARCH("4F",E51)),IF(AND(E51="4F1",E53=2,E55="DC"),LOOKUP(E83,T!$Z198:$Z214,T!$U198:$U214),IF(AND(E51="4F1",E53=2,E55="AC"),LOOKUP(E83,T!$Z198:$Z214,T!$V198:$V214),IF(AND(E51="4F1",E53=3,E55="AC"),LOOKUP(E83,T!$Z198:$Z214,T!$W198:$W214),IF(AND(E51="4F1",E53=4,E55="DC"),LOOKUP(E83,T!$Z198:$Z214,T!$X198:$X214),IF(AND(E51="4F1",E53=4,E55="AC"),LOOKUP(E83,T!$Z198:$Z214,T!$Y198:$Y214),IF(AND(E51="4F2",E53=2,E55="DC"),LOOKUP(E83,T!$Y220:$Y236,T!$U220:$U236),IF(AND(E51="4F2",E53=2,E55="AC"),LOOKUP(E83,T!$Y220:$Y236,T!$V220:$V236),IF(AND(E51="4F2",E53=3,E55="AC"),LOOKUP(E83,T!$Y220:$Y236,T!$W220:$W236),IF(AND(E51="4F2",E53=4,E55="DC"),LOOKUP(E83,T!$Y220:$Y236,T!$X220:$X236),IF(AND(E51="4F3",E53=2),LOOKUP(E83,T!$W242:$W248,T!$U242:$U248),IF(AND(E51="4F3",E53=3,E55="AC"),LOOKUP(E83,T!$W242:$W248,T!$V242:$V248),0))))))))))),IF(ISNUMBER(SEARCH("4G",E51)),IF(AND(E51="4G1",OR(E53=2,E53=5)),LOOKUP(E83,T!$AA254:$AA269,T!$U254:$U269),IF(AND(E51="4G1",OR(E53=3,E53=6)),LOOKUP(E83,T!$AA254:$AA269,T!$X254:$X269),IF(AND(E51="4G1",OR(E53=4,E53=7)),LOOKUP(E83,T!$AA254:$AA269,T!$Y254:$Y269),IF(AND(E51="4G1",OR(E53=8,E53=9)),LOOKUP(E83,T!$AA254:$AA269,T!$Z254:$Z269),IF(AND(E51="4G2",OR(E53=2,E53=5)),LOOKUP(E83,T!$AA281:$AA296,T!$U281:$U296),IF(AND(E51="4G2",OR(E53=3,E53=6)),LOOKUP(E83,T!$AA281:$AA296,T!$X281:$X296),IF(AND(E51="4G2",OR(E53=4,E53=7)),LOOKUP(E83,T!$AA281:$AA296,T!$Y281:$Y296),IF(AND(E51="4G2",OR(E53=8,E53=9)),LOOKUP(E83,T!$AA281:$AA296,T!$Z281:$Z296),0)))))))),0)))))*E23*E69)/1000))</f>
        <v>6.2963999999999993</v>
      </c>
      <c r="F97" s="159">
        <f ca="1">IF(F29="","",IF(OR(COUNT(F19:F21)=3,COUNT(F19:F21)=1),(IF(F29="",0,IF(ISNUMBER(SEARCH("4D",F51)),IF(AND(F51="4D1",OR(F53=2,F53=4,F53=6,F53=8,F53=11),F55="DC"),LOOKUP(F83,T!$AC6:$AC27,T!$U6:$U27),IF(AND(F51="4D1",OR(F53=2,F53=4),F55="AC"),LOOKUP(F83,T!$AC6:$AC27,T!$V6:$V27),IF(AND(F51="4D1",OR(F53=6,F53=8),F55="AC"),LOOKUP(F83,T!$AC6:$AC27,T!$W6:$W27),IF(AND(F51="4D1",OR(F53=11,F53=12),F55="AC",F57=1),LOOKUP(F83,T!$AC6:$AC27,T!$X6:$X27),IF(AND(F51="4D1",OR(F53=3,F53=5),F55="AC"),LOOKUP(F83,T!$AC6:$AC27,T!$Y6:$Y27),IF(AND(F51="4D1",OR(F53=7,F53=10),F55="AC"),LOOKUP(F83,T!$AC6:$AC27,T!$Z6:$Z27),IF(AND(F51="4D1",F53=9,F55="AC"),LOOKUP(F83,T!$AC6:$AC27,T!$AA6:$AA27),IF(AND(F51="4D1",OR(F53=11,F53=12),F55="AC",F57=3),LOOKUP(F83,T!$AC13:$AC27,T!$AB13:$AB27),IF(AND(F51="4D2",OR(F53=2,F53=4,F53=6,F53=8),F55="DC"),LOOKUP(F83,T!$X33:$X50,T!$U33:$U50),IF(AND(F51="4D2",OR(F53=2,F53=4,F53=6,F53=8),F55="AC"),LOOKUP(F83,T!$X33:$X50,T!$V33:$V50),IF(AND(F51="4D2",OR(F53=3,F53=5,F53=7,F53=9),F55="AC"),LOOKUP(F83,T!$X33:$X50,T!$W33:$W50),IF(AND(F51="4D3",OR(F53=2,F53=4,F53=7,F53=8),F55="DC"),LOOKUP(F83,T!$AA56:$AA68,T!$U56:$U68),IF(AND(F51="4D3",OR(F53=2,F53=4),F55="AC"),LOOKUP(F83,T!$AA56:$AA68,T!$V56:$V68),IF(AND(F51="4D3",OR(F53=9,F53=10),F55="AC"),LOOKUP(F83,T!$AA56:$AA$68,T!$W56:$W68),IF(AND(F51="4D3",F53=6,F55="AC"),LOOKUP(F83,T!$AA56:$AA68,T!$X56:$X68),IF(AND(F51="4D3",OR(F53=3,F53=5),F55="AC"),LOOKUP(F83,T!$AA56:$AA68,T!$Y56:$Y68),IF(AND(F51="4D3",OR(F53=11,F53=12),F55="AC"),LOOKUP(F83,T!$AA56:$AA68,T!$Z56:$Z68),IF(AND(F51="4D4",OR(F53=2,F53=4,F53=6),F55="DC"),LOOKUP(F83,T!$X74:$X90,T!$U74:$U90),IF(AND(F51="4D4",OR(F53=2,F53=4,F53=6),F55="AC"),LOOKUP(F83,T!$X74:$X90,T!$V74:$V90),IF(AND(F51="4D4",OR(F53=3,F53=5,F53=7),F55="AC"),LOOKUP(F83,T!$X74:$X90,T!$W74:$W90),IF(AND(F51="4D5",AND(F53&gt;=2,F53&lt;=7)),LOOKUP(F83,T!$I96:$I102,T!$H96:$H102),0))))))))))))))))))))),IF(ISNUMBER(SEARCH("4E",F51)),IF(AND(F51="4E1",OR(F53=2,F53=4,F53=6,F53=8,F53=11),F55="DC"),LOOKUP(F83,T!$AC108:$AC129,T!$U108:$U129),IF(AND(F51="4E1",OR(F53=2,F53=4),F55="AC"),LOOKUP(F83,T!$AC108:$AC129,T!$V108:$V129),IF(AND(F51="4E1",OR(F53=6,F53=8),F55="AC"),LOOKUP(F83,T!$AC108:$AC129,T!$W108:$W129),IF(AND(F51="4E1",OR(F53=11,F53=12),F55="AC",F57=1),LOOKUP(F83,T!$AC108:$AC127,T!$X108:$X129),IF(AND(F51="4E1",OR(F53=3,F53=5),F55="AC"),LOOKUP(F83,T!$AC108:$AC129,T!$Y108:$Y129),IF(AND(F51="4E1",OR(F53=7,F53=10),F55="AC"),LOOKUP(F83,T!$AC108:$AC129,T!$Z108:$Z129),IF(AND(F51="4E1",F53=9,F55="AC"),LOOKUP(F83,T!$AC115:$AC129,T!$AA115:$AA129),IF(AND(F51="4E1",OR(F53=11,F53=12),F55="AC",F57=3),LOOKUP(F83,T!$AC115:$AC129,T!$AB115:$AB129),IF(AND(F51="4E2",OR(F53=2,F53=4,F53=6,F53=8),F55="DC"),LOOKUP(F83,T!$X134:$X152,T!$U134:$U152),IF(AND(F51="4E2",OR(F53=2,F53=4,F53=6,F53=8),F55="AC"),LOOKUP(F83,T!$X134:$X152,T!$V134:$V152),IF(AND(F51="4E2",OR(F53=3,F53=5,F53=7,F53=9),F55="AC"),LOOKUP(F83,T!$X134:$X152,T!$W134:$W152),IF(AND(F51="4E3",OR(F53=2,F53=4,F53=7,F53=8),F55="DC"),LOOKUP(F83,T!$AA158:$AA170,T!$U158:$U170),IF(AND(F51="4E3",OR(F53=2,F53=4),F55="AC"),LOOKUP(F83,T!$AA158:$AA170,T!$V158:$V170),IF(AND(F51="4E3",OR(F53=9,F53=10),F55="AC"),LOOKUP(F83,T!$AA158:$AA170,T!$W158:$W170),IF(AND(F51="4E3",F53=6,F55="AC"),LOOKUP(F83,T!$AA158:$AA170,T!$X158:$X170),IF(AND(F51="4E3",OR(F53=3,F53=5),F55="AC"),LOOKUP(F83,T!$AA158:$AA170,T!$Y158:$Y170),IF(AND(F51="4E3",OR(F53=11,F53=12),F55="AC"),LOOKUP(F83,T!$AA158:$AA170,T!$Z158:$Z170),IF(AND(F51="4E4",OR(F53=2,F53=4,F53=6),F55="DC"),LOOKUP(F83,T!$X176:$X192,T!$U176:$U192),IF(AND(F51="4E4",OR(F53=2,F53=4,F53=6),F55="AC"),LOOKUP(F83,T!$X176:$X192,T!$V176:$V192),IF(AND(F51="4E4",OR(F53=3,F53=5,F53=7),F55="AC"),LOOKUP(F83,T!$X176:$X192,T!$W176:$W192),0)))))))))))))))))))),IF(ISNUMBER(SEARCH("4F",F51)),IF(AND(F51="4F1",F53=2,F55="DC"),LOOKUP(F83,T!$Z198:$Z214,T!$U198:$U214),IF(AND(F51="4F1",F53=2,F55="AC"),LOOKUP(F83,T!$Z198:$Z214,T!$V198:$V214),IF(AND(F51="4F1",F53=3,F55="AC"),LOOKUP(F83,T!$Z198:$Z214,T!$W198:$W214),IF(AND(F51="4F1",F53=4,F55="DC"),LOOKUP(F83,T!$Z198:$Z214,T!$X198:$X214),IF(AND(F51="4F1",F53=4,F55="AC"),LOOKUP(F83,T!$Z198:$Z214,T!$Y198:$Y214),IF(AND(F51="4F2",F53=2,F55="DC"),LOOKUP(F83,T!$Y220:$Y236,T!$U220:$U236),IF(AND(F51="4F2",F53=2,F55="AC"),LOOKUP(F83,T!$Y220:$Y236,T!$V220:$V236),IF(AND(F51="4F2",F53=3,F55="AC"),LOOKUP(F83,T!$Y220:$Y236,T!$W220:$W236),IF(AND(F51="4F2",F53=4,F55="DC"),LOOKUP(F83,T!$Y220:$Y236,T!$X220:$X236),IF(AND(F51="4F3",F53=2),LOOKUP(F83,T!$W242:$W248,T!$U242:$U248),IF(AND(F51="4F3",F53=3,F55="AC"),LOOKUP(F83,T!$W242:$W248,T!$V242:$V248),0))))))))))),IF(ISNUMBER(SEARCH("4G",F51)),IF(AND(F51="4G1",OR(F53=2,F53=5)),LOOKUP(F83,T!$AA254:$AA269,T!$U254:$U269),IF(AND(F51="4G1",OR(F53=3,F53=6)),LOOKUP(F83,T!$AA254:$AA269,T!$X254:$X269),IF(AND(F51="4G1",OR(F53=4,F53=7)),LOOKUP(F83,T!$AA254:$AA269,T!$Y254:$Y269),IF(AND(F51="4G1",OR(F53=8,F53=9)),LOOKUP(F83,T!$AA254:$AA269,T!$Z254:$Z269),IF(AND(F51="4G2",OR(F53=2,F53=5)),LOOKUP(F83,T!$AA281:$AA296,T!$U281:$U296),IF(AND(F51="4G2",OR(F53=3,F53=6)),LOOKUP(F83,T!$AA281:$AA296,T!$X281:$X296),IF(AND(F51="4G2",OR(F53=4,F53=7)),LOOKUP(F83,T!$AA281:$AA296,T!$Y281:$Y296),IF(AND(F51="4G2",OR(F53=8,F53=9)),LOOKUP(F83,T!$AA281:$AA296,T!$Z281:$Z296),0)))))))),0)))))*F23*F69)/1000))</f>
        <v>6.2963999999999993</v>
      </c>
      <c r="G97" s="159">
        <f ca="1">IF(G29="","",IF(OR(COUNT(G19:G21)=3,COUNT(G19:G21)=1),(IF(G29="",0,IF(ISNUMBER(SEARCH("4D",G51)),IF(AND(G51="4D1",OR(G53=2,G53=4,G53=6,G53=8,G53=11),G55="DC"),LOOKUP(G83,T!$AC6:$AC27,T!$U6:$U27),IF(AND(G51="4D1",OR(G53=2,G53=4),G55="AC"),LOOKUP(G83,T!$AC6:$AC27,T!$V6:$V27),IF(AND(G51="4D1",OR(G53=6,G53=8),G55="AC"),LOOKUP(G83,T!$AC6:$AC27,T!$W6:$W27),IF(AND(G51="4D1",OR(G53=11,G53=12),G55="AC",G57=1),LOOKUP(G83,T!$AC6:$AC27,T!$X6:$X27),IF(AND(G51="4D1",OR(G53=3,G53=5),G55="AC"),LOOKUP(G83,T!$AC6:$AC27,T!$Y6:$Y27),IF(AND(G51="4D1",OR(G53=7,G53=10),G55="AC"),LOOKUP(G83,T!$AC6:$AC27,T!$Z6:$Z27),IF(AND(G51="4D1",G53=9,G55="AC"),LOOKUP(G83,T!$AC6:$AC27,T!$AA6:$AA27),IF(AND(G51="4D1",OR(G53=11,G53=12),G55="AC",G57=3),LOOKUP(G83,T!$AC13:$AC27,T!$AB13:$AB27),IF(AND(G51="4D2",OR(G53=2,G53=4,G53=6,G53=8),G55="DC"),LOOKUP(G83,T!$X33:$X50,T!$U33:$U50),IF(AND(G51="4D2",OR(G53=2,G53=4,G53=6,G53=8),G55="AC"),LOOKUP(G83,T!$X33:$X50,T!$V33:$V50),IF(AND(G51="4D2",OR(G53=3,G53=5,G53=7,G53=9),G55="AC"),LOOKUP(G83,T!$X33:$X50,T!$W33:$W50),IF(AND(G51="4D3",OR(G53=2,G53=4,G53=7,G53=8),G55="DC"),LOOKUP(G83,T!$AA56:$AA68,T!$U56:$U68),IF(AND(G51="4D3",OR(G53=2,G53=4),G55="AC"),LOOKUP(G83,T!$AA56:$AA68,T!$V56:$V68),IF(AND(G51="4D3",OR(G53=9,G53=10),G55="AC"),LOOKUP(G83,T!$AA56:$AA$68,T!$W56:$W68),IF(AND(G51="4D3",G53=6,G55="AC"),LOOKUP(G83,T!$AA56:$AA68,T!$X56:$X68),IF(AND(G51="4D3",OR(G53=3,G53=5),G55="AC"),LOOKUP(G83,T!$AA56:$AA68,T!$Y56:$Y68),IF(AND(G51="4D3",OR(G53=11,G53=12),G55="AC"),LOOKUP(G83,T!$AA56:$AA68,T!$Z56:$Z68),IF(AND(G51="4D4",OR(G53=2,G53=4,G53=6),G55="DC"),LOOKUP(G83,T!$X74:$X90,T!$U74:$U90),IF(AND(G51="4D4",OR(G53=2,G53=4,G53=6),G55="AC"),LOOKUP(G83,T!$X74:$X90,T!$V74:$V90),IF(AND(G51="4D4",OR(G53=3,G53=5,G53=7),G55="AC"),LOOKUP(G83,T!$X74:$X90,T!$W74:$W90),IF(AND(G51="4D5",AND(G53&gt;=2,G53&lt;=7)),LOOKUP(G83,T!$I96:$I102,T!$H96:$H102),0))))))))))))))))))))),IF(ISNUMBER(SEARCH("4E",G51)),IF(AND(G51="4E1",OR(G53=2,G53=4,G53=6,G53=8,G53=11),G55="DC"),LOOKUP(G83,T!$AC108:$AC129,T!$U108:$U129),IF(AND(G51="4E1",OR(G53=2,G53=4),G55="AC"),LOOKUP(G83,T!$AC108:$AC129,T!$V108:$V129),IF(AND(G51="4E1",OR(G53=6,G53=8),G55="AC"),LOOKUP(G83,T!$AC108:$AC129,T!$W108:$W129),IF(AND(G51="4E1",OR(G53=11,G53=12),G55="AC",G57=1),LOOKUP(G83,T!$AC108:$AC127,T!$X108:$X129),IF(AND(G51="4E1",OR(G53=3,G53=5),G55="AC"),LOOKUP(G83,T!$AC108:$AC129,T!$Y108:$Y129),IF(AND(G51="4E1",OR(G53=7,G53=10),G55="AC"),LOOKUP(G83,T!$AC108:$AC129,T!$Z108:$Z129),IF(AND(G51="4E1",G53=9,G55="AC"),LOOKUP(G83,T!$AC115:$AC129,T!$AA115:$AA129),IF(AND(G51="4E1",OR(G53=11,G53=12),G55="AC",G57=3),LOOKUP(G83,T!$AC115:$AC129,T!$AB115:$AB129),IF(AND(G51="4E2",OR(G53=2,G53=4,G53=6,G53=8),G55="DC"),LOOKUP(G83,T!$X134:$X152,T!$U134:$U152),IF(AND(G51="4E2",OR(G53=2,G53=4,G53=6,G53=8),G55="AC"),LOOKUP(G83,T!$X134:$X152,T!$V134:$V152),IF(AND(G51="4E2",OR(G53=3,G53=5,G53=7,G53=9),G55="AC"),LOOKUP(G83,T!$X134:$X152,T!$W134:$W152),IF(AND(G51="4E3",OR(G53=2,G53=4,G53=7,G53=8),G55="DC"),LOOKUP(G83,T!$AA158:$AA170,T!$U158:$U170),IF(AND(G51="4E3",OR(G53=2,G53=4),G55="AC"),LOOKUP(G83,T!$AA158:$AA170,T!$V158:$V170),IF(AND(G51="4E3",OR(G53=9,G53=10),G55="AC"),LOOKUP(G83,T!$AA158:$AA170,T!$W158:$W170),IF(AND(G51="4E3",G53=6,G55="AC"),LOOKUP(G83,T!$AA158:$AA170,T!$X158:$X170),IF(AND(G51="4E3",OR(G53=3,G53=5),G55="AC"),LOOKUP(G83,T!$AA158:$AA170,T!$Y158:$Y170),IF(AND(G51="4E3",OR(G53=11,G53=12),G55="AC"),LOOKUP(G83,T!$AA158:$AA170,T!$Z158:$Z170),IF(AND(G51="4E4",OR(G53=2,G53=4,G53=6),G55="DC"),LOOKUP(G83,T!$X176:$X192,T!$U176:$U192),IF(AND(G51="4E4",OR(G53=2,G53=4,G53=6),G55="AC"),LOOKUP(G83,T!$X176:$X192,T!$V176:$V192),IF(AND(G51="4E4",OR(G53=3,G53=5,G53=7),G55="AC"),LOOKUP(G83,T!$X176:$X192,T!$W176:$W192),0)))))))))))))))))))),IF(ISNUMBER(SEARCH("4F",G51)),IF(AND(G51="4F1",G53=2,G55="DC"),LOOKUP(G83,T!$Z198:$Z214,T!$U198:$U214),IF(AND(G51="4F1",G53=2,G55="AC"),LOOKUP(G83,T!$Z198:$Z214,T!$V198:$V214),IF(AND(G51="4F1",G53=3,G55="AC"),LOOKUP(G83,T!$Z198:$Z214,T!$W198:$W214),IF(AND(G51="4F1",G53=4,G55="DC"),LOOKUP(G83,T!$Z198:$Z214,T!$X198:$X214),IF(AND(G51="4F1",G53=4,G55="AC"),LOOKUP(G83,T!$Z198:$Z214,T!$Y198:$Y214),IF(AND(G51="4F2",G53=2,G55="DC"),LOOKUP(G83,T!$Y220:$Y236,T!$U220:$U236),IF(AND(G51="4F2",G53=2,G55="AC"),LOOKUP(G83,T!$Y220:$Y236,T!$V220:$V236),IF(AND(G51="4F2",G53=3,G55="AC"),LOOKUP(G83,T!$Y220:$Y236,T!$W220:$W236),IF(AND(G51="4F2",G53=4,G55="DC"),LOOKUP(G83,T!$Y220:$Y236,T!$X220:$X236),IF(AND(G51="4F3",G53=2),LOOKUP(G83,T!$W242:$W248,T!$U242:$U248),IF(AND(G51="4F3",G53=3,G55="AC"),LOOKUP(G83,T!$W242:$W248,T!$V242:$V248),0))))))))))),IF(ISNUMBER(SEARCH("4G",G51)),IF(AND(G51="4G1",OR(G53=2,G53=5)),LOOKUP(G83,T!$AA254:$AA269,T!$U254:$U269),IF(AND(G51="4G1",OR(G53=3,G53=6)),LOOKUP(G83,T!$AA254:$AA269,T!$X254:$X269),IF(AND(G51="4G1",OR(G53=4,G53=7)),LOOKUP(G83,T!$AA254:$AA269,T!$Y254:$Y269),IF(AND(G51="4G1",OR(G53=8,G53=9)),LOOKUP(G83,T!$AA254:$AA269,T!$Z254:$Z269),IF(AND(G51="4G2",OR(G53=2,G53=5)),LOOKUP(G83,T!$AA281:$AA296,T!$U281:$U296),IF(AND(G51="4G2",OR(G53=3,G53=6)),LOOKUP(G83,T!$AA281:$AA296,T!$X281:$X296),IF(AND(G51="4G2",OR(G53=4,G53=7)),LOOKUP(G83,T!$AA281:$AA296,T!$Y281:$Y296),IF(AND(G51="4G2",OR(G53=8,G53=9)),LOOKUP(G83,T!$AA281:$AA296,T!$Z281:$Z296),0)))))))),0)))))*G23*G69)/1000))</f>
        <v>6.2963999999999993</v>
      </c>
      <c r="H97" s="159">
        <f ca="1">IF(H29="","",IF(OR(COUNT(H19:H21)=3,COUNT(H19:H21)=1),(IF(H29="",0,IF(ISNUMBER(SEARCH("4D",H51)),IF(AND(H51="4D1",OR(H53=2,H53=4,H53=6,H53=8,H53=11),H55="DC"),LOOKUP(H83,T!$AC6:$AC27,T!$U6:$U27),IF(AND(H51="4D1",OR(H53=2,H53=4),H55="AC"),LOOKUP(H83,T!$AC6:$AC27,T!$V6:$V27),IF(AND(H51="4D1",OR(H53=6,H53=8),H55="AC"),LOOKUP(H83,T!$AC6:$AC27,T!$W6:$W27),IF(AND(H51="4D1",OR(H53=11,H53=12),H55="AC",H57=1),LOOKUP(H83,T!$AC6:$AC27,T!$X6:$X27),IF(AND(H51="4D1",OR(H53=3,H53=5),H55="AC"),LOOKUP(H83,T!$AC6:$AC27,T!$Y6:$Y27),IF(AND(H51="4D1",OR(H53=7,H53=10),H55="AC"),LOOKUP(H83,T!$AC6:$AC27,T!$Z6:$Z27),IF(AND(H51="4D1",H53=9,H55="AC"),LOOKUP(H83,T!$AC6:$AC27,T!$AA6:$AA27),IF(AND(H51="4D1",OR(H53=11,H53=12),H55="AC",H57=3),LOOKUP(H83,T!$AC13:$AC27,T!$AB13:$AB27),IF(AND(H51="4D2",OR(H53=2,H53=4,H53=6,H53=8),H55="DC"),LOOKUP(H83,T!$X33:$X50,T!$U33:$U50),IF(AND(H51="4D2",OR(H53=2,H53=4,H53=6,H53=8),H55="AC"),LOOKUP(H83,T!$X33:$X50,T!$V33:$V50),IF(AND(H51="4D2",OR(H53=3,H53=5,H53=7,H53=9),H55="AC"),LOOKUP(H83,T!$X33:$X50,T!$W33:$W50),IF(AND(H51="4D3",OR(H53=2,H53=4,H53=7,H53=8),H55="DC"),LOOKUP(H83,T!$AA56:$AA68,T!$U56:$U68),IF(AND(H51="4D3",OR(H53=2,H53=4),H55="AC"),LOOKUP(H83,T!$AA56:$AA68,T!$V56:$V68),IF(AND(H51="4D3",OR(H53=9,H53=10),H55="AC"),LOOKUP(H83,T!$AA56:$AA$68,T!$W56:$W68),IF(AND(H51="4D3",H53=6,H55="AC"),LOOKUP(H83,T!$AA56:$AA68,T!$X56:$X68),IF(AND(H51="4D3",OR(H53=3,H53=5),H55="AC"),LOOKUP(H83,T!$AA56:$AA68,T!$Y56:$Y68),IF(AND(H51="4D3",OR(H53=11,H53=12),H55="AC"),LOOKUP(H83,T!$AA56:$AA68,T!$Z56:$Z68),IF(AND(H51="4D4",OR(H53=2,H53=4,H53=6),H55="DC"),LOOKUP(H83,T!$X74:$X90,T!$U74:$U90),IF(AND(H51="4D4",OR(H53=2,H53=4,H53=6),H55="AC"),LOOKUP(H83,T!$X74:$X90,T!$V74:$V90),IF(AND(H51="4D4",OR(H53=3,H53=5,H53=7),H55="AC"),LOOKUP(H83,T!$X74:$X90,T!$W74:$W90),IF(AND(H51="4D5",AND(H53&gt;=2,H53&lt;=7)),LOOKUP(H83,T!$I96:$I102,T!$H96:$H102),0))))))))))))))))))))),IF(ISNUMBER(SEARCH("4E",H51)),IF(AND(H51="4E1",OR(H53=2,H53=4,H53=6,H53=8,H53=11),H55="DC"),LOOKUP(H83,T!$AC108:$AC129,T!$U108:$U129),IF(AND(H51="4E1",OR(H53=2,H53=4),H55="AC"),LOOKUP(H83,T!$AC108:$AC129,T!$V108:$V129),IF(AND(H51="4E1",OR(H53=6,H53=8),H55="AC"),LOOKUP(H83,T!$AC108:$AC129,T!$W108:$W129),IF(AND(H51="4E1",OR(H53=11,H53=12),H55="AC",H57=1),LOOKUP(H83,T!$AC108:$AC127,T!$X108:$X129),IF(AND(H51="4E1",OR(H53=3,H53=5),H55="AC"),LOOKUP(H83,T!$AC108:$AC129,T!$Y108:$Y129),IF(AND(H51="4E1",OR(H53=7,H53=10),H55="AC"),LOOKUP(H83,T!$AC108:$AC129,T!$Z108:$Z129),IF(AND(H51="4E1",H53=9,H55="AC"),LOOKUP(H83,T!$AC115:$AC129,T!$AA115:$AA129),IF(AND(H51="4E1",OR(H53=11,H53=12),H55="AC",H57=3),LOOKUP(H83,T!$AC115:$AC129,T!$AB115:$AB129),IF(AND(H51="4E2",OR(H53=2,H53=4,H53=6,H53=8),H55="DC"),LOOKUP(H83,T!$X134:$X152,T!$U134:$U152),IF(AND(H51="4E2",OR(H53=2,H53=4,H53=6,H53=8),H55="AC"),LOOKUP(H83,T!$X134:$X152,T!$V134:$V152),IF(AND(H51="4E2",OR(H53=3,H53=5,H53=7,H53=9),H55="AC"),LOOKUP(H83,T!$X134:$X152,T!$W134:$W152),IF(AND(H51="4E3",OR(H53=2,H53=4,H53=7,H53=8),H55="DC"),LOOKUP(H83,T!$AA158:$AA170,T!$U158:$U170),IF(AND(H51="4E3",OR(H53=2,H53=4),H55="AC"),LOOKUP(H83,T!$AA158:$AA170,T!$V158:$V170),IF(AND(H51="4E3",OR(H53=9,H53=10),H55="AC"),LOOKUP(H83,T!$AA158:$AA170,T!$W158:$W170),IF(AND(H51="4E3",H53=6,H55="AC"),LOOKUP(H83,T!$AA158:$AA170,T!$X158:$X170),IF(AND(H51="4E3",OR(H53=3,H53=5),H55="AC"),LOOKUP(H83,T!$AA158:$AA170,T!$Y158:$Y170),IF(AND(H51="4E3",OR(H53=11,H53=12),H55="AC"),LOOKUP(H83,T!$AA158:$AA170,T!$Z158:$Z170),IF(AND(H51="4E4",OR(H53=2,H53=4,H53=6),H55="DC"),LOOKUP(H83,T!$X176:$X192,T!$U176:$U192),IF(AND(H51="4E4",OR(H53=2,H53=4,H53=6),H55="AC"),LOOKUP(H83,T!$X176:$X192,T!$V176:$V192),IF(AND(H51="4E4",OR(H53=3,H53=5,H53=7),H55="AC"),LOOKUP(H83,T!$X176:$X192,T!$W176:$W192),0)))))))))))))))))))),IF(ISNUMBER(SEARCH("4F",H51)),IF(AND(H51="4F1",H53=2,H55="DC"),LOOKUP(H83,T!$Z198:$Z214,T!$U198:$U214),IF(AND(H51="4F1",H53=2,H55="AC"),LOOKUP(H83,T!$Z198:$Z214,T!$V198:$V214),IF(AND(H51="4F1",H53=3,H55="AC"),LOOKUP(H83,T!$Z198:$Z214,T!$W198:$W214),IF(AND(H51="4F1",H53=4,H55="DC"),LOOKUP(H83,T!$Z198:$Z214,T!$X198:$X214),IF(AND(H51="4F1",H53=4,H55="AC"),LOOKUP(H83,T!$Z198:$Z214,T!$Y198:$Y214),IF(AND(H51="4F2",H53=2,H55="DC"),LOOKUP(H83,T!$Y220:$Y236,T!$U220:$U236),IF(AND(H51="4F2",H53=2,H55="AC"),LOOKUP(H83,T!$Y220:$Y236,T!$V220:$V236),IF(AND(H51="4F2",H53=3,H55="AC"),LOOKUP(H83,T!$Y220:$Y236,T!$W220:$W236),IF(AND(H51="4F2",H53=4,H55="DC"),LOOKUP(H83,T!$Y220:$Y236,T!$X220:$X236),IF(AND(H51="4F3",H53=2),LOOKUP(H83,T!$W242:$W248,T!$U242:$U248),IF(AND(H51="4F3",H53=3,H55="AC"),LOOKUP(H83,T!$W242:$W248,T!$V242:$V248),0))))))))))),IF(ISNUMBER(SEARCH("4G",H51)),IF(AND(H51="4G1",OR(H53=2,H53=5)),LOOKUP(H83,T!$AA254:$AA269,T!$U254:$U269),IF(AND(H51="4G1",OR(H53=3,H53=6)),LOOKUP(H83,T!$AA254:$AA269,T!$X254:$X269),IF(AND(H51="4G1",OR(H53=4,H53=7)),LOOKUP(H83,T!$AA254:$AA269,T!$Y254:$Y269),IF(AND(H51="4G1",OR(H53=8,H53=9)),LOOKUP(H83,T!$AA254:$AA269,T!$Z254:$Z269),IF(AND(H51="4G2",OR(H53=2,H53=5)),LOOKUP(H83,T!$AA281:$AA296,T!$U281:$U296),IF(AND(H51="4G2",OR(H53=3,H53=6)),LOOKUP(H83,T!$AA281:$AA296,T!$X281:$X296),IF(AND(H51="4G2",OR(H53=4,H53=7)),LOOKUP(H83,T!$AA281:$AA296,T!$Y281:$Y296),IF(AND(H51="4G2",OR(H53=8,H53=9)),LOOKUP(H83,T!$AA281:$AA296,T!$Z281:$Z296),0)))))))),0)))))*H23*H69)/1000))</f>
        <v>6.2963999999999993</v>
      </c>
      <c r="I97" s="159">
        <f>IF(I29="","",IF(OR(COUNT(I19:I21)=3,COUNT(I19:I21)=1),(IF(I29="",0,IF(ISNUMBER(SEARCH("4D",I51)),IF(AND(I51="4D1",OR(I53=2,I53=4,I53=6,I53=8,I53=11),I55="DC"),LOOKUP(I83,T!$AC6:$AC27,T!$U6:$U27),IF(AND(I51="4D1",OR(I53=2,I53=4),I55="AC"),LOOKUP(I83,T!$AC6:$AC27,T!$V6:$V27),IF(AND(I51="4D1",OR(I53=6,I53=8),I55="AC"),LOOKUP(I83,T!$AC6:$AC27,T!$W6:$W27),IF(AND(I51="4D1",OR(I53=11,I53=12),I55="AC",I57=1),LOOKUP(I83,T!$AC6:$AC27,T!$X6:$X27),IF(AND(I51="4D1",OR(I53=3,I53=5),I55="AC"),LOOKUP(I83,T!$AC6:$AC27,T!$Y6:$Y27),IF(AND(I51="4D1",OR(I53=7,I53=10),I55="AC"),LOOKUP(I83,T!$AC6:$AC27,T!$Z6:$Z27),IF(AND(I51="4D1",I53=9,I55="AC"),LOOKUP(I83,T!$AC6:$AC27,T!$AA6:$AA27),IF(AND(I51="4D1",OR(I53=11,I53=12),I55="AC",I57=3),LOOKUP(I83,T!$AC13:$AC27,T!$AB13:$AB27),IF(AND(I51="4D2",OR(I53=2,I53=4,I53=6,I53=8),I55="DC"),LOOKUP(I83,T!$X33:$X50,T!$U33:$U50),IF(AND(I51="4D2",OR(I53=2,I53=4,I53=6,I53=8),I55="AC"),LOOKUP(I83,T!$X33:$X50,T!$V33:$V50),IF(AND(I51="4D2",OR(I53=3,I53=5,I53=7,I53=9),I55="AC"),LOOKUP(I83,T!$X33:$X50,T!$W33:$W50),IF(AND(I51="4D3",OR(I53=2,I53=4,I53=7,I53=8),I55="DC"),LOOKUP(I83,T!$AA56:$AA68,T!$U56:$U68),IF(AND(I51="4D3",OR(I53=2,I53=4),I55="AC"),LOOKUP(I83,T!$AA56:$AA68,T!$V56:$V68),IF(AND(I51="4D3",OR(I53=9,I53=10),I55="AC"),LOOKUP(I83,T!$AA56:$AA$68,T!$W56:$W68),IF(AND(I51="4D3",I53=6,I55="AC"),LOOKUP(I83,T!$AA56:$AA68,T!$X56:$X68),IF(AND(I51="4D3",OR(I53=3,I53=5),I55="AC"),LOOKUP(I83,T!$AA56:$AA68,T!$Y56:$Y68),IF(AND(I51="4D3",OR(I53=11,I53=12),I55="AC"),LOOKUP(I83,T!$AA56:$AA68,T!$Z56:$Z68),IF(AND(I51="4D4",OR(I53=2,I53=4,I53=6),I55="DC"),LOOKUP(I83,T!$X74:$X90,T!$U74:$U90),IF(AND(I51="4D4",OR(I53=2,I53=4,I53=6),I55="AC"),LOOKUP(I83,T!$X74:$X90,T!$V74:$V90),IF(AND(I51="4D4",OR(I53=3,I53=5,I53=7),I55="AC"),LOOKUP(I83,T!$X74:$X90,T!$W74:$W90),IF(AND(I51="4D5",AND(I53&gt;=2,I53&lt;=7)),LOOKUP(I83,T!$I96:$I102,T!$H96:$H102),0))))))))))))))))))))),IF(ISNUMBER(SEARCH("4E",I51)),IF(AND(I51="4E1",OR(I53=2,I53=4,I53=6,I53=8,I53=11),I55="DC"),LOOKUP(I83,T!$AC108:$AC129,T!$U108:$U129),IF(AND(I51="4E1",OR(I53=2,I53=4),I55="AC"),LOOKUP(I83,T!$AC108:$AC129,T!$V108:$V129),IF(AND(I51="4E1",OR(I53=6,I53=8),I55="AC"),LOOKUP(I83,T!$AC108:$AC129,T!$W108:$W129),IF(AND(I51="4E1",OR(I53=11,I53=12),I55="AC",I57=1),LOOKUP(I83,T!$AC108:$AC127,T!$X108:$X129),IF(AND(I51="4E1",OR(I53=3,I53=5),I55="AC"),LOOKUP(I83,T!$AC108:$AC129,T!$Y108:$Y129),IF(AND(I51="4E1",OR(I53=7,I53=10),I55="AC"),LOOKUP(I83,T!$AC108:$AC129,T!$Z108:$Z129),IF(AND(I51="4E1",I53=9,I55="AC"),LOOKUP(I83,T!$AC115:$AC129,T!$AA115:$AA129),IF(AND(I51="4E1",OR(I53=11,I53=12),I55="AC",I57=3),LOOKUP(I83,T!$AC115:$AC129,T!$AB115:$AB129),IF(AND(I51="4E2",OR(I53=2,I53=4,I53=6,I53=8),I55="DC"),LOOKUP(I83,T!$X134:$X152,T!$U134:$U152),IF(AND(I51="4E2",OR(I53=2,I53=4,I53=6,I53=8),I55="AC"),LOOKUP(I83,T!$X134:$X152,T!$V134:$V152),IF(AND(I51="4E2",OR(I53=3,I53=5,I53=7,I53=9),I55="AC"),LOOKUP(I83,T!$X134:$X152,T!$W134:$W152),IF(AND(I51="4E3",OR(I53=2,I53=4,I53=7,I53=8),I55="DC"),LOOKUP(I83,T!$AA158:$AA170,T!$U158:$U170),IF(AND(I51="4E3",OR(I53=2,I53=4),I55="AC"),LOOKUP(I83,T!$AA158:$AA170,T!$V158:$V170),IF(AND(I51="4E3",OR(I53=9,I53=10),I55="AC"),LOOKUP(I83,T!$AA158:$AA170,T!$W158:$W170),IF(AND(I51="4E3",I53=6,I55="AC"),LOOKUP(I83,T!$AA158:$AA170,T!$X158:$X170),IF(AND(I51="4E3",OR(I53=3,I53=5),I55="AC"),LOOKUP(I83,T!$AA158:$AA170,T!$Y158:$Y170),IF(AND(I51="4E3",OR(I53=11,I53=12),I55="AC"),LOOKUP(I83,T!$AA158:$AA170,T!$Z158:$Z170),IF(AND(I51="4E4",OR(I53=2,I53=4,I53=6),I55="DC"),LOOKUP(I83,T!$X176:$X192,T!$U176:$U192),IF(AND(I51="4E4",OR(I53=2,I53=4,I53=6),I55="AC"),LOOKUP(I83,T!$X176:$X192,T!$V176:$V192),IF(AND(I51="4E4",OR(I53=3,I53=5,I53=7),I55="AC"),LOOKUP(I83,T!$X176:$X192,T!$W176:$W192),0)))))))))))))))))))),IF(ISNUMBER(SEARCH("4F",I51)),IF(AND(I51="4F1",I53=2,I55="DC"),LOOKUP(I83,T!$Z198:$Z214,T!$U198:$U214),IF(AND(I51="4F1",I53=2,I55="AC"),LOOKUP(I83,T!$Z198:$Z214,T!$V198:$V214),IF(AND(I51="4F1",I53=3,I55="AC"),LOOKUP(I83,T!$Z198:$Z214,T!$W198:$W214),IF(AND(I51="4F1",I53=4,I55="DC"),LOOKUP(I83,T!$Z198:$Z214,T!$X198:$X214),IF(AND(I51="4F1",I53=4,I55="AC"),LOOKUP(I83,T!$Z198:$Z214,T!$Y198:$Y214),IF(AND(I51="4F2",I53=2,I55="DC"),LOOKUP(I83,T!$Y220:$Y236,T!$U220:$U236),IF(AND(I51="4F2",I53=2,I55="AC"),LOOKUP(I83,T!$Y220:$Y236,T!$V220:$V236),IF(AND(I51="4F2",I53=3,I55="AC"),LOOKUP(I83,T!$Y220:$Y236,T!$W220:$W236),IF(AND(I51="4F2",I53=4,I55="DC"),LOOKUP(I83,T!$Y220:$Y236,T!$X220:$X236),IF(AND(I51="4F3",I53=2),LOOKUP(I83,T!$W242:$W248,T!$U242:$U248),IF(AND(I51="4F3",I53=3,I55="AC"),LOOKUP(I83,T!$W242:$W248,T!$V242:$V248),0))))))))))),IF(ISNUMBER(SEARCH("4G",I51)),IF(AND(I51="4G1",OR(I53=2,I53=5)),LOOKUP(I83,T!$AA254:$AA269,T!$U254:$U269),IF(AND(I51="4G1",OR(I53=3,I53=6)),LOOKUP(I83,T!$AA254:$AA269,T!$X254:$X269),IF(AND(I51="4G1",OR(I53=4,I53=7)),LOOKUP(I83,T!$AA254:$AA269,T!$Y254:$Y269),IF(AND(I51="4G1",OR(I53=8,I53=9)),LOOKUP(I83,T!$AA254:$AA269,T!$Z254:$Z269),IF(AND(I51="4G2",OR(I53=2,I53=5)),LOOKUP(I83,T!$AA281:$AA296,T!$U281:$U296),IF(AND(I51="4G2",OR(I53=3,I53=6)),LOOKUP(I83,T!$AA281:$AA296,T!$X281:$X296),IF(AND(I51="4G2",OR(I53=4,I53=7)),LOOKUP(I83,T!$AA281:$AA296,T!$Y281:$Y296),IF(AND(I51="4G2",OR(I53=8,I53=9)),LOOKUP(I83,T!$AA281:$AA296,T!$Z281:$Z296),0)))))))),0)))))*I23*I69)/1000))</f>
        <v>0</v>
      </c>
      <c r="J97" s="159">
        <f>IF(J29="","",IF(OR(COUNT(J19:J21)=3,COUNT(J19:J21)=1),(IF(J29="",0,IF(ISNUMBER(SEARCH("4D",J51)),IF(AND(J51="4D1",OR(J53=2,J53=4,J53=6,J53=8,J53=11),J55="DC"),LOOKUP(J83,T!$AC6:$AC27,T!$U6:$U27),IF(AND(J51="4D1",OR(J53=2,J53=4),J55="AC"),LOOKUP(J83,T!$AC6:$AC27,T!$V6:$V27),IF(AND(J51="4D1",OR(J53=6,J53=8),J55="AC"),LOOKUP(J83,T!$AC6:$AC27,T!$W6:$W27),IF(AND(J51="4D1",OR(J53=11,J53=12),J55="AC",J57=1),LOOKUP(J83,T!$AC6:$AC27,T!$X6:$X27),IF(AND(J51="4D1",OR(J53=3,J53=5),J55="AC"),LOOKUP(J83,T!$AC6:$AC27,T!$Y6:$Y27),IF(AND(J51="4D1",OR(J53=7,J53=10),J55="AC"),LOOKUP(J83,T!$AC6:$AC27,T!$Z6:$Z27),IF(AND(J51="4D1",J53=9,J55="AC"),LOOKUP(J83,T!$AC6:$AC27,T!$AA6:$AA27),IF(AND(J51="4D1",OR(J53=11,J53=12),J55="AC",J57=3),LOOKUP(J83,T!$AC13:$AC27,T!$AB13:$AB27),IF(AND(J51="4D2",OR(J53=2,J53=4,J53=6,J53=8),J55="DC"),LOOKUP(J83,T!$X33:$X50,T!$U33:$U50),IF(AND(J51="4D2",OR(J53=2,J53=4,J53=6,J53=8),J55="AC"),LOOKUP(J83,T!$X33:$X50,T!$V33:$V50),IF(AND(J51="4D2",OR(J53=3,J53=5,J53=7,J53=9),J55="AC"),LOOKUP(J83,T!$X33:$X50,T!$W33:$W50),IF(AND(J51="4D3",OR(J53=2,J53=4,J53=7,J53=8),J55="DC"),LOOKUP(J83,T!$AA56:$AA68,T!$U56:$U68),IF(AND(J51="4D3",OR(J53=2,J53=4),J55="AC"),LOOKUP(J83,T!$AA56:$AA68,T!$V56:$V68),IF(AND(J51="4D3",OR(J53=9,J53=10),J55="AC"),LOOKUP(J83,T!$AA56:$AA$68,T!$W56:$W68),IF(AND(J51="4D3",J53=6,J55="AC"),LOOKUP(J83,T!$AA56:$AA68,T!$X56:$X68),IF(AND(J51="4D3",OR(J53=3,J53=5),J55="AC"),LOOKUP(J83,T!$AA56:$AA68,T!$Y56:$Y68),IF(AND(J51="4D3",OR(J53=11,J53=12),J55="AC"),LOOKUP(J83,T!$AA56:$AA68,T!$Z56:$Z68),IF(AND(J51="4D4",OR(J53=2,J53=4,J53=6),J55="DC"),LOOKUP(J83,T!$X74:$X90,T!$U74:$U90),IF(AND(J51="4D4",OR(J53=2,J53=4,J53=6),J55="AC"),LOOKUP(J83,T!$X74:$X90,T!$V74:$V90),IF(AND(J51="4D4",OR(J53=3,J53=5,J53=7),J55="AC"),LOOKUP(J83,T!$X74:$X90,T!$W74:$W90),IF(AND(J51="4D5",AND(J53&gt;=2,J53&lt;=7)),LOOKUP(J83,T!$I96:$I102,T!$H96:$H102),0))))))))))))))))))))),IF(ISNUMBER(SEARCH("4E",J51)),IF(AND(J51="4E1",OR(J53=2,J53=4,J53=6,J53=8,J53=11),J55="DC"),LOOKUP(J83,T!$AC108:$AC129,T!$U108:$U129),IF(AND(J51="4E1",OR(J53=2,J53=4),J55="AC"),LOOKUP(J83,T!$AC108:$AC129,T!$V108:$V129),IF(AND(J51="4E1",OR(J53=6,J53=8),J55="AC"),LOOKUP(J83,T!$AC108:$AC129,T!$W108:$W129),IF(AND(J51="4E1",OR(J53=11,J53=12),J55="AC",J57=1),LOOKUP(J83,T!$AC108:$AC127,T!$X108:$X129),IF(AND(J51="4E1",OR(J53=3,J53=5),J55="AC"),LOOKUP(J83,T!$AC108:$AC129,T!$Y108:$Y129),IF(AND(J51="4E1",OR(J53=7,J53=10),J55="AC"),LOOKUP(J83,T!$AC108:$AC129,T!$Z108:$Z129),IF(AND(J51="4E1",J53=9,J55="AC"),LOOKUP(J83,T!$AC115:$AC129,T!$AA115:$AA129),IF(AND(J51="4E1",OR(J53=11,J53=12),J55="AC",J57=3),LOOKUP(J83,T!$AC115:$AC129,T!$AB115:$AB129),IF(AND(J51="4E2",OR(J53=2,J53=4,J53=6,J53=8),J55="DC"),LOOKUP(J83,T!$X134:$X152,T!$U134:$U152),IF(AND(J51="4E2",OR(J53=2,J53=4,J53=6,J53=8),J55="AC"),LOOKUP(J83,T!$X134:$X152,T!$V134:$V152),IF(AND(J51="4E2",OR(J53=3,J53=5,J53=7,J53=9),J55="AC"),LOOKUP(J83,T!$X134:$X152,T!$W134:$W152),IF(AND(J51="4E3",OR(J53=2,J53=4,J53=7,J53=8),J55="DC"),LOOKUP(J83,T!$AA158:$AA170,T!$U158:$U170),IF(AND(J51="4E3",OR(J53=2,J53=4),J55="AC"),LOOKUP(J83,T!$AA158:$AA170,T!$V158:$V170),IF(AND(J51="4E3",OR(J53=9,J53=10),J55="AC"),LOOKUP(J83,T!$AA158:$AA170,T!$W158:$W170),IF(AND(J51="4E3",J53=6,J55="AC"),LOOKUP(J83,T!$AA158:$AA170,T!$X158:$X170),IF(AND(J51="4E3",OR(J53=3,J53=5),J55="AC"),LOOKUP(J83,T!$AA158:$AA170,T!$Y158:$Y170),IF(AND(J51="4E3",OR(J53=11,J53=12),J55="AC"),LOOKUP(J83,T!$AA158:$AA170,T!$Z158:$Z170),IF(AND(J51="4E4",OR(J53=2,J53=4,J53=6),J55="DC"),LOOKUP(J83,T!$X176:$X192,T!$U176:$U192),IF(AND(J51="4E4",OR(J53=2,J53=4,J53=6),J55="AC"),LOOKUP(J83,T!$X176:$X192,T!$V176:$V192),IF(AND(J51="4E4",OR(J53=3,J53=5,J53=7),J55="AC"),LOOKUP(J83,T!$X176:$X192,T!$W176:$W192),0)))))))))))))))))))),IF(ISNUMBER(SEARCH("4F",J51)),IF(AND(J51="4F1",J53=2,J55="DC"),LOOKUP(J83,T!$Z198:$Z214,T!$U198:$U214),IF(AND(J51="4F1",J53=2,J55="AC"),LOOKUP(J83,T!$Z198:$Z214,T!$V198:$V214),IF(AND(J51="4F1",J53=3,J55="AC"),LOOKUP(J83,T!$Z198:$Z214,T!$W198:$W214),IF(AND(J51="4F1",J53=4,J55="DC"),LOOKUP(J83,T!$Z198:$Z214,T!$X198:$X214),IF(AND(J51="4F1",J53=4,J55="AC"),LOOKUP(J83,T!$Z198:$Z214,T!$Y198:$Y214),IF(AND(J51="4F2",J53=2,J55="DC"),LOOKUP(J83,T!$Y220:$Y236,T!$U220:$U236),IF(AND(J51="4F2",J53=2,J55="AC"),LOOKUP(J83,T!$Y220:$Y236,T!$V220:$V236),IF(AND(J51="4F2",J53=3,J55="AC"),LOOKUP(J83,T!$Y220:$Y236,T!$W220:$W236),IF(AND(J51="4F2",J53=4,J55="DC"),LOOKUP(J83,T!$Y220:$Y236,T!$X220:$X236),IF(AND(J51="4F3",J53=2),LOOKUP(J83,T!$W242:$W248,T!$U242:$U248),IF(AND(J51="4F3",J53=3,J55="AC"),LOOKUP(J83,T!$W242:$W248,T!$V242:$V248),0))))))))))),IF(ISNUMBER(SEARCH("4G",J51)),IF(AND(J51="4G1",OR(J53=2,J53=5)),LOOKUP(J83,T!$AA254:$AA269,T!$U254:$U269),IF(AND(J51="4G1",OR(J53=3,J53=6)),LOOKUP(J83,T!$AA254:$AA269,T!$X254:$X269),IF(AND(J51="4G1",OR(J53=4,J53=7)),LOOKUP(J83,T!$AA254:$AA269,T!$Y254:$Y269),IF(AND(J51="4G1",OR(J53=8,J53=9)),LOOKUP(J83,T!$AA254:$AA269,T!$Z254:$Z269),IF(AND(J51="4G2",OR(J53=2,J53=5)),LOOKUP(J83,T!$AA281:$AA296,T!$U281:$U296),IF(AND(J51="4G2",OR(J53=3,J53=6)),LOOKUP(J83,T!$AA281:$AA296,T!$X281:$X296),IF(AND(J51="4G2",OR(J53=4,J53=7)),LOOKUP(J83,T!$AA281:$AA296,T!$Y281:$Y296),IF(AND(J51="4G2",OR(J53=8,J53=9)),LOOKUP(J83,T!$AA281:$AA296,T!$Z281:$Z296),0)))))))),0)))))*J23*J69)/1000))</f>
        <v>14.322916666666668</v>
      </c>
      <c r="K97" s="159">
        <f>IF(K29="","",IF(OR(COUNT(K19:K21)=3,COUNT(K19:K21)=1),(IF(K29="",0,IF(ISNUMBER(SEARCH("4D",K51)),IF(AND(K51="4D1",OR(K53=2,K53=4,K53=6,K53=8,K53=11),K55="DC"),LOOKUP(K83,T!$AC6:$AC27,T!$U6:$U27),IF(AND(K51="4D1",OR(K53=2,K53=4),K55="AC"),LOOKUP(K83,T!$AC6:$AC27,T!$V6:$V27),IF(AND(K51="4D1",OR(K53=6,K53=8),K55="AC"),LOOKUP(K83,T!$AC6:$AC27,T!$W6:$W27),IF(AND(K51="4D1",OR(K53=11,K53=12),K55="AC",K57=1),LOOKUP(K83,T!$AC6:$AC27,T!$X6:$X27),IF(AND(K51="4D1",OR(K53=3,K53=5),K55="AC"),LOOKUP(K83,T!$AC6:$AC27,T!$Y6:$Y27),IF(AND(K51="4D1",OR(K53=7,K53=10),K55="AC"),LOOKUP(K83,T!$AC6:$AC27,T!$Z6:$Z27),IF(AND(K51="4D1",K53=9,K55="AC"),LOOKUP(K83,T!$AC6:$AC27,T!$AA6:$AA27),IF(AND(K51="4D1",OR(K53=11,K53=12),K55="AC",K57=3),LOOKUP(K83,T!$AC13:$AC27,T!$AB13:$AB27),IF(AND(K51="4D2",OR(K53=2,K53=4,K53=6,K53=8),K55="DC"),LOOKUP(K83,T!$X33:$X50,T!$U33:$U50),IF(AND(K51="4D2",OR(K53=2,K53=4,K53=6,K53=8),K55="AC"),LOOKUP(K83,T!$X33:$X50,T!$V33:$V50),IF(AND(K51="4D2",OR(K53=3,K53=5,K53=7,K53=9),K55="AC"),LOOKUP(K83,T!$X33:$X50,T!$W33:$W50),IF(AND(K51="4D3",OR(K53=2,K53=4,K53=7,K53=8),K55="DC"),LOOKUP(K83,T!$AA56:$AA68,T!$U56:$U68),IF(AND(K51="4D3",OR(K53=2,K53=4),K55="AC"),LOOKUP(K83,T!$AA56:$AA68,T!$V56:$V68),IF(AND(K51="4D3",OR(K53=9,K53=10),K55="AC"),LOOKUP(K83,T!$AA56:$AA$68,T!$W56:$W68),IF(AND(K51="4D3",K53=6,K55="AC"),LOOKUP(K83,T!$AA56:$AA68,T!$X56:$X68),IF(AND(K51="4D3",OR(K53=3,K53=5),K55="AC"),LOOKUP(K83,T!$AA56:$AA68,T!$Y56:$Y68),IF(AND(K51="4D3",OR(K53=11,K53=12),K55="AC"),LOOKUP(K83,T!$AA56:$AA68,T!$Z56:$Z68),IF(AND(K51="4D4",OR(K53=2,K53=4,K53=6),K55="DC"),LOOKUP(K83,T!$X74:$X90,T!$U74:$U90),IF(AND(K51="4D4",OR(K53=2,K53=4,K53=6),K55="AC"),LOOKUP(K83,T!$X74:$X90,T!$V74:$V90),IF(AND(K51="4D4",OR(K53=3,K53=5,K53=7),K55="AC"),LOOKUP(K83,T!$X74:$X90,T!$W74:$W90),IF(AND(K51="4D5",AND(K53&gt;=2,K53&lt;=7)),LOOKUP(K83,T!$I96:$I102,T!$H96:$H102),0))))))))))))))))))))),IF(ISNUMBER(SEARCH("4E",K51)),IF(AND(K51="4E1",OR(K53=2,K53=4,K53=6,K53=8,K53=11),K55="DC"),LOOKUP(K83,T!$AC108:$AC129,T!$U108:$U129),IF(AND(K51="4E1",OR(K53=2,K53=4),K55="AC"),LOOKUP(K83,T!$AC108:$AC129,T!$V108:$V129),IF(AND(K51="4E1",OR(K53=6,K53=8),K55="AC"),LOOKUP(K83,T!$AC108:$AC129,T!$W108:$W129),IF(AND(K51="4E1",OR(K53=11,K53=12),K55="AC",K57=1),LOOKUP(K83,T!$AC108:$AC127,T!$X108:$X129),IF(AND(K51="4E1",OR(K53=3,K53=5),K55="AC"),LOOKUP(K83,T!$AC108:$AC129,T!$Y108:$Y129),IF(AND(K51="4E1",OR(K53=7,K53=10),K55="AC"),LOOKUP(K83,T!$AC108:$AC129,T!$Z108:$Z129),IF(AND(K51="4E1",K53=9,K55="AC"),LOOKUP(K83,T!$AC115:$AC129,T!$AA115:$AA129),IF(AND(K51="4E1",OR(K53=11,K53=12),K55="AC",K57=3),LOOKUP(K83,T!$AC115:$AC129,T!$AB115:$AB129),IF(AND(K51="4E2",OR(K53=2,K53=4,K53=6,K53=8),K55="DC"),LOOKUP(K83,T!$X134:$X152,T!$U134:$U152),IF(AND(K51="4E2",OR(K53=2,K53=4,K53=6,K53=8),K55="AC"),LOOKUP(K83,T!$X134:$X152,T!$V134:$V152),IF(AND(K51="4E2",OR(K53=3,K53=5,K53=7,K53=9),K55="AC"),LOOKUP(K83,T!$X134:$X152,T!$W134:$W152),IF(AND(K51="4E3",OR(K53=2,K53=4,K53=7,K53=8),K55="DC"),LOOKUP(K83,T!$AA158:$AA170,T!$U158:$U170),IF(AND(K51="4E3",OR(K53=2,K53=4),K55="AC"),LOOKUP(K83,T!$AA158:$AA170,T!$V158:$V170),IF(AND(K51="4E3",OR(K53=9,K53=10),K55="AC"),LOOKUP(K83,T!$AA158:$AA170,T!$W158:$W170),IF(AND(K51="4E3",K53=6,K55="AC"),LOOKUP(K83,T!$AA158:$AA170,T!$X158:$X170),IF(AND(K51="4E3",OR(K53=3,K53=5),K55="AC"),LOOKUP(K83,T!$AA158:$AA170,T!$Y158:$Y170),IF(AND(K51="4E3",OR(K53=11,K53=12),K55="AC"),LOOKUP(K83,T!$AA158:$AA170,T!$Z158:$Z170),IF(AND(K51="4E4",OR(K53=2,K53=4,K53=6),K55="DC"),LOOKUP(K83,T!$X176:$X192,T!$U176:$U192),IF(AND(K51="4E4",OR(K53=2,K53=4,K53=6),K55="AC"),LOOKUP(K83,T!$X176:$X192,T!$V176:$V192),IF(AND(K51="4E4",OR(K53=3,K53=5,K53=7),K55="AC"),LOOKUP(K83,T!$X176:$X192,T!$W176:$W192),0)))))))))))))))))))),IF(ISNUMBER(SEARCH("4F",K51)),IF(AND(K51="4F1",K53=2,K55="DC"),LOOKUP(K83,T!$Z198:$Z214,T!$U198:$U214),IF(AND(K51="4F1",K53=2,K55="AC"),LOOKUP(K83,T!$Z198:$Z214,T!$V198:$V214),IF(AND(K51="4F1",K53=3,K55="AC"),LOOKUP(K83,T!$Z198:$Z214,T!$W198:$W214),IF(AND(K51="4F1",K53=4,K55="DC"),LOOKUP(K83,T!$Z198:$Z214,T!$X198:$X214),IF(AND(K51="4F1",K53=4,K55="AC"),LOOKUP(K83,T!$Z198:$Z214,T!$Y198:$Y214),IF(AND(K51="4F2",K53=2,K55="DC"),LOOKUP(K83,T!$Y220:$Y236,T!$U220:$U236),IF(AND(K51="4F2",K53=2,K55="AC"),LOOKUP(K83,T!$Y220:$Y236,T!$V220:$V236),IF(AND(K51="4F2",K53=3,K55="AC"),LOOKUP(K83,T!$Y220:$Y236,T!$W220:$W236),IF(AND(K51="4F2",K53=4,K55="DC"),LOOKUP(K83,T!$Y220:$Y236,T!$X220:$X236),IF(AND(K51="4F3",K53=2),LOOKUP(K83,T!$W242:$W248,T!$U242:$U248),IF(AND(K51="4F3",K53=3,K55="AC"),LOOKUP(K83,T!$W242:$W248,T!$V242:$V248),0))))))))))),IF(ISNUMBER(SEARCH("4G",K51)),IF(AND(K51="4G1",OR(K53=2,K53=5)),LOOKUP(K83,T!$AA254:$AA269,T!$U254:$U269),IF(AND(K51="4G1",OR(K53=3,K53=6)),LOOKUP(K83,T!$AA254:$AA269,T!$X254:$X269),IF(AND(K51="4G1",OR(K53=4,K53=7)),LOOKUP(K83,T!$AA254:$AA269,T!$Y254:$Y269),IF(AND(K51="4G1",OR(K53=8,K53=9)),LOOKUP(K83,T!$AA254:$AA269,T!$Z254:$Z269),IF(AND(K51="4G2",OR(K53=2,K53=5)),LOOKUP(K83,T!$AA281:$AA296,T!$U281:$U296),IF(AND(K51="4G2",OR(K53=3,K53=6)),LOOKUP(K83,T!$AA281:$AA296,T!$X281:$X296),IF(AND(K51="4G2",OR(K53=4,K53=7)),LOOKUP(K83,T!$AA281:$AA296,T!$Y281:$Y296),IF(AND(K51="4G2",OR(K53=8,K53=9)),LOOKUP(K83,T!$AA281:$AA296,T!$Z281:$Z296),0)))))))),0)))))*K23*K69)/1000))</f>
        <v>8.2997999999999994</v>
      </c>
      <c r="L97" s="159">
        <f>IF(L29="","",IF(OR(COUNT(L19:L21)=3,COUNT(L19:L21)=1),(IF(L29="",0,IF(ISNUMBER(SEARCH("4D",L51)),IF(AND(L51="4D1",OR(L53=2,L53=4,L53=6,L53=8,L53=11),L55="DC"),LOOKUP(L83,T!$AC6:$AC27,T!$U6:$U27),IF(AND(L51="4D1",OR(L53=2,L53=4),L55="AC"),LOOKUP(L83,T!$AC6:$AC27,T!$V6:$V27),IF(AND(L51="4D1",OR(L53=6,L53=8),L55="AC"),LOOKUP(L83,T!$AC6:$AC27,T!$W6:$W27),IF(AND(L51="4D1",OR(L53=11,L53=12),L55="AC",L57=1),LOOKUP(L83,T!$AC6:$AC27,T!$X6:$X27),IF(AND(L51="4D1",OR(L53=3,L53=5),L55="AC"),LOOKUP(L83,T!$AC6:$AC27,T!$Y6:$Y27),IF(AND(L51="4D1",OR(L53=7,L53=10),L55="AC"),LOOKUP(L83,T!$AC6:$AC27,T!$Z6:$Z27),IF(AND(L51="4D1",L53=9,L55="AC"),LOOKUP(L83,T!$AC6:$AC27,T!$AA6:$AA27),IF(AND(L51="4D1",OR(L53=11,L53=12),L55="AC",L57=3),LOOKUP(L83,T!$AC13:$AC27,T!$AB13:$AB27),IF(AND(L51="4D2",OR(L53=2,L53=4,L53=6,L53=8),L55="DC"),LOOKUP(L83,T!$X33:$X50,T!$U33:$U50),IF(AND(L51="4D2",OR(L53=2,L53=4,L53=6,L53=8),L55="AC"),LOOKUP(L83,T!$X33:$X50,T!$V33:$V50),IF(AND(L51="4D2",OR(L53=3,L53=5,L53=7,L53=9),L55="AC"),LOOKUP(L83,T!$X33:$X50,T!$W33:$W50),IF(AND(L51="4D3",OR(L53=2,L53=4,L53=7,L53=8),L55="DC"),LOOKUP(L83,T!$AA56:$AA68,T!$U56:$U68),IF(AND(L51="4D3",OR(L53=2,L53=4),L55="AC"),LOOKUP(L83,T!$AA56:$AA68,T!$V56:$V68),IF(AND(L51="4D3",OR(L53=9,L53=10),L55="AC"),LOOKUP(L83,T!$AA56:$AA$68,T!$W56:$W68),IF(AND(L51="4D3",L53=6,L55="AC"),LOOKUP(L83,T!$AA56:$AA68,T!$X56:$X68),IF(AND(L51="4D3",OR(L53=3,L53=5),L55="AC"),LOOKUP(L83,T!$AA56:$AA68,T!$Y56:$Y68),IF(AND(L51="4D3",OR(L53=11,L53=12),L55="AC"),LOOKUP(L83,T!$AA56:$AA68,T!$Z56:$Z68),IF(AND(L51="4D4",OR(L53=2,L53=4,L53=6),L55="DC"),LOOKUP(L83,T!$X74:$X90,T!$U74:$U90),IF(AND(L51="4D4",OR(L53=2,L53=4,L53=6),L55="AC"),LOOKUP(L83,T!$X74:$X90,T!$V74:$V90),IF(AND(L51="4D4",OR(L53=3,L53=5,L53=7),L55="AC"),LOOKUP(L83,T!$X74:$X90,T!$W74:$W90),IF(AND(L51="4D5",AND(L53&gt;=2,L53&lt;=7)),LOOKUP(L83,T!$I96:$I102,T!$H96:$H102),0))))))))))))))))))))),IF(ISNUMBER(SEARCH("4E",L51)),IF(AND(L51="4E1",OR(L53=2,L53=4,L53=6,L53=8,L53=11),L55="DC"),LOOKUP(L83,T!$AC108:$AC129,T!$U108:$U129),IF(AND(L51="4E1",OR(L53=2,L53=4),L55="AC"),LOOKUP(L83,T!$AC108:$AC129,T!$V108:$V129),IF(AND(L51="4E1",OR(L53=6,L53=8),L55="AC"),LOOKUP(L83,T!$AC108:$AC129,T!$W108:$W129),IF(AND(L51="4E1",OR(L53=11,L53=12),L55="AC",L57=1),LOOKUP(L83,T!$AC108:$AC127,T!$X108:$X129),IF(AND(L51="4E1",OR(L53=3,L53=5),L55="AC"),LOOKUP(L83,T!$AC108:$AC129,T!$Y108:$Y129),IF(AND(L51="4E1",OR(L53=7,L53=10),L55="AC"),LOOKUP(L83,T!$AC108:$AC129,T!$Z108:$Z129),IF(AND(L51="4E1",L53=9,L55="AC"),LOOKUP(L83,T!$AC115:$AC129,T!$AA115:$AA129),IF(AND(L51="4E1",OR(L53=11,L53=12),L55="AC",L57=3),LOOKUP(L83,T!$AC115:$AC129,T!$AB115:$AB129),IF(AND(L51="4E2",OR(L53=2,L53=4,L53=6,L53=8),L55="DC"),LOOKUP(L83,T!$X134:$X152,T!$U134:$U152),IF(AND(L51="4E2",OR(L53=2,L53=4,L53=6,L53=8),L55="AC"),LOOKUP(L83,T!$X134:$X152,T!$V134:$V152),IF(AND(L51="4E2",OR(L53=3,L53=5,L53=7,L53=9),L55="AC"),LOOKUP(L83,T!$X134:$X152,T!$W134:$W152),IF(AND(L51="4E3",OR(L53=2,L53=4,L53=7,L53=8),L55="DC"),LOOKUP(L83,T!$AA158:$AA170,T!$U158:$U170),IF(AND(L51="4E3",OR(L53=2,L53=4),L55="AC"),LOOKUP(L83,T!$AA158:$AA170,T!$V158:$V170),IF(AND(L51="4E3",OR(L53=9,L53=10),L55="AC"),LOOKUP(L83,T!$AA158:$AA170,T!$W158:$W170),IF(AND(L51="4E3",L53=6,L55="AC"),LOOKUP(L83,T!$AA158:$AA170,T!$X158:$X170),IF(AND(L51="4E3",OR(L53=3,L53=5),L55="AC"),LOOKUP(L83,T!$AA158:$AA170,T!$Y158:$Y170),IF(AND(L51="4E3",OR(L53=11,L53=12),L55="AC"),LOOKUP(L83,T!$AA158:$AA170,T!$Z158:$Z170),IF(AND(L51="4E4",OR(L53=2,L53=4,L53=6),L55="DC"),LOOKUP(L83,T!$X176:$X192,T!$U176:$U192),IF(AND(L51="4E4",OR(L53=2,L53=4,L53=6),L55="AC"),LOOKUP(L83,T!$X176:$X192,T!$V176:$V192),IF(AND(L51="4E4",OR(L53=3,L53=5,L53=7),L55="AC"),LOOKUP(L83,T!$X176:$X192,T!$W176:$W192),0)))))))))))))))))))),IF(ISNUMBER(SEARCH("4F",L51)),IF(AND(L51="4F1",L53=2,L55="DC"),LOOKUP(L83,T!$Z198:$Z214,T!$U198:$U214),IF(AND(L51="4F1",L53=2,L55="AC"),LOOKUP(L83,T!$Z198:$Z214,T!$V198:$V214),IF(AND(L51="4F1",L53=3,L55="AC"),LOOKUP(L83,T!$Z198:$Z214,T!$W198:$W214),IF(AND(L51="4F1",L53=4,L55="DC"),LOOKUP(L83,T!$Z198:$Z214,T!$X198:$X214),IF(AND(L51="4F1",L53=4,L55="AC"),LOOKUP(L83,T!$Z198:$Z214,T!$Y198:$Y214),IF(AND(L51="4F2",L53=2,L55="DC"),LOOKUP(L83,T!$Y220:$Y236,T!$U220:$U236),IF(AND(L51="4F2",L53=2,L55="AC"),LOOKUP(L83,T!$Y220:$Y236,T!$V220:$V236),IF(AND(L51="4F2",L53=3,L55="AC"),LOOKUP(L83,T!$Y220:$Y236,T!$W220:$W236),IF(AND(L51="4F2",L53=4,L55="DC"),LOOKUP(L83,T!$Y220:$Y236,T!$X220:$X236),IF(AND(L51="4F3",L53=2),LOOKUP(L83,T!$W242:$W248,T!$U242:$U248),IF(AND(L51="4F3",L53=3,L55="AC"),LOOKUP(L83,T!$W242:$W248,T!$V242:$V248),0))))))))))),IF(ISNUMBER(SEARCH("4G",L51)),IF(AND(L51="4G1",OR(L53=2,L53=5)),LOOKUP(L83,T!$AA254:$AA269,T!$U254:$U269),IF(AND(L51="4G1",OR(L53=3,L53=6)),LOOKUP(L83,T!$AA254:$AA269,T!$X254:$X269),IF(AND(L51="4G1",OR(L53=4,L53=7)),LOOKUP(L83,T!$AA254:$AA269,T!$Y254:$Y269),IF(AND(L51="4G1",OR(L53=8,L53=9)),LOOKUP(L83,T!$AA254:$AA269,T!$Z254:$Z269),IF(AND(L51="4G2",OR(L53=2,L53=5)),LOOKUP(L83,T!$AA281:$AA296,T!$U281:$U296),IF(AND(L51="4G2",OR(L53=3,L53=6)),LOOKUP(L83,T!$AA281:$AA296,T!$X281:$X296),IF(AND(L51="4G2",OR(L53=4,L53=7)),LOOKUP(L83,T!$AA281:$AA296,T!$Y281:$Y296),IF(AND(L51="4G2",OR(L53=8,L53=9)),LOOKUP(L83,T!$AA281:$AA296,T!$Z281:$Z296),0)))))))),0)))))*L23*L69)/1000))</f>
        <v>8.2997999999999994</v>
      </c>
      <c r="M97" s="159" t="str">
        <f>IF(M29="","",IF(OR(COUNT(M19:M21)=3,COUNT(M19:M21)=1),(IF(M29="",0,IF(ISNUMBER(SEARCH("4D",M51)),IF(AND(M51="4D1",OR(M53=2,M53=4,M53=6,M53=8,M53=11),M55="DC"),LOOKUP(M83,T!$AC6:$AC27,T!$U6:$U27),IF(AND(M51="4D1",OR(M53=2,M53=4),M55="AC"),LOOKUP(M83,T!$AC6:$AC27,T!$V6:$V27),IF(AND(M51="4D1",OR(M53=6,M53=8),M55="AC"),LOOKUP(M83,T!$AC6:$AC27,T!$W6:$W27),IF(AND(M51="4D1",OR(M53=11,M53=12),M55="AC",M57=1),LOOKUP(M83,T!$AC6:$AC27,T!$X6:$X27),IF(AND(M51="4D1",OR(M53=3,M53=5),M55="AC"),LOOKUP(M83,T!$AC6:$AC27,T!$Y6:$Y27),IF(AND(M51="4D1",OR(M53=7,M53=10),M55="AC"),LOOKUP(M83,T!$AC6:$AC27,T!$Z6:$Z27),IF(AND(M51="4D1",M53=9,M55="AC"),LOOKUP(M83,T!$AC6:$AC27,T!$AA6:$AA27),IF(AND(M51="4D1",OR(M53=11,M53=12),M55="AC",M57=3),LOOKUP(M83,T!$AC13:$AC27,T!$AB13:$AB27),IF(AND(M51="4D2",OR(M53=2,M53=4,M53=6,M53=8),M55="DC"),LOOKUP(M83,T!$X33:$X50,T!$U33:$U50),IF(AND(M51="4D2",OR(M53=2,M53=4,M53=6,M53=8),M55="AC"),LOOKUP(M83,T!$X33:$X50,T!$V33:$V50),IF(AND(M51="4D2",OR(M53=3,M53=5,M53=7,M53=9),M55="AC"),LOOKUP(M83,T!$X33:$X50,T!$W33:$W50),IF(AND(M51="4D3",OR(M53=2,M53=4,M53=7,M53=8),M55="DC"),LOOKUP(M83,T!$AA56:$AA68,T!$U56:$U68),IF(AND(M51="4D3",OR(M53=2,M53=4),M55="AC"),LOOKUP(M83,T!$AA56:$AA68,T!$V56:$V68),IF(AND(M51="4D3",OR(M53=9,M53=10),M55="AC"),LOOKUP(M83,T!$AA56:$AA$68,T!$W56:$W68),IF(AND(M51="4D3",M53=6,M55="AC"),LOOKUP(M83,T!$AA56:$AA68,T!$X56:$X68),IF(AND(M51="4D3",OR(M53=3,M53=5),M55="AC"),LOOKUP(M83,T!$AA56:$AA68,T!$Y56:$Y68),IF(AND(M51="4D3",OR(M53=11,M53=12),M55="AC"),LOOKUP(M83,T!$AA56:$AA68,T!$Z56:$Z68),IF(AND(M51="4D4",OR(M53=2,M53=4,M53=6),M55="DC"),LOOKUP(M83,T!$X74:$X90,T!$U74:$U90),IF(AND(M51="4D4",OR(M53=2,M53=4,M53=6),M55="AC"),LOOKUP(M83,T!$X74:$X90,T!$V74:$V90),IF(AND(M51="4D4",OR(M53=3,M53=5,M53=7),M55="AC"),LOOKUP(M83,T!$X74:$X90,T!$W74:$W90),IF(AND(M51="4D5",AND(M53&gt;=2,M53&lt;=7)),LOOKUP(M83,T!$I96:$I102,T!$H96:$H102),0))))))))))))))))))))),IF(ISNUMBER(SEARCH("4E",M51)),IF(AND(M51="4E1",OR(M53=2,M53=4,M53=6,M53=8,M53=11),M55="DC"),LOOKUP(M83,T!$AC108:$AC129,T!$U108:$U129),IF(AND(M51="4E1",OR(M53=2,M53=4),M55="AC"),LOOKUP(M83,T!$AC108:$AC129,T!$V108:$V129),IF(AND(M51="4E1",OR(M53=6,M53=8),M55="AC"),LOOKUP(M83,T!$AC108:$AC129,T!$W108:$W129),IF(AND(M51="4E1",OR(M53=11,M53=12),M55="AC",M57=1),LOOKUP(M83,T!$AC108:$AC127,T!$X108:$X129),IF(AND(M51="4E1",OR(M53=3,M53=5),M55="AC"),LOOKUP(M83,T!$AC108:$AC129,T!$Y108:$Y129),IF(AND(M51="4E1",OR(M53=7,M53=10),M55="AC"),LOOKUP(M83,T!$AC108:$AC129,T!$Z108:$Z129),IF(AND(M51="4E1",M53=9,M55="AC"),LOOKUP(M83,T!$AC115:$AC129,T!$AA115:$AA129),IF(AND(M51="4E1",OR(M53=11,M53=12),M55="AC",M57=3),LOOKUP(M83,T!$AC115:$AC129,T!$AB115:$AB129),IF(AND(M51="4E2",OR(M53=2,M53=4,M53=6,M53=8),M55="DC"),LOOKUP(M83,T!$X134:$X152,T!$U134:$U152),IF(AND(M51="4E2",OR(M53=2,M53=4,M53=6,M53=8),M55="AC"),LOOKUP(M83,T!$X134:$X152,T!$V134:$V152),IF(AND(M51="4E2",OR(M53=3,M53=5,M53=7,M53=9),M55="AC"),LOOKUP(M83,T!$X134:$X152,T!$W134:$W152),IF(AND(M51="4E3",OR(M53=2,M53=4,M53=7,M53=8),M55="DC"),LOOKUP(M83,T!$AA158:$AA170,T!$U158:$U170),IF(AND(M51="4E3",OR(M53=2,M53=4),M55="AC"),LOOKUP(M83,T!$AA158:$AA170,T!$V158:$V170),IF(AND(M51="4E3",OR(M53=9,M53=10),M55="AC"),LOOKUP(M83,T!$AA158:$AA170,T!$W158:$W170),IF(AND(M51="4E3",M53=6,M55="AC"),LOOKUP(M83,T!$AA158:$AA170,T!$X158:$X170),IF(AND(M51="4E3",OR(M53=3,M53=5),M55="AC"),LOOKUP(M83,T!$AA158:$AA170,T!$Y158:$Y170),IF(AND(M51="4E3",OR(M53=11,M53=12),M55="AC"),LOOKUP(M83,T!$AA158:$AA170,T!$Z158:$Z170),IF(AND(M51="4E4",OR(M53=2,M53=4,M53=6),M55="DC"),LOOKUP(M83,T!$X176:$X192,T!$U176:$U192),IF(AND(M51="4E4",OR(M53=2,M53=4,M53=6),M55="AC"),LOOKUP(M83,T!$X176:$X192,T!$V176:$V192),IF(AND(M51="4E4",OR(M53=3,M53=5,M53=7),M55="AC"),LOOKUP(M83,T!$X176:$X192,T!$W176:$W192),0)))))))))))))))))))),IF(ISNUMBER(SEARCH("4F",M51)),IF(AND(M51="4F1",M53=2,M55="DC"),LOOKUP(M83,T!$Z198:$Z214,T!$U198:$U214),IF(AND(M51="4F1",M53=2,M55="AC"),LOOKUP(M83,T!$Z198:$Z214,T!$V198:$V214),IF(AND(M51="4F1",M53=3,M55="AC"),LOOKUP(M83,T!$Z198:$Z214,T!$W198:$W214),IF(AND(M51="4F1",M53=4,M55="DC"),LOOKUP(M83,T!$Z198:$Z214,T!$X198:$X214),IF(AND(M51="4F1",M53=4,M55="AC"),LOOKUP(M83,T!$Z198:$Z214,T!$Y198:$Y214),IF(AND(M51="4F2",M53=2,M55="DC"),LOOKUP(M83,T!$Y220:$Y236,T!$U220:$U236),IF(AND(M51="4F2",M53=2,M55="AC"),LOOKUP(M83,T!$Y220:$Y236,T!$V220:$V236),IF(AND(M51="4F2",M53=3,M55="AC"),LOOKUP(M83,T!$Y220:$Y236,T!$W220:$W236),IF(AND(M51="4F2",M53=4,M55="DC"),LOOKUP(M83,T!$Y220:$Y236,T!$X220:$X236),IF(AND(M51="4F3",M53=2),LOOKUP(M83,T!$W242:$W248,T!$U242:$U248),IF(AND(M51="4F3",M53=3,M55="AC"),LOOKUP(M83,T!$W242:$W248,T!$V242:$V248),0))))))))))),IF(ISNUMBER(SEARCH("4G",M51)),IF(AND(M51="4G1",OR(M53=2,M53=5)),LOOKUP(M83,T!$AA254:$AA269,T!$U254:$U269),IF(AND(M51="4G1",OR(M53=3,M53=6)),LOOKUP(M83,T!$AA254:$AA269,T!$X254:$X269),IF(AND(M51="4G1",OR(M53=4,M53=7)),LOOKUP(M83,T!$AA254:$AA269,T!$Y254:$Y269),IF(AND(M51="4G1",OR(M53=8,M53=9)),LOOKUP(M83,T!$AA254:$AA269,T!$Z254:$Z269),IF(AND(M51="4G2",OR(M53=2,M53=5)),LOOKUP(M83,T!$AA281:$AA296,T!$U281:$U296),IF(AND(M51="4G2",OR(M53=3,M53=6)),LOOKUP(M83,T!$AA281:$AA296,T!$X281:$X296),IF(AND(M51="4G2",OR(M53=4,M53=7)),LOOKUP(M83,T!$AA281:$AA296,T!$Y281:$Y296),IF(AND(M51="4G2",OR(M53=8,M53=9)),LOOKUP(M83,T!$AA281:$AA296,T!$Z281:$Z296),0)))))))),0)))))*M23*M69)/1000))</f>
        <v/>
      </c>
      <c r="N97" s="159">
        <f>IF(N29="","",IF(OR(COUNT(N19:N21)=3,COUNT(N19:N21)=1),(IF(N29="",0,IF(ISNUMBER(SEARCH("4D",N51)),IF(AND(N51="4D1",OR(N53=2,N53=4,N53=6,N53=8,N53=11),N55="DC"),LOOKUP(N83,T!$AC6:$AC27,T!$U6:$U27),IF(AND(N51="4D1",OR(N53=2,N53=4),N55="AC"),LOOKUP(N83,T!$AC6:$AC27,T!$V6:$V27),IF(AND(N51="4D1",OR(N53=6,N53=8),N55="AC"),LOOKUP(N83,T!$AC6:$AC27,T!$W6:$W27),IF(AND(N51="4D1",OR(N53=11,N53=12),N55="AC",N57=1),LOOKUP(N83,T!$AC6:$AC27,T!$X6:$X27),IF(AND(N51="4D1",OR(N53=3,N53=5),N55="AC"),LOOKUP(N83,T!$AC6:$AC27,T!$Y6:$Y27),IF(AND(N51="4D1",OR(N53=7,N53=10),N55="AC"),LOOKUP(N83,T!$AC6:$AC27,T!$Z6:$Z27),IF(AND(N51="4D1",N53=9,N55="AC"),LOOKUP(N83,T!$AC6:$AC27,T!$AA6:$AA27),IF(AND(N51="4D1",OR(N53=11,N53=12),N55="AC",N57=3),LOOKUP(N83,T!$AC13:$AC27,T!$AB13:$AB27),IF(AND(N51="4D2",OR(N53=2,N53=4,N53=6,N53=8),N55="DC"),LOOKUP(N83,T!$X33:$X50,T!$U33:$U50),IF(AND(N51="4D2",OR(N53=2,N53=4,N53=6,N53=8),N55="AC"),LOOKUP(N83,T!$X33:$X50,T!$V33:$V50),IF(AND(N51="4D2",OR(N53=3,N53=5,N53=7,N53=9),N55="AC"),LOOKUP(N83,T!$X33:$X50,T!$W33:$W50),IF(AND(N51="4D3",OR(N53=2,N53=4,N53=7,N53=8),N55="DC"),LOOKUP(N83,T!$AA56:$AA68,T!$U56:$U68),IF(AND(N51="4D3",OR(N53=2,N53=4),N55="AC"),LOOKUP(N83,T!$AA56:$AA68,T!$V56:$V68),IF(AND(N51="4D3",OR(N53=9,N53=10),N55="AC"),LOOKUP(N83,T!$AA56:$AA$68,T!$W56:$W68),IF(AND(N51="4D3",N53=6,N55="AC"),LOOKUP(N83,T!$AA56:$AA68,T!$X56:$X68),IF(AND(N51="4D3",OR(N53=3,N53=5),N55="AC"),LOOKUP(N83,T!$AA56:$AA68,T!$Y56:$Y68),IF(AND(N51="4D3",OR(N53=11,N53=12),N55="AC"),LOOKUP(N83,T!$AA56:$AA68,T!$Z56:$Z68),IF(AND(N51="4D4",OR(N53=2,N53=4,N53=6),N55="DC"),LOOKUP(N83,T!$X74:$X90,T!$U74:$U90),IF(AND(N51="4D4",OR(N53=2,N53=4,N53=6),N55="AC"),LOOKUP(N83,T!$X74:$X90,T!$V74:$V90),IF(AND(N51="4D4",OR(N53=3,N53=5,N53=7),N55="AC"),LOOKUP(N83,T!$X74:$X90,T!$W74:$W90),IF(AND(N51="4D5",AND(N53&gt;=2,N53&lt;=7)),LOOKUP(N83,T!$I96:$I102,T!$H96:$H102),0))))))))))))))))))))),IF(ISNUMBER(SEARCH("4E",N51)),IF(AND(N51="4E1",OR(N53=2,N53=4,N53=6,N53=8,N53=11),N55="DC"),LOOKUP(N83,T!$AC108:$AC129,T!$U108:$U129),IF(AND(N51="4E1",OR(N53=2,N53=4),N55="AC"),LOOKUP(N83,T!$AC108:$AC129,T!$V108:$V129),IF(AND(N51="4E1",OR(N53=6,N53=8),N55="AC"),LOOKUP(N83,T!$AC108:$AC129,T!$W108:$W129),IF(AND(N51="4E1",OR(N53=11,N53=12),N55="AC",N57=1),LOOKUP(N83,T!$AC108:$AC127,T!$X108:$X129),IF(AND(N51="4E1",OR(N53=3,N53=5),N55="AC"),LOOKUP(N83,T!$AC108:$AC129,T!$Y108:$Y129),IF(AND(N51="4E1",OR(N53=7,N53=10),N55="AC"),LOOKUP(N83,T!$AC108:$AC129,T!$Z108:$Z129),IF(AND(N51="4E1",N53=9,N55="AC"),LOOKUP(N83,T!$AC115:$AC129,T!$AA115:$AA129),IF(AND(N51="4E1",OR(N53=11,N53=12),N55="AC",N57=3),LOOKUP(N83,T!$AC115:$AC129,T!$AB115:$AB129),IF(AND(N51="4E2",OR(N53=2,N53=4,N53=6,N53=8),N55="DC"),LOOKUP(N83,T!$X134:$X152,T!$U134:$U152),IF(AND(N51="4E2",OR(N53=2,N53=4,N53=6,N53=8),N55="AC"),LOOKUP(N83,T!$X134:$X152,T!$V134:$V152),IF(AND(N51="4E2",OR(N53=3,N53=5,N53=7,N53=9),N55="AC"),LOOKUP(N83,T!$X134:$X152,T!$W134:$W152),IF(AND(N51="4E3",OR(N53=2,N53=4,N53=7,N53=8),N55="DC"),LOOKUP(N83,T!$AA158:$AA170,T!$U158:$U170),IF(AND(N51="4E3",OR(N53=2,N53=4),N55="AC"),LOOKUP(N83,T!$AA158:$AA170,T!$V158:$V170),IF(AND(N51="4E3",OR(N53=9,N53=10),N55="AC"),LOOKUP(N83,T!$AA158:$AA170,T!$W158:$W170),IF(AND(N51="4E3",N53=6,N55="AC"),LOOKUP(N83,T!$AA158:$AA170,T!$X158:$X170),IF(AND(N51="4E3",OR(N53=3,N53=5),N55="AC"),LOOKUP(N83,T!$AA158:$AA170,T!$Y158:$Y170),IF(AND(N51="4E3",OR(N53=11,N53=12),N55="AC"),LOOKUP(N83,T!$AA158:$AA170,T!$Z158:$Z170),IF(AND(N51="4E4",OR(N53=2,N53=4,N53=6),N55="DC"),LOOKUP(N83,T!$X176:$X192,T!$U176:$U192),IF(AND(N51="4E4",OR(N53=2,N53=4,N53=6),N55="AC"),LOOKUP(N83,T!$X176:$X192,T!$V176:$V192),IF(AND(N51="4E4",OR(N53=3,N53=5,N53=7),N55="AC"),LOOKUP(N83,T!$X176:$X192,T!$W176:$W192),0)))))))))))))))))))),IF(ISNUMBER(SEARCH("4F",N51)),IF(AND(N51="4F1",N53=2,N55="DC"),LOOKUP(N83,T!$Z198:$Z214,T!$U198:$U214),IF(AND(N51="4F1",N53=2,N55="AC"),LOOKUP(N83,T!$Z198:$Z214,T!$V198:$V214),IF(AND(N51="4F1",N53=3,N55="AC"),LOOKUP(N83,T!$Z198:$Z214,T!$W198:$W214),IF(AND(N51="4F1",N53=4,N55="DC"),LOOKUP(N83,T!$Z198:$Z214,T!$X198:$X214),IF(AND(N51="4F1",N53=4,N55="AC"),LOOKUP(N83,T!$Z198:$Z214,T!$Y198:$Y214),IF(AND(N51="4F2",N53=2,N55="DC"),LOOKUP(N83,T!$Y220:$Y236,T!$U220:$U236),IF(AND(N51="4F2",N53=2,N55="AC"),LOOKUP(N83,T!$Y220:$Y236,T!$V220:$V236),IF(AND(N51="4F2",N53=3,N55="AC"),LOOKUP(N83,T!$Y220:$Y236,T!$W220:$W236),IF(AND(N51="4F2",N53=4,N55="DC"),LOOKUP(N83,T!$Y220:$Y236,T!$X220:$X236),IF(AND(N51="4F3",N53=2),LOOKUP(N83,T!$W242:$W248,T!$U242:$U248),IF(AND(N51="4F3",N53=3,N55="AC"),LOOKUP(N83,T!$W242:$W248,T!$V242:$V248),0))))))))))),IF(ISNUMBER(SEARCH("4G",N51)),IF(AND(N51="4G1",OR(N53=2,N53=5)),LOOKUP(N83,T!$AA254:$AA269,T!$U254:$U269),IF(AND(N51="4G1",OR(N53=3,N53=6)),LOOKUP(N83,T!$AA254:$AA269,T!$X254:$X269),IF(AND(N51="4G1",OR(N53=4,N53=7)),LOOKUP(N83,T!$AA254:$AA269,T!$Y254:$Y269),IF(AND(N51="4G1",OR(N53=8,N53=9)),LOOKUP(N83,T!$AA254:$AA269,T!$Z254:$Z269),IF(AND(N51="4G2",OR(N53=2,N53=5)),LOOKUP(N83,T!$AA281:$AA296,T!$U281:$U296),IF(AND(N51="4G2",OR(N53=3,N53=6)),LOOKUP(N83,T!$AA281:$AA296,T!$X281:$X296),IF(AND(N51="4G2",OR(N53=4,N53=7)),LOOKUP(N83,T!$AA281:$AA296,T!$Y281:$Y296),IF(AND(N51="4G2",OR(N53=8,N53=9)),LOOKUP(N83,T!$AA281:$AA296,T!$Z281:$Z296),0)))))))),0)))))*N23*N69)/1000))</f>
        <v>5.0083396845365131</v>
      </c>
      <c r="O97" s="143" t="str">
        <f t="shared" si="23"/>
        <v>mV/A/m</v>
      </c>
    </row>
    <row r="98" spans="1:58" s="168" customFormat="1" ht="17">
      <c r="A98" s="188" t="s">
        <v>2124</v>
      </c>
      <c r="B98" s="395"/>
      <c r="C98" s="392"/>
      <c r="D98" s="158">
        <f>IF(D29="","",IF(OR(COUNT(D19:D21)=3,COUNT(D19:D21)=1),(IF(D29="",0,IF(ISNUMBER(SEARCH("4H",D51)),IF(AND(D51="4H1",OR(D53=2,D53=4,D53=6,D53=8,D53=11),D55="DC"),LOOKUP(D80,T!$AC308:$AC321,T!$U308:$U321),IF(AND(D51="4H1",OR(D53=2,D53=4),D55="AC"),LOOKUP(D80,T!$AC308:$AC321,T!$V308:$V321),IF(AND(D51="4H1",OR(D53=6,D53=8),D55="AC"),LOOKUP(D80,T!$AC308:$AC321,T!$W308:$W321),IF(AND(D51="4H1",OR(D53=11,D53=12),D55="AC",D57=1),LOOKUP(D80,T!$AC308:$AC321,T!$X308:$X321),IF(AND(D51="4H1",OR(D53=3,D53=5),D55="AC"),LOOKUP(D80,T!$AC308:$AC321,T!$Y308:$Y321),IF(AND(D51="4H1",OR(D53=7,D53=10),D55="AC"),LOOKUP(D80,T!$AC308:$AC321,T!$Z308:$Z321),IF(AND(D51="4H1",D53=9,D55="AC"),LOOKUP(D80,T!$AC308:$AC321,T!$AA308:$AA321),IF(AND(D51="4H1",OR(D53=11,D53=12),D55="AC",D57=3),LOOKUP(D80,T!$AC308:$AC321,T!$AB308:$AB321),IF(AND(D51="4H2",OR(D53=2,D53=4,D53=6,D53=8),D55="DC"),LOOKUP(D80,T!$X327:$X337,T!$U327:$U337),IF(AND(D51="4H2",OR(D53=2,D53=4,D53=6,D53=8),D55="AC"),LOOKUP(D80,T!$X327:$X337,T!$V327:$V337),IF(AND(D51="4H2",OR(D53=3,D53=5,D53=7,D53=9),D55="AC"),LOOKUP(D80,T!$X327:$X337,T!$W327:$W337),IF(AND(D51="4H3",OR(D53=2,D53=4,D53=7,D53=8),D55="DC"),LOOKUP(D80,T!$AA343:$AA356,T!$U343:$U356),IF(AND(D51="4H3",OR(D53=2,D53=4),D55="AC"),LOOKUP(D80,T!$AA343:$AA356,T!$V343:$V356),IF(AND(D51="4H3",OR(D53=9,D53=10),D55="AC"),LOOKUP(D80,T!$AA343:$AA$356,T!$W343:$W356),IF(AND(D51="4H3",D53=6,D55="AC"),LOOKUP(D80,T!$AA343:$AA356,T!$X343:$X356),IF(AND(D51="4H3",OR(D53=3,D53=5),D55="AC"),LOOKUP(D80,T!$AA343:$AA356,T!$Y343:$Y356),IF(AND(D51="4H3",OR(D53=11,D53=12),D55="AC"),LOOKUP(D80,T!$AA343:$AA356,T!$Z343:$Z356),IF(AND(D51="4H4",OR(D53=2,D53=4,D53=6),D55="DC"),LOOKUP(D80,T!$X362:$X372,T!$U362:$U372),IF(AND(D51="4H4",OR(D53=2,D53=4,D53=6),D55="AC"),LOOKUP(D80,T!$X362:$X372,T!$V362:$V372),IF(AND(D51="4H4",OR(D53=3,D53=5,D53=7),D55="AC"),LOOKUP(D80,T!$X362:$X372,T!$W362:$W372),0)))))))))))))))))))),IF(ISNUMBER(SEARCH("4J",D51)),IF(AND(D51="4J1",OR(D53=2,D53=4,D53=6,D53=8,D53=11),D55="DC"),LOOKUP(D80,T!$AC378:$AC391,T!$U378:$U391),IF(AND(D51="4J1",OR(D53=2,D53=4),D55="AC"),LOOKUP(D80,T!$AC378:$AC391,T!$V378:$V391),IF(AND(D51="4J1",OR(D53=6,D53=8),D55="AC"),LOOKUP(D80,T!$AC378:$AC391,T!$W378:$W391),IF(AND(D51="4J1",OR(D53=11,D53=12),D55="AC",D57=1),LOOKUP(D80,T!$AC378:$AC391,T!$X378:$X391),IF(AND(D51="4J1",OR(D53=3,D53=5),D55="AC"),LOOKUP(D80,T!$AC378:$AC391,T!$Y378:$Y391),IF(AND(D51="4J1",OR(D53=7,D53=10),D55="AC"),LOOKUP(D80,T!$AC378:$AC391,T!$Z378:$Z391),IF(AND(D51="4J1",D53=9,D55="AC"),LOOKUP(D80,T!$AC378:$AC391,T!$AA378:$AA391),IF(AND(D51="4J1",OR(D53=11,D53=12),D55="AC",D57=3),LOOKUP(D80,T!$AC378:$AC391,T!$AB378:$AB391),IF(AND(D51="4J2",OR(D53=2,D53=4,D53=6,D53=8),D55="DC"),LOOKUP(D80,T!$X397:$X407,T!$U397:$U407),IF(AND(D51="4J2",OR(D53=2,D53=4,D53=6,D53=8),D55="AC"),LOOKUP(D80,T!$X397:$X407,T!$V397:$V407),IF(AND(D51="4J2",OR(D53=3,D53=5,D53=7,D53=9),D55="AC"),LOOKUP(D80,T!$X397:$X407,T!$W397:$W407),IF(AND(D51="4J3",OR(D53=2,D53=4,D53=7,D53=8),D55="DC"),LOOKUP(D80,T!$AA413:$AA426,T!$U413:$U426),IF(AND(D51="4J3",OR(D53=2,D53=4),D55="AC"),LOOKUP(D80,T!$AA413:$AA426,T!$V413:$V426),IF(AND(D51="4J3",OR(D53=9,D53=10),D55="AC"),LOOKUP(D80,T!$AA413:$AA426,T!$W413:$W426),IF(AND(D51="4J3",D53=6,D55="AC"),LOOKUP(D80,T!$AA413:$AA426,T!$X413:$X426),IF(AND(D51="4J3",OR(D53=3,D53=5),D55="AC"),LOOKUP(D80,T!$AA413:$AA426,T!$Y413:$Y426),IF(AND(D51="4J3",OR(D53=11,D53=12),D55="AC"),LOOKUP(D80,T!$AA413:$AA426,T!$Z413:$Z426),IF(AND(D51="4J4",OR(D53=2,D53=4,D53=6),D55="DC"),LOOKUP(D80,T!$X432:$X442,T!$U432:$U442),IF(AND(D51="4J4",OR(D53=2,D53=4,D53=6),D55="AC"),LOOKUP(D80,T!$X432:$X442,T!$V432:$V442),IF(AND(D51="4J4",OR(D53=3,D53=5,D53=7),D55="AC"),LOOKUP(D80,T!$X432:$X442,T!$W432:$W442),0)))))))))))))))))))),0)))*D23*D69)/1000))</f>
        <v>0</v>
      </c>
      <c r="E98" s="158">
        <f ca="1">IF(E29="","",IF(OR(COUNT(E19:E21)=3,COUNT(E19:E21)=1),(IF(E29="",0,IF(ISNUMBER(SEARCH("4H",E51)),IF(AND(E51="4H1",OR(E53=2,E53=4,E53=6,E53=8,E53=11),E55="DC"),LOOKUP(E80,T!$AC308:$AC321,T!$U308:$U321),IF(AND(E51="4H1",OR(E53=2,E53=4),E55="AC"),LOOKUP(E80,T!$AC308:$AC321,T!$V308:$V321),IF(AND(E51="4H1",OR(E53=6,E53=8),E55="AC"),LOOKUP(E80,T!$AC308:$AC321,T!$W308:$W321),IF(AND(E51="4H1",OR(E53=11,E53=12),E55="AC",E57=1),LOOKUP(E80,T!$AC308:$AC321,T!$X308:$X321),IF(AND(E51="4H1",OR(E53=3,E53=5),E55="AC"),LOOKUP(E80,T!$AC308:$AC321,T!$Y308:$Y321),IF(AND(E51="4H1",OR(E53=7,E53=10),E55="AC"),LOOKUP(E80,T!$AC308:$AC321,T!$Z308:$Z321),IF(AND(E51="4H1",E53=9,E55="AC"),LOOKUP(E80,T!$AC308:$AC321,T!$AA308:$AA321),IF(AND(E51="4H1",OR(E53=11,E53=12),E55="AC",E57=3),LOOKUP(E80,T!$AC308:$AC321,T!$AB308:$AB321),IF(AND(E51="4H2",OR(E53=2,E53=4,E53=6,E53=8),E55="DC"),LOOKUP(E80,T!$X327:$X337,T!$U327:$U337),IF(AND(E51="4H2",OR(E53=2,E53=4,E53=6,E53=8),E55="AC"),LOOKUP(E80,T!$X327:$X337,T!$V327:$V337),IF(AND(E51="4H2",OR(E53=3,E53=5,E53=7,E53=9),E55="AC"),LOOKUP(E80,T!$X327:$X337,T!$W327:$W337),IF(AND(E51="4H3",OR(E53=2,E53=4,E53=7,E53=8),E55="DC"),LOOKUP(E80,T!$AA343:$AA356,T!$U343:$U356),IF(AND(E51="4H3",OR(E53=2,E53=4),E55="AC"),LOOKUP(E80,T!$AA343:$AA356,T!$V343:$V356),IF(AND(E51="4H3",OR(E53=9,E53=10),E55="AC"),LOOKUP(E80,T!$AA343:$AA$356,T!$W343:$W356),IF(AND(E51="4H3",E53=6,E55="AC"),LOOKUP(E80,T!$AA343:$AA356,T!$X343:$X356),IF(AND(E51="4H3",OR(E53=3,E53=5),E55="AC"),LOOKUP(E80,T!$AA343:$AA356,T!$Y343:$Y356),IF(AND(E51="4H3",OR(E53=11,E53=12),E55="AC"),LOOKUP(E80,T!$AA343:$AA356,T!$Z343:$Z356),IF(AND(E51="4H4",OR(E53=2,E53=4,E53=6),E55="DC"),LOOKUP(E80,T!$X362:$X372,T!$U362:$U372),IF(AND(E51="4H4",OR(E53=2,E53=4,E53=6),E55="AC"),LOOKUP(E80,T!$X362:$X372,T!$V362:$V372),IF(AND(E51="4H4",OR(E53=3,E53=5,E53=7),E55="AC"),LOOKUP(E80,T!$X362:$X372,T!$W362:$W372),0)))))))))))))))))))),IF(ISNUMBER(SEARCH("4J",E51)),IF(AND(E51="4J1",OR(E53=2,E53=4,E53=6,E53=8,E53=11),E55="DC"),LOOKUP(E80,T!$AC378:$AC391,T!$U378:$U391),IF(AND(E51="4J1",OR(E53=2,E53=4),E55="AC"),LOOKUP(E80,T!$AC378:$AC391,T!$V378:$V391),IF(AND(E51="4J1",OR(E53=6,E53=8),E55="AC"),LOOKUP(E80,T!$AC378:$AC391,T!$W378:$W391),IF(AND(E51="4J1",OR(E53=11,E53=12),E55="AC",E57=1),LOOKUP(E80,T!$AC378:$AC391,T!$X378:$X391),IF(AND(E51="4J1",OR(E53=3,E53=5),E55="AC"),LOOKUP(E80,T!$AC378:$AC391,T!$Y378:$Y391),IF(AND(E51="4J1",OR(E53=7,E53=10),E55="AC"),LOOKUP(E80,T!$AC378:$AC391,T!$Z378:$Z391),IF(AND(E51="4J1",E53=9,E55="AC"),LOOKUP(E80,T!$AC378:$AC391,T!$AA378:$AA391),IF(AND(E51="4J1",OR(E53=11,E53=12),E55="AC",E57=3),LOOKUP(E80,T!$AC378:$AC391,T!$AB378:$AB391),IF(AND(E51="4J2",OR(E53=2,E53=4,E53=6,E53=8),E55="DC"),LOOKUP(E80,T!$X397:$X407,T!$U397:$U407),IF(AND(E51="4J2",OR(E53=2,E53=4,E53=6,E53=8),E55="AC"),LOOKUP(E80,T!$X397:$X407,T!$V397:$V407),IF(AND(E51="4J2",OR(E53=3,E53=5,E53=7,E53=9),E55="AC"),LOOKUP(E80,T!$X397:$X407,T!$W397:$W407),IF(AND(E51="4J3",OR(E53=2,E53=4,E53=7,E53=8),E55="DC"),LOOKUP(E80,T!$AA413:$AA426,T!$U413:$U426),IF(AND(E51="4J3",OR(E53=2,E53=4),E55="AC"),LOOKUP(E80,T!$AA413:$AA426,T!$V413:$V426),IF(AND(E51="4J3",OR(E53=9,E53=10),E55="AC"),LOOKUP(E80,T!$AA413:$AA426,T!$W413:$W426),IF(AND(E51="4J3",E53=6,E55="AC"),LOOKUP(E80,T!$AA413:$AA426,T!$X413:$X426),IF(AND(E51="4J3",OR(E53=3,E53=5),E55="AC"),LOOKUP(E80,T!$AA413:$AA426,T!$Y413:$Y426),IF(AND(E51="4J3",OR(E53=11,E53=12),E55="AC"),LOOKUP(E80,T!$AA413:$AA426,T!$Z413:$Z426),IF(AND(E51="4J4",OR(E53=2,E53=4,E53=6),E55="DC"),LOOKUP(E80,T!$X432:$X442,T!$U432:$U442),IF(AND(E51="4J4",OR(E53=2,E53=4,E53=6),E55="AC"),LOOKUP(E80,T!$X432:$X442,T!$V432:$V442),IF(AND(E51="4J4",OR(E53=3,E53=5,E53=7),E55="AC"),LOOKUP(E80,T!$X432:$X442,T!$W432:$W442),0)))))))))))))))))))),0)))*E23*E69)/1000))</f>
        <v>0</v>
      </c>
      <c r="F98" s="158">
        <f ca="1">IF(F29="","",IF(OR(COUNT(F19:F21)=3,COUNT(F19:F21)=1),(IF(F29="",0,IF(ISNUMBER(SEARCH("4H",F51)),IF(AND(F51="4H1",OR(F53=2,F53=4,F53=6,F53=8,F53=11),F55="DC"),LOOKUP(F80,T!$AC308:$AC321,T!$U308:$U321),IF(AND(F51="4H1",OR(F53=2,F53=4),F55="AC"),LOOKUP(F80,T!$AC308:$AC321,T!$V308:$V321),IF(AND(F51="4H1",OR(F53=6,F53=8),F55="AC"),LOOKUP(F80,T!$AC308:$AC321,T!$W308:$W321),IF(AND(F51="4H1",OR(F53=11,F53=12),F55="AC",F57=1),LOOKUP(F80,T!$AC308:$AC321,T!$X308:$X321),IF(AND(F51="4H1",OR(F53=3,F53=5),F55="AC"),LOOKUP(F80,T!$AC308:$AC321,T!$Y308:$Y321),IF(AND(F51="4H1",OR(F53=7,F53=10),F55="AC"),LOOKUP(F80,T!$AC308:$AC321,T!$Z308:$Z321),IF(AND(F51="4H1",F53=9,F55="AC"),LOOKUP(F80,T!$AC308:$AC321,T!$AA308:$AA321),IF(AND(F51="4H1",OR(F53=11,F53=12),F55="AC",F57=3),LOOKUP(F80,T!$AC308:$AC321,T!$AB308:$AB321),IF(AND(F51="4H2",OR(F53=2,F53=4,F53=6,F53=8),F55="DC"),LOOKUP(F80,T!$X327:$X337,T!$U327:$U337),IF(AND(F51="4H2",OR(F53=2,F53=4,F53=6,F53=8),F55="AC"),LOOKUP(F80,T!$X327:$X337,T!$V327:$V337),IF(AND(F51="4H2",OR(F53=3,F53=5,F53=7,F53=9),F55="AC"),LOOKUP(F80,T!$X327:$X337,T!$W327:$W337),IF(AND(F51="4H3",OR(F53=2,F53=4,F53=7,F53=8),F55="DC"),LOOKUP(F80,T!$AA343:$AA356,T!$U343:$U356),IF(AND(F51="4H3",OR(F53=2,F53=4),F55="AC"),LOOKUP(F80,T!$AA343:$AA356,T!$V343:$V356),IF(AND(F51="4H3",OR(F53=9,F53=10),F55="AC"),LOOKUP(F80,T!$AA343:$AA$356,T!$W343:$W356),IF(AND(F51="4H3",F53=6,F55="AC"),LOOKUP(F80,T!$AA343:$AA356,T!$X343:$X356),IF(AND(F51="4H3",OR(F53=3,F53=5),F55="AC"),LOOKUP(F80,T!$AA343:$AA356,T!$Y343:$Y356),IF(AND(F51="4H3",OR(F53=11,F53=12),F55="AC"),LOOKUP(F80,T!$AA343:$AA356,T!$Z343:$Z356),IF(AND(F51="4H4",OR(F53=2,F53=4,F53=6),F55="DC"),LOOKUP(F80,T!$X362:$X372,T!$U362:$U372),IF(AND(F51="4H4",OR(F53=2,F53=4,F53=6),F55="AC"),LOOKUP(F80,T!$X362:$X372,T!$V362:$V372),IF(AND(F51="4H4",OR(F53=3,F53=5,F53=7),F55="AC"),LOOKUP(F80,T!$X362:$X372,T!$W362:$W372),0)))))))))))))))))))),IF(ISNUMBER(SEARCH("4J",F51)),IF(AND(F51="4J1",OR(F53=2,F53=4,F53=6,F53=8,F53=11),F55="DC"),LOOKUP(F80,T!$AC378:$AC391,T!$U378:$U391),IF(AND(F51="4J1",OR(F53=2,F53=4),F55="AC"),LOOKUP(F80,T!$AC378:$AC391,T!$V378:$V391),IF(AND(F51="4J1",OR(F53=6,F53=8),F55="AC"),LOOKUP(F80,T!$AC378:$AC391,T!$W378:$W391),IF(AND(F51="4J1",OR(F53=11,F53=12),F55="AC",F57=1),LOOKUP(F80,T!$AC378:$AC391,T!$X378:$X391),IF(AND(F51="4J1",OR(F53=3,F53=5),F55="AC"),LOOKUP(F80,T!$AC378:$AC391,T!$Y378:$Y391),IF(AND(F51="4J1",OR(F53=7,F53=10),F55="AC"),LOOKUP(F80,T!$AC378:$AC391,T!$Z378:$Z391),IF(AND(F51="4J1",F53=9,F55="AC"),LOOKUP(F80,T!$AC378:$AC391,T!$AA378:$AA391),IF(AND(F51="4J1",OR(F53=11,F53=12),F55="AC",F57=3),LOOKUP(F80,T!$AC378:$AC391,T!$AB378:$AB391),IF(AND(F51="4J2",OR(F53=2,F53=4,F53=6,F53=8),F55="DC"),LOOKUP(F80,T!$X397:$X407,T!$U397:$U407),IF(AND(F51="4J2",OR(F53=2,F53=4,F53=6,F53=8),F55="AC"),LOOKUP(F80,T!$X397:$X407,T!$V397:$V407),IF(AND(F51="4J2",OR(F53=3,F53=5,F53=7,F53=9),F55="AC"),LOOKUP(F80,T!$X397:$X407,T!$W397:$W407),IF(AND(F51="4J3",OR(F53=2,F53=4,F53=7,F53=8),F55="DC"),LOOKUP(F80,T!$AA413:$AA426,T!$U413:$U426),IF(AND(F51="4J3",OR(F53=2,F53=4),F55="AC"),LOOKUP(F80,T!$AA413:$AA426,T!$V413:$V426),IF(AND(F51="4J3",OR(F53=9,F53=10),F55="AC"),LOOKUP(F80,T!$AA413:$AA426,T!$W413:$W426),IF(AND(F51="4J3",F53=6,F55="AC"),LOOKUP(F80,T!$AA413:$AA426,T!$X413:$X426),IF(AND(F51="4J3",OR(F53=3,F53=5),F55="AC"),LOOKUP(F80,T!$AA413:$AA426,T!$Y413:$Y426),IF(AND(F51="4J3",OR(F53=11,F53=12),F55="AC"),LOOKUP(F80,T!$AA413:$AA426,T!$Z413:$Z426),IF(AND(F51="4J4",OR(F53=2,F53=4,F53=6),F55="DC"),LOOKUP(F80,T!$X432:$X442,T!$U432:$U442),IF(AND(F51="4J4",OR(F53=2,F53=4,F53=6),F55="AC"),LOOKUP(F80,T!$X432:$X442,T!$V432:$V442),IF(AND(F51="4J4",OR(F53=3,F53=5,F53=7),F55="AC"),LOOKUP(F80,T!$X432:$X442,T!$W432:$W442),0)))))))))))))))))))),0)))*F23*F69)/1000))</f>
        <v>0</v>
      </c>
      <c r="G98" s="158">
        <f ca="1">IF(G29="","",IF(OR(COUNT(G19:G21)=3,COUNT(G19:G21)=1),(IF(G29="",0,IF(ISNUMBER(SEARCH("4H",G51)),IF(AND(G51="4H1",OR(G53=2,G53=4,G53=6,G53=8,G53=11),G55="DC"),LOOKUP(G80,T!$AC308:$AC321,T!$U308:$U321),IF(AND(G51="4H1",OR(G53=2,G53=4),G55="AC"),LOOKUP(G80,T!$AC308:$AC321,T!$V308:$V321),IF(AND(G51="4H1",OR(G53=6,G53=8),G55="AC"),LOOKUP(G80,T!$AC308:$AC321,T!$W308:$W321),IF(AND(G51="4H1",OR(G53=11,G53=12),G55="AC",G57=1),LOOKUP(G80,T!$AC308:$AC321,T!$X308:$X321),IF(AND(G51="4H1",OR(G53=3,G53=5),G55="AC"),LOOKUP(G80,T!$AC308:$AC321,T!$Y308:$Y321),IF(AND(G51="4H1",OR(G53=7,G53=10),G55="AC"),LOOKUP(G80,T!$AC308:$AC321,T!$Z308:$Z321),IF(AND(G51="4H1",G53=9,G55="AC"),LOOKUP(G80,T!$AC308:$AC321,T!$AA308:$AA321),IF(AND(G51="4H1",OR(G53=11,G53=12),G55="AC",G57=3),LOOKUP(G80,T!$AC308:$AC321,T!$AB308:$AB321),IF(AND(G51="4H2",OR(G53=2,G53=4,G53=6,G53=8),G55="DC"),LOOKUP(G80,T!$X327:$X337,T!$U327:$U337),IF(AND(G51="4H2",OR(G53=2,G53=4,G53=6,G53=8),G55="AC"),LOOKUP(G80,T!$X327:$X337,T!$V327:$V337),IF(AND(G51="4H2",OR(G53=3,G53=5,G53=7,G53=9),G55="AC"),LOOKUP(G80,T!$X327:$X337,T!$W327:$W337),IF(AND(G51="4H3",OR(G53=2,G53=4,G53=7,G53=8),G55="DC"),LOOKUP(G80,T!$AA343:$AA356,T!$U343:$U356),IF(AND(G51="4H3",OR(G53=2,G53=4),G55="AC"),LOOKUP(G80,T!$AA343:$AA356,T!$V343:$V356),IF(AND(G51="4H3",OR(G53=9,G53=10),G55="AC"),LOOKUP(G80,T!$AA343:$AA$356,T!$W343:$W356),IF(AND(G51="4H3",G53=6,G55="AC"),LOOKUP(G80,T!$AA343:$AA356,T!$X343:$X356),IF(AND(G51="4H3",OR(G53=3,G53=5),G55="AC"),LOOKUP(G80,T!$AA343:$AA356,T!$Y343:$Y356),IF(AND(G51="4H3",OR(G53=11,G53=12),G55="AC"),LOOKUP(G80,T!$AA343:$AA356,T!$Z343:$Z356),IF(AND(G51="4H4",OR(G53=2,G53=4,G53=6),G55="DC"),LOOKUP(G80,T!$X362:$X372,T!$U362:$U372),IF(AND(G51="4H4",OR(G53=2,G53=4,G53=6),G55="AC"),LOOKUP(G80,T!$X362:$X372,T!$V362:$V372),IF(AND(G51="4H4",OR(G53=3,G53=5,G53=7),G55="AC"),LOOKUP(G80,T!$X362:$X372,T!$W362:$W372),0)))))))))))))))))))),IF(ISNUMBER(SEARCH("4J",G51)),IF(AND(G51="4J1",OR(G53=2,G53=4,G53=6,G53=8,G53=11),G55="DC"),LOOKUP(G80,T!$AC378:$AC391,T!$U378:$U391),IF(AND(G51="4J1",OR(G53=2,G53=4),G55="AC"),LOOKUP(G80,T!$AC378:$AC391,T!$V378:$V391),IF(AND(G51="4J1",OR(G53=6,G53=8),G55="AC"),LOOKUP(G80,T!$AC378:$AC391,T!$W378:$W391),IF(AND(G51="4J1",OR(G53=11,G53=12),G55="AC",G57=1),LOOKUP(G80,T!$AC378:$AC391,T!$X378:$X391),IF(AND(G51="4J1",OR(G53=3,G53=5),G55="AC"),LOOKUP(G80,T!$AC378:$AC391,T!$Y378:$Y391),IF(AND(G51="4J1",OR(G53=7,G53=10),G55="AC"),LOOKUP(G80,T!$AC378:$AC391,T!$Z378:$Z391),IF(AND(G51="4J1",G53=9,G55="AC"),LOOKUP(G80,T!$AC378:$AC391,T!$AA378:$AA391),IF(AND(G51="4J1",OR(G53=11,G53=12),G55="AC",G57=3),LOOKUP(G80,T!$AC378:$AC391,T!$AB378:$AB391),IF(AND(G51="4J2",OR(G53=2,G53=4,G53=6,G53=8),G55="DC"),LOOKUP(G80,T!$X397:$X407,T!$U397:$U407),IF(AND(G51="4J2",OR(G53=2,G53=4,G53=6,G53=8),G55="AC"),LOOKUP(G80,T!$X397:$X407,T!$V397:$V407),IF(AND(G51="4J2",OR(G53=3,G53=5,G53=7,G53=9),G55="AC"),LOOKUP(G80,T!$X397:$X407,T!$W397:$W407),IF(AND(G51="4J3",OR(G53=2,G53=4,G53=7,G53=8),G55="DC"),LOOKUP(G80,T!$AA413:$AA426,T!$U413:$U426),IF(AND(G51="4J3",OR(G53=2,G53=4),G55="AC"),LOOKUP(G80,T!$AA413:$AA426,T!$V413:$V426),IF(AND(G51="4J3",OR(G53=9,G53=10),G55="AC"),LOOKUP(G80,T!$AA413:$AA426,T!$W413:$W426),IF(AND(G51="4J3",G53=6,G55="AC"),LOOKUP(G80,T!$AA413:$AA426,T!$X413:$X426),IF(AND(G51="4J3",OR(G53=3,G53=5),G55="AC"),LOOKUP(G80,T!$AA413:$AA426,T!$Y413:$Y426),IF(AND(G51="4J3",OR(G53=11,G53=12),G55="AC"),LOOKUP(G80,T!$AA413:$AA426,T!$Z413:$Z426),IF(AND(G51="4J4",OR(G53=2,G53=4,G53=6),G55="DC"),LOOKUP(G80,T!$X432:$X442,T!$U432:$U442),IF(AND(G51="4J4",OR(G53=2,G53=4,G53=6),G55="AC"),LOOKUP(G80,T!$X432:$X442,T!$V432:$V442),IF(AND(G51="4J4",OR(G53=3,G53=5,G53=7),G55="AC"),LOOKUP(G80,T!$X432:$X442,T!$W432:$W442),0)))))))))))))))))))),0)))*G23*G69)/1000))</f>
        <v>0</v>
      </c>
      <c r="H98" s="158">
        <f ca="1">IF(H29="","",IF(OR(COUNT(H19:H21)=3,COUNT(H19:H21)=1),(IF(H29="",0,IF(ISNUMBER(SEARCH("4H",H51)),IF(AND(H51="4H1",OR(H53=2,H53=4,H53=6,H53=8,H53=11),H55="DC"),LOOKUP(H80,T!$AC308:$AC321,T!$U308:$U321),IF(AND(H51="4H1",OR(H53=2,H53=4),H55="AC"),LOOKUP(H80,T!$AC308:$AC321,T!$V308:$V321),IF(AND(H51="4H1",OR(H53=6,H53=8),H55="AC"),LOOKUP(H80,T!$AC308:$AC321,T!$W308:$W321),IF(AND(H51="4H1",OR(H53=11,H53=12),H55="AC",H57=1),LOOKUP(H80,T!$AC308:$AC321,T!$X308:$X321),IF(AND(H51="4H1",OR(H53=3,H53=5),H55="AC"),LOOKUP(H80,T!$AC308:$AC321,T!$Y308:$Y321),IF(AND(H51="4H1",OR(H53=7,H53=10),H55="AC"),LOOKUP(H80,T!$AC308:$AC321,T!$Z308:$Z321),IF(AND(H51="4H1",H53=9,H55="AC"),LOOKUP(H80,T!$AC308:$AC321,T!$AA308:$AA321),IF(AND(H51="4H1",OR(H53=11,H53=12),H55="AC",H57=3),LOOKUP(H80,T!$AC308:$AC321,T!$AB308:$AB321),IF(AND(H51="4H2",OR(H53=2,H53=4,H53=6,H53=8),H55="DC"),LOOKUP(H80,T!$X327:$X337,T!$U327:$U337),IF(AND(H51="4H2",OR(H53=2,H53=4,H53=6,H53=8),H55="AC"),LOOKUP(H80,T!$X327:$X337,T!$V327:$V337),IF(AND(H51="4H2",OR(H53=3,H53=5,H53=7,H53=9),H55="AC"),LOOKUP(H80,T!$X327:$X337,T!$W327:$W337),IF(AND(H51="4H3",OR(H53=2,H53=4,H53=7,H53=8),H55="DC"),LOOKUP(H80,T!$AA343:$AA356,T!$U343:$U356),IF(AND(H51="4H3",OR(H53=2,H53=4),H55="AC"),LOOKUP(H80,T!$AA343:$AA356,T!$V343:$V356),IF(AND(H51="4H3",OR(H53=9,H53=10),H55="AC"),LOOKUP(H80,T!$AA343:$AA$356,T!$W343:$W356),IF(AND(H51="4H3",H53=6,H55="AC"),LOOKUP(H80,T!$AA343:$AA356,T!$X343:$X356),IF(AND(H51="4H3",OR(H53=3,H53=5),H55="AC"),LOOKUP(H80,T!$AA343:$AA356,T!$Y343:$Y356),IF(AND(H51="4H3",OR(H53=11,H53=12),H55="AC"),LOOKUP(H80,T!$AA343:$AA356,T!$Z343:$Z356),IF(AND(H51="4H4",OR(H53=2,H53=4,H53=6),H55="DC"),LOOKUP(H80,T!$X362:$X372,T!$U362:$U372),IF(AND(H51="4H4",OR(H53=2,H53=4,H53=6),H55="AC"),LOOKUP(H80,T!$X362:$X372,T!$V362:$V372),IF(AND(H51="4H4",OR(H53=3,H53=5,H53=7),H55="AC"),LOOKUP(H80,T!$X362:$X372,T!$W362:$W372),0)))))))))))))))))))),IF(ISNUMBER(SEARCH("4J",H51)),IF(AND(H51="4J1",OR(H53=2,H53=4,H53=6,H53=8,H53=11),H55="DC"),LOOKUP(H80,T!$AC378:$AC391,T!$U378:$U391),IF(AND(H51="4J1",OR(H53=2,H53=4),H55="AC"),LOOKUP(H80,T!$AC378:$AC391,T!$V378:$V391),IF(AND(H51="4J1",OR(H53=6,H53=8),H55="AC"),LOOKUP(H80,T!$AC378:$AC391,T!$W378:$W391),IF(AND(H51="4J1",OR(H53=11,H53=12),H55="AC",H57=1),LOOKUP(H80,T!$AC378:$AC391,T!$X378:$X391),IF(AND(H51="4J1",OR(H53=3,H53=5),H55="AC"),LOOKUP(H80,T!$AC378:$AC391,T!$Y378:$Y391),IF(AND(H51="4J1",OR(H53=7,H53=10),H55="AC"),LOOKUP(H80,T!$AC378:$AC391,T!$Z378:$Z391),IF(AND(H51="4J1",H53=9,H55="AC"),LOOKUP(H80,T!$AC378:$AC391,T!$AA378:$AA391),IF(AND(H51="4J1",OR(H53=11,H53=12),H55="AC",H57=3),LOOKUP(H80,T!$AC378:$AC391,T!$AB378:$AB391),IF(AND(H51="4J2",OR(H53=2,H53=4,H53=6,H53=8),H55="DC"),LOOKUP(H80,T!$X397:$X407,T!$U397:$U407),IF(AND(H51="4J2",OR(H53=2,H53=4,H53=6,H53=8),H55="AC"),LOOKUP(H80,T!$X397:$X407,T!$V397:$V407),IF(AND(H51="4J2",OR(H53=3,H53=5,H53=7,H53=9),H55="AC"),LOOKUP(H80,T!$X397:$X407,T!$W397:$W407),IF(AND(H51="4J3",OR(H53=2,H53=4,H53=7,H53=8),H55="DC"),LOOKUP(H80,T!$AA413:$AA426,T!$U413:$U426),IF(AND(H51="4J3",OR(H53=2,H53=4),H55="AC"),LOOKUP(H80,T!$AA413:$AA426,T!$V413:$V426),IF(AND(H51="4J3",OR(H53=9,H53=10),H55="AC"),LOOKUP(H80,T!$AA413:$AA426,T!$W413:$W426),IF(AND(H51="4J3",H53=6,H55="AC"),LOOKUP(H80,T!$AA413:$AA426,T!$X413:$X426),IF(AND(H51="4J3",OR(H53=3,H53=5),H55="AC"),LOOKUP(H80,T!$AA413:$AA426,T!$Y413:$Y426),IF(AND(H51="4J3",OR(H53=11,H53=12),H55="AC"),LOOKUP(H80,T!$AA413:$AA426,T!$Z413:$Z426),IF(AND(H51="4J4",OR(H53=2,H53=4,H53=6),H55="DC"),LOOKUP(H80,T!$X432:$X442,T!$U432:$U442),IF(AND(H51="4J4",OR(H53=2,H53=4,H53=6),H55="AC"),LOOKUP(H80,T!$X432:$X442,T!$V432:$V442),IF(AND(H51="4J4",OR(H53=3,H53=5,H53=7),H55="AC"),LOOKUP(H80,T!$X432:$X442,T!$W432:$W442),0)))))))))))))))))))),0)))*H23*H69)/1000))</f>
        <v>0</v>
      </c>
      <c r="I98" s="158">
        <f>IF(I29="","",IF(OR(COUNT(I19:I21)=3,COUNT(I19:I21)=1),(IF(I29="",0,IF(ISNUMBER(SEARCH("4H",I51)),IF(AND(I51="4H1",OR(I53=2,I53=4,I53=6,I53=8,I53=11),I55="DC"),LOOKUP(I80,T!$AC308:$AC321,T!$U308:$U321),IF(AND(I51="4H1",OR(I53=2,I53=4),I55="AC"),LOOKUP(I80,T!$AC308:$AC321,T!$V308:$V321),IF(AND(I51="4H1",OR(I53=6,I53=8),I55="AC"),LOOKUP(I80,T!$AC308:$AC321,T!$W308:$W321),IF(AND(I51="4H1",OR(I53=11,I53=12),I55="AC",I57=1),LOOKUP(I80,T!$AC308:$AC321,T!$X308:$X321),IF(AND(I51="4H1",OR(I53=3,I53=5),I55="AC"),LOOKUP(I80,T!$AC308:$AC321,T!$Y308:$Y321),IF(AND(I51="4H1",OR(I53=7,I53=10),I55="AC"),LOOKUP(I80,T!$AC308:$AC321,T!$Z308:$Z321),IF(AND(I51="4H1",I53=9,I55="AC"),LOOKUP(I80,T!$AC308:$AC321,T!$AA308:$AA321),IF(AND(I51="4H1",OR(I53=11,I53=12),I55="AC",I57=3),LOOKUP(I80,T!$AC308:$AC321,T!$AB308:$AB321),IF(AND(I51="4H2",OR(I53=2,I53=4,I53=6,I53=8),I55="DC"),LOOKUP(I80,T!$X327:$X337,T!$U327:$U337),IF(AND(I51="4H2",OR(I53=2,I53=4,I53=6,I53=8),I55="AC"),LOOKUP(I80,T!$X327:$X337,T!$V327:$V337),IF(AND(I51="4H2",OR(I53=3,I53=5,I53=7,I53=9),I55="AC"),LOOKUP(I80,T!$X327:$X337,T!$W327:$W337),IF(AND(I51="4H3",OR(I53=2,I53=4,I53=7,I53=8),I55="DC"),LOOKUP(I80,T!$AA343:$AA356,T!$U343:$U356),IF(AND(I51="4H3",OR(I53=2,I53=4),I55="AC"),LOOKUP(I80,T!$AA343:$AA356,T!$V343:$V356),IF(AND(I51="4H3",OR(I53=9,I53=10),I55="AC"),LOOKUP(I80,T!$AA343:$AA$356,T!$W343:$W356),IF(AND(I51="4H3",I53=6,I55="AC"),LOOKUP(I80,T!$AA343:$AA356,T!$X343:$X356),IF(AND(I51="4H3",OR(I53=3,I53=5),I55="AC"),LOOKUP(I80,T!$AA343:$AA356,T!$Y343:$Y356),IF(AND(I51="4H3",OR(I53=11,I53=12),I55="AC"),LOOKUP(I80,T!$AA343:$AA356,T!$Z343:$Z356),IF(AND(I51="4H4",OR(I53=2,I53=4,I53=6),I55="DC"),LOOKUP(I80,T!$X362:$X372,T!$U362:$U372),IF(AND(I51="4H4",OR(I53=2,I53=4,I53=6),I55="AC"),LOOKUP(I80,T!$X362:$X372,T!$V362:$V372),IF(AND(I51="4H4",OR(I53=3,I53=5,I53=7),I55="AC"),LOOKUP(I80,T!$X362:$X372,T!$W362:$W372),0)))))))))))))))))))),IF(ISNUMBER(SEARCH("4J",I51)),IF(AND(I51="4J1",OR(I53=2,I53=4,I53=6,I53=8,I53=11),I55="DC"),LOOKUP(I80,T!$AC378:$AC391,T!$U378:$U391),IF(AND(I51="4J1",OR(I53=2,I53=4),I55="AC"),LOOKUP(I80,T!$AC378:$AC391,T!$V378:$V391),IF(AND(I51="4J1",OR(I53=6,I53=8),I55="AC"),LOOKUP(I80,T!$AC378:$AC391,T!$W378:$W391),IF(AND(I51="4J1",OR(I53=11,I53=12),I55="AC",I57=1),LOOKUP(I80,T!$AC378:$AC391,T!$X378:$X391),IF(AND(I51="4J1",OR(I53=3,I53=5),I55="AC"),LOOKUP(I80,T!$AC378:$AC391,T!$Y378:$Y391),IF(AND(I51="4J1",OR(I53=7,I53=10),I55="AC"),LOOKUP(I80,T!$AC378:$AC391,T!$Z378:$Z391),IF(AND(I51="4J1",I53=9,I55="AC"),LOOKUP(I80,T!$AC378:$AC391,T!$AA378:$AA391),IF(AND(I51="4J1",OR(I53=11,I53=12),I55="AC",I57=3),LOOKUP(I80,T!$AC378:$AC391,T!$AB378:$AB391),IF(AND(I51="4J2",OR(I53=2,I53=4,I53=6,I53=8),I55="DC"),LOOKUP(I80,T!$X397:$X407,T!$U397:$U407),IF(AND(I51="4J2",OR(I53=2,I53=4,I53=6,I53=8),I55="AC"),LOOKUP(I80,T!$X397:$X407,T!$V397:$V407),IF(AND(I51="4J2",OR(I53=3,I53=5,I53=7,I53=9),I55="AC"),LOOKUP(I80,T!$X397:$X407,T!$W397:$W407),IF(AND(I51="4J3",OR(I53=2,I53=4,I53=7,I53=8),I55="DC"),LOOKUP(I80,T!$AA413:$AA426,T!$U413:$U426),IF(AND(I51="4J3",OR(I53=2,I53=4),I55="AC"),LOOKUP(I80,T!$AA413:$AA426,T!$V413:$V426),IF(AND(I51="4J3",OR(I53=9,I53=10),I55="AC"),LOOKUP(I80,T!$AA413:$AA426,T!$W413:$W426),IF(AND(I51="4J3",I53=6,I55="AC"),LOOKUP(I80,T!$AA413:$AA426,T!$X413:$X426),IF(AND(I51="4J3",OR(I53=3,I53=5),I55="AC"),LOOKUP(I80,T!$AA413:$AA426,T!$Y413:$Y426),IF(AND(I51="4J3",OR(I53=11,I53=12),I55="AC"),LOOKUP(I80,T!$AA413:$AA426,T!$Z413:$Z426),IF(AND(I51="4J4",OR(I53=2,I53=4,I53=6),I55="DC"),LOOKUP(I80,T!$X432:$X442,T!$U432:$U442),IF(AND(I51="4J4",OR(I53=2,I53=4,I53=6),I55="AC"),LOOKUP(I80,T!$X432:$X442,T!$V432:$V442),IF(AND(I51="4J4",OR(I53=3,I53=5,I53=7),I55="AC"),LOOKUP(I80,T!$X432:$X442,T!$W432:$W442),0)))))))))))))))))))),0)))*I23*I69)/1000))</f>
        <v>0</v>
      </c>
      <c r="J98" s="158">
        <f>IF(J29="","",IF(OR(COUNT(J19:J21)=3,COUNT(J19:J21)=1),(IF(J29="",0,IF(ISNUMBER(SEARCH("4H",J51)),IF(AND(J51="4H1",OR(J53=2,J53=4,J53=6,J53=8,J53=11),J55="DC"),LOOKUP(J80,T!$AC308:$AC321,T!$U308:$U321),IF(AND(J51="4H1",OR(J53=2,J53=4),J55="AC"),LOOKUP(J80,T!$AC308:$AC321,T!$V308:$V321),IF(AND(J51="4H1",OR(J53=6,J53=8),J55="AC"),LOOKUP(J80,T!$AC308:$AC321,T!$W308:$W321),IF(AND(J51="4H1",OR(J53=11,J53=12),J55="AC",J57=1),LOOKUP(J80,T!$AC308:$AC321,T!$X308:$X321),IF(AND(J51="4H1",OR(J53=3,J53=5),J55="AC"),LOOKUP(J80,T!$AC308:$AC321,T!$Y308:$Y321),IF(AND(J51="4H1",OR(J53=7,J53=10),J55="AC"),LOOKUP(J80,T!$AC308:$AC321,T!$Z308:$Z321),IF(AND(J51="4H1",J53=9,J55="AC"),LOOKUP(J80,T!$AC308:$AC321,T!$AA308:$AA321),IF(AND(J51="4H1",OR(J53=11,J53=12),J55="AC",J57=3),LOOKUP(J80,T!$AC308:$AC321,T!$AB308:$AB321),IF(AND(J51="4H2",OR(J53=2,J53=4,J53=6,J53=8),J55="DC"),LOOKUP(J80,T!$X327:$X337,T!$U327:$U337),IF(AND(J51="4H2",OR(J53=2,J53=4,J53=6,J53=8),J55="AC"),LOOKUP(J80,T!$X327:$X337,T!$V327:$V337),IF(AND(J51="4H2",OR(J53=3,J53=5,J53=7,J53=9),J55="AC"),LOOKUP(J80,T!$X327:$X337,T!$W327:$W337),IF(AND(J51="4H3",OR(J53=2,J53=4,J53=7,J53=8),J55="DC"),LOOKUP(J80,T!$AA343:$AA356,T!$U343:$U356),IF(AND(J51="4H3",OR(J53=2,J53=4),J55="AC"),LOOKUP(J80,T!$AA343:$AA356,T!$V343:$V356),IF(AND(J51="4H3",OR(J53=9,J53=10),J55="AC"),LOOKUP(J80,T!$AA343:$AA$356,T!$W343:$W356),IF(AND(J51="4H3",J53=6,J55="AC"),LOOKUP(J80,T!$AA343:$AA356,T!$X343:$X356),IF(AND(J51="4H3",OR(J53=3,J53=5),J55="AC"),LOOKUP(J80,T!$AA343:$AA356,T!$Y343:$Y356),IF(AND(J51="4H3",OR(J53=11,J53=12),J55="AC"),LOOKUP(J80,T!$AA343:$AA356,T!$Z343:$Z356),IF(AND(J51="4H4",OR(J53=2,J53=4,J53=6),J55="DC"),LOOKUP(J80,T!$X362:$X372,T!$U362:$U372),IF(AND(J51="4H4",OR(J53=2,J53=4,J53=6),J55="AC"),LOOKUP(J80,T!$X362:$X372,T!$V362:$V372),IF(AND(J51="4H4",OR(J53=3,J53=5,J53=7),J55="AC"),LOOKUP(J80,T!$X362:$X372,T!$W362:$W372),0)))))))))))))))))))),IF(ISNUMBER(SEARCH("4J",J51)),IF(AND(J51="4J1",OR(J53=2,J53=4,J53=6,J53=8,J53=11),J55="DC"),LOOKUP(J80,T!$AC378:$AC391,T!$U378:$U391),IF(AND(J51="4J1",OR(J53=2,J53=4),J55="AC"),LOOKUP(J80,T!$AC378:$AC391,T!$V378:$V391),IF(AND(J51="4J1",OR(J53=6,J53=8),J55="AC"),LOOKUP(J80,T!$AC378:$AC391,T!$W378:$W391),IF(AND(J51="4J1",OR(J53=11,J53=12),J55="AC",J57=1),LOOKUP(J80,T!$AC378:$AC391,T!$X378:$X391),IF(AND(J51="4J1",OR(J53=3,J53=5),J55="AC"),LOOKUP(J80,T!$AC378:$AC391,T!$Y378:$Y391),IF(AND(J51="4J1",OR(J53=7,J53=10),J55="AC"),LOOKUP(J80,T!$AC378:$AC391,T!$Z378:$Z391),IF(AND(J51="4J1",J53=9,J55="AC"),LOOKUP(J80,T!$AC378:$AC391,T!$AA378:$AA391),IF(AND(J51="4J1",OR(J53=11,J53=12),J55="AC",J57=3),LOOKUP(J80,T!$AC378:$AC391,T!$AB378:$AB391),IF(AND(J51="4J2",OR(J53=2,J53=4,J53=6,J53=8),J55="DC"),LOOKUP(J80,T!$X397:$X407,T!$U397:$U407),IF(AND(J51="4J2",OR(J53=2,J53=4,J53=6,J53=8),J55="AC"),LOOKUP(J80,T!$X397:$X407,T!$V397:$V407),IF(AND(J51="4J2",OR(J53=3,J53=5,J53=7,J53=9),J55="AC"),LOOKUP(J80,T!$X397:$X407,T!$W397:$W407),IF(AND(J51="4J3",OR(J53=2,J53=4,J53=7,J53=8),J55="DC"),LOOKUP(J80,T!$AA413:$AA426,T!$U413:$U426),IF(AND(J51="4J3",OR(J53=2,J53=4),J55="AC"),LOOKUP(J80,T!$AA413:$AA426,T!$V413:$V426),IF(AND(J51="4J3",OR(J53=9,J53=10),J55="AC"),LOOKUP(J80,T!$AA413:$AA426,T!$W413:$W426),IF(AND(J51="4J3",J53=6,J55="AC"),LOOKUP(J80,T!$AA413:$AA426,T!$X413:$X426),IF(AND(J51="4J3",OR(J53=3,J53=5),J55="AC"),LOOKUP(J80,T!$AA413:$AA426,T!$Y413:$Y426),IF(AND(J51="4J3",OR(J53=11,J53=12),J55="AC"),LOOKUP(J80,T!$AA413:$AA426,T!$Z413:$Z426),IF(AND(J51="4J4",OR(J53=2,J53=4,J53=6),J55="DC"),LOOKUP(J80,T!$X432:$X442,T!$U432:$U442),IF(AND(J51="4J4",OR(J53=2,J53=4,J53=6),J55="AC"),LOOKUP(J80,T!$X432:$X442,T!$V432:$V442),IF(AND(J51="4J4",OR(J53=3,J53=5,J53=7),J55="AC"),LOOKUP(J80,T!$X432:$X442,T!$W432:$W442),0)))))))))))))))))))),0)))*J23*J69)/1000))</f>
        <v>0</v>
      </c>
      <c r="K98" s="158">
        <f>IF(K29="","",IF(OR(COUNT(K19:K21)=3,COUNT(K19:K21)=1),(IF(K29="",0,IF(ISNUMBER(SEARCH("4H",K51)),IF(AND(K51="4H1",OR(K53=2,K53=4,K53=6,K53=8,K53=11),K55="DC"),LOOKUP(K80,T!$AC308:$AC321,T!$U308:$U321),IF(AND(K51="4H1",OR(K53=2,K53=4),K55="AC"),LOOKUP(K80,T!$AC308:$AC321,T!$V308:$V321),IF(AND(K51="4H1",OR(K53=6,K53=8),K55="AC"),LOOKUP(K80,T!$AC308:$AC321,T!$W308:$W321),IF(AND(K51="4H1",OR(K53=11,K53=12),K55="AC",K57=1),LOOKUP(K80,T!$AC308:$AC321,T!$X308:$X321),IF(AND(K51="4H1",OR(K53=3,K53=5),K55="AC"),LOOKUP(K80,T!$AC308:$AC321,T!$Y308:$Y321),IF(AND(K51="4H1",OR(K53=7,K53=10),K55="AC"),LOOKUP(K80,T!$AC308:$AC321,T!$Z308:$Z321),IF(AND(K51="4H1",K53=9,K55="AC"),LOOKUP(K80,T!$AC308:$AC321,T!$AA308:$AA321),IF(AND(K51="4H1",OR(K53=11,K53=12),K55="AC",K57=3),LOOKUP(K80,T!$AC308:$AC321,T!$AB308:$AB321),IF(AND(K51="4H2",OR(K53=2,K53=4,K53=6,K53=8),K55="DC"),LOOKUP(K80,T!$X327:$X337,T!$U327:$U337),IF(AND(K51="4H2",OR(K53=2,K53=4,K53=6,K53=8),K55="AC"),LOOKUP(K80,T!$X327:$X337,T!$V327:$V337),IF(AND(K51="4H2",OR(K53=3,K53=5,K53=7,K53=9),K55="AC"),LOOKUP(K80,T!$X327:$X337,T!$W327:$W337),IF(AND(K51="4H3",OR(K53=2,K53=4,K53=7,K53=8),K55="DC"),LOOKUP(K80,T!$AA343:$AA356,T!$U343:$U356),IF(AND(K51="4H3",OR(K53=2,K53=4),K55="AC"),LOOKUP(K80,T!$AA343:$AA356,T!$V343:$V356),IF(AND(K51="4H3",OR(K53=9,K53=10),K55="AC"),LOOKUP(K80,T!$AA343:$AA$356,T!$W343:$W356),IF(AND(K51="4H3",K53=6,K55="AC"),LOOKUP(K80,T!$AA343:$AA356,T!$X343:$X356),IF(AND(K51="4H3",OR(K53=3,K53=5),K55="AC"),LOOKUP(K80,T!$AA343:$AA356,T!$Y343:$Y356),IF(AND(K51="4H3",OR(K53=11,K53=12),K55="AC"),LOOKUP(K80,T!$AA343:$AA356,T!$Z343:$Z356),IF(AND(K51="4H4",OR(K53=2,K53=4,K53=6),K55="DC"),LOOKUP(K80,T!$X362:$X372,T!$U362:$U372),IF(AND(K51="4H4",OR(K53=2,K53=4,K53=6),K55="AC"),LOOKUP(K80,T!$X362:$X372,T!$V362:$V372),IF(AND(K51="4H4",OR(K53=3,K53=5,K53=7),K55="AC"),LOOKUP(K80,T!$X362:$X372,T!$W362:$W372),0)))))))))))))))))))),IF(ISNUMBER(SEARCH("4J",K51)),IF(AND(K51="4J1",OR(K53=2,K53=4,K53=6,K53=8,K53=11),K55="DC"),LOOKUP(K80,T!$AC378:$AC391,T!$U378:$U391),IF(AND(K51="4J1",OR(K53=2,K53=4),K55="AC"),LOOKUP(K80,T!$AC378:$AC391,T!$V378:$V391),IF(AND(K51="4J1",OR(K53=6,K53=8),K55="AC"),LOOKUP(K80,T!$AC378:$AC391,T!$W378:$W391),IF(AND(K51="4J1",OR(K53=11,K53=12),K55="AC",K57=1),LOOKUP(K80,T!$AC378:$AC391,T!$X378:$X391),IF(AND(K51="4J1",OR(K53=3,K53=5),K55="AC"),LOOKUP(K80,T!$AC378:$AC391,T!$Y378:$Y391),IF(AND(K51="4J1",OR(K53=7,K53=10),K55="AC"),LOOKUP(K80,T!$AC378:$AC391,T!$Z378:$Z391),IF(AND(K51="4J1",K53=9,K55="AC"),LOOKUP(K80,T!$AC378:$AC391,T!$AA378:$AA391),IF(AND(K51="4J1",OR(K53=11,K53=12),K55="AC",K57=3),LOOKUP(K80,T!$AC378:$AC391,T!$AB378:$AB391),IF(AND(K51="4J2",OR(K53=2,K53=4,K53=6,K53=8),K55="DC"),LOOKUP(K80,T!$X397:$X407,T!$U397:$U407),IF(AND(K51="4J2",OR(K53=2,K53=4,K53=6,K53=8),K55="AC"),LOOKUP(K80,T!$X397:$X407,T!$V397:$V407),IF(AND(K51="4J2",OR(K53=3,K53=5,K53=7,K53=9),K55="AC"),LOOKUP(K80,T!$X397:$X407,T!$W397:$W407),IF(AND(K51="4J3",OR(K53=2,K53=4,K53=7,K53=8),K55="DC"),LOOKUP(K80,T!$AA413:$AA426,T!$U413:$U426),IF(AND(K51="4J3",OR(K53=2,K53=4),K55="AC"),LOOKUP(K80,T!$AA413:$AA426,T!$V413:$V426),IF(AND(K51="4J3",OR(K53=9,K53=10),K55="AC"),LOOKUP(K80,T!$AA413:$AA426,T!$W413:$W426),IF(AND(K51="4J3",K53=6,K55="AC"),LOOKUP(K80,T!$AA413:$AA426,T!$X413:$X426),IF(AND(K51="4J3",OR(K53=3,K53=5),K55="AC"),LOOKUP(K80,T!$AA413:$AA426,T!$Y413:$Y426),IF(AND(K51="4J3",OR(K53=11,K53=12),K55="AC"),LOOKUP(K80,T!$AA413:$AA426,T!$Z413:$Z426),IF(AND(K51="4J4",OR(K53=2,K53=4,K53=6),K55="DC"),LOOKUP(K80,T!$X432:$X442,T!$U432:$U442),IF(AND(K51="4J4",OR(K53=2,K53=4,K53=6),K55="AC"),LOOKUP(K80,T!$X432:$X442,T!$V432:$V442),IF(AND(K51="4J4",OR(K53=3,K53=5,K53=7),K55="AC"),LOOKUP(K80,T!$X432:$X442,T!$W432:$W442),0)))))))))))))))))))),0)))*K23*K69)/1000))</f>
        <v>0</v>
      </c>
      <c r="L98" s="158">
        <f>IF(L29="","",IF(OR(COUNT(L19:L21)=3,COUNT(L19:L21)=1),(IF(L29="",0,IF(ISNUMBER(SEARCH("4H",L51)),IF(AND(L51="4H1",OR(L53=2,L53=4,L53=6,L53=8,L53=11),L55="DC"),LOOKUP(L80,T!$AC308:$AC321,T!$U308:$U321),IF(AND(L51="4H1",OR(L53=2,L53=4),L55="AC"),LOOKUP(L80,T!$AC308:$AC321,T!$V308:$V321),IF(AND(L51="4H1",OR(L53=6,L53=8),L55="AC"),LOOKUP(L80,T!$AC308:$AC321,T!$W308:$W321),IF(AND(L51="4H1",OR(L53=11,L53=12),L55="AC",L57=1),LOOKUP(L80,T!$AC308:$AC321,T!$X308:$X321),IF(AND(L51="4H1",OR(L53=3,L53=5),L55="AC"),LOOKUP(L80,T!$AC308:$AC321,T!$Y308:$Y321),IF(AND(L51="4H1",OR(L53=7,L53=10),L55="AC"),LOOKUP(L80,T!$AC308:$AC321,T!$Z308:$Z321),IF(AND(L51="4H1",L53=9,L55="AC"),LOOKUP(L80,T!$AC308:$AC321,T!$AA308:$AA321),IF(AND(L51="4H1",OR(L53=11,L53=12),L55="AC",L57=3),LOOKUP(L80,T!$AC308:$AC321,T!$AB308:$AB321),IF(AND(L51="4H2",OR(L53=2,L53=4,L53=6,L53=8),L55="DC"),LOOKUP(L80,T!$X327:$X337,T!$U327:$U337),IF(AND(L51="4H2",OR(L53=2,L53=4,L53=6,L53=8),L55="AC"),LOOKUP(L80,T!$X327:$X337,T!$V327:$V337),IF(AND(L51="4H2",OR(L53=3,L53=5,L53=7,L53=9),L55="AC"),LOOKUP(L80,T!$X327:$X337,T!$W327:$W337),IF(AND(L51="4H3",OR(L53=2,L53=4,L53=7,L53=8),L55="DC"),LOOKUP(L80,T!$AA343:$AA356,T!$U343:$U356),IF(AND(L51="4H3",OR(L53=2,L53=4),L55="AC"),LOOKUP(L80,T!$AA343:$AA356,T!$V343:$V356),IF(AND(L51="4H3",OR(L53=9,L53=10),L55="AC"),LOOKUP(L80,T!$AA343:$AA$356,T!$W343:$W356),IF(AND(L51="4H3",L53=6,L55="AC"),LOOKUP(L80,T!$AA343:$AA356,T!$X343:$X356),IF(AND(L51="4H3",OR(L53=3,L53=5),L55="AC"),LOOKUP(L80,T!$AA343:$AA356,T!$Y343:$Y356),IF(AND(L51="4H3",OR(L53=11,L53=12),L55="AC"),LOOKUP(L80,T!$AA343:$AA356,T!$Z343:$Z356),IF(AND(L51="4H4",OR(L53=2,L53=4,L53=6),L55="DC"),LOOKUP(L80,T!$X362:$X372,T!$U362:$U372),IF(AND(L51="4H4",OR(L53=2,L53=4,L53=6),L55="AC"),LOOKUP(L80,T!$X362:$X372,T!$V362:$V372),IF(AND(L51="4H4",OR(L53=3,L53=5,L53=7),L55="AC"),LOOKUP(L80,T!$X362:$X372,T!$W362:$W372),0)))))))))))))))))))),IF(ISNUMBER(SEARCH("4J",L51)),IF(AND(L51="4J1",OR(L53=2,L53=4,L53=6,L53=8,L53=11),L55="DC"),LOOKUP(L80,T!$AC378:$AC391,T!$U378:$U391),IF(AND(L51="4J1",OR(L53=2,L53=4),L55="AC"),LOOKUP(L80,T!$AC378:$AC391,T!$V378:$V391),IF(AND(L51="4J1",OR(L53=6,L53=8),L55="AC"),LOOKUP(L80,T!$AC378:$AC391,T!$W378:$W391),IF(AND(L51="4J1",OR(L53=11,L53=12),L55="AC",L57=1),LOOKUP(L80,T!$AC378:$AC391,T!$X378:$X391),IF(AND(L51="4J1",OR(L53=3,L53=5),L55="AC"),LOOKUP(L80,T!$AC378:$AC391,T!$Y378:$Y391),IF(AND(L51="4J1",OR(L53=7,L53=10),L55="AC"),LOOKUP(L80,T!$AC378:$AC391,T!$Z378:$Z391),IF(AND(L51="4J1",L53=9,L55="AC"),LOOKUP(L80,T!$AC378:$AC391,T!$AA378:$AA391),IF(AND(L51="4J1",OR(L53=11,L53=12),L55="AC",L57=3),LOOKUP(L80,T!$AC378:$AC391,T!$AB378:$AB391),IF(AND(L51="4J2",OR(L53=2,L53=4,L53=6,L53=8),L55="DC"),LOOKUP(L80,T!$X397:$X407,T!$U397:$U407),IF(AND(L51="4J2",OR(L53=2,L53=4,L53=6,L53=8),L55="AC"),LOOKUP(L80,T!$X397:$X407,T!$V397:$V407),IF(AND(L51="4J2",OR(L53=3,L53=5,L53=7,L53=9),L55="AC"),LOOKUP(L80,T!$X397:$X407,T!$W397:$W407),IF(AND(L51="4J3",OR(L53=2,L53=4,L53=7,L53=8),L55="DC"),LOOKUP(L80,T!$AA413:$AA426,T!$U413:$U426),IF(AND(L51="4J3",OR(L53=2,L53=4),L55="AC"),LOOKUP(L80,T!$AA413:$AA426,T!$V413:$V426),IF(AND(L51="4J3",OR(L53=9,L53=10),L55="AC"),LOOKUP(L80,T!$AA413:$AA426,T!$W413:$W426),IF(AND(L51="4J3",L53=6,L55="AC"),LOOKUP(L80,T!$AA413:$AA426,T!$X413:$X426),IF(AND(L51="4J3",OR(L53=3,L53=5),L55="AC"),LOOKUP(L80,T!$AA413:$AA426,T!$Y413:$Y426),IF(AND(L51="4J3",OR(L53=11,L53=12),L55="AC"),LOOKUP(L80,T!$AA413:$AA426,T!$Z413:$Z426),IF(AND(L51="4J4",OR(L53=2,L53=4,L53=6),L55="DC"),LOOKUP(L80,T!$X432:$X442,T!$U432:$U442),IF(AND(L51="4J4",OR(L53=2,L53=4,L53=6),L55="AC"),LOOKUP(L80,T!$X432:$X442,T!$V432:$V442),IF(AND(L51="4J4",OR(L53=3,L53=5,L53=7),L55="AC"),LOOKUP(L80,T!$X432:$X442,T!$W432:$W442),0)))))))))))))))))))),0)))*L23*L69)/1000))</f>
        <v>0</v>
      </c>
      <c r="M98" s="158" t="str">
        <f>IF(M29="","",IF(OR(COUNT(M19:M21)=3,COUNT(M19:M21)=1),(IF(M29="",0,IF(ISNUMBER(SEARCH("4H",M51)),IF(AND(M51="4H1",OR(M53=2,M53=4,M53=6,M53=8,M53=11),M55="DC"),LOOKUP(M80,T!$AC308:$AC321,T!$U308:$U321),IF(AND(M51="4H1",OR(M53=2,M53=4),M55="AC"),LOOKUP(M80,T!$AC308:$AC321,T!$V308:$V321),IF(AND(M51="4H1",OR(M53=6,M53=8),M55="AC"),LOOKUP(M80,T!$AC308:$AC321,T!$W308:$W321),IF(AND(M51="4H1",OR(M53=11,M53=12),M55="AC",M57=1),LOOKUP(M80,T!$AC308:$AC321,T!$X308:$X321),IF(AND(M51="4H1",OR(M53=3,M53=5),M55="AC"),LOOKUP(M80,T!$AC308:$AC321,T!$Y308:$Y321),IF(AND(M51="4H1",OR(M53=7,M53=10),M55="AC"),LOOKUP(M80,T!$AC308:$AC321,T!$Z308:$Z321),IF(AND(M51="4H1",M53=9,M55="AC"),LOOKUP(M80,T!$AC308:$AC321,T!$AA308:$AA321),IF(AND(M51="4H1",OR(M53=11,M53=12),M55="AC",M57=3),LOOKUP(M80,T!$AC308:$AC321,T!$AB308:$AB321),IF(AND(M51="4H2",OR(M53=2,M53=4,M53=6,M53=8),M55="DC"),LOOKUP(M80,T!$X327:$X337,T!$U327:$U337),IF(AND(M51="4H2",OR(M53=2,M53=4,M53=6,M53=8),M55="AC"),LOOKUP(M80,T!$X327:$X337,T!$V327:$V337),IF(AND(M51="4H2",OR(M53=3,M53=5,M53=7,M53=9),M55="AC"),LOOKUP(M80,T!$X327:$X337,T!$W327:$W337),IF(AND(M51="4H3",OR(M53=2,M53=4,M53=7,M53=8),M55="DC"),LOOKUP(M80,T!$AA343:$AA356,T!$U343:$U356),IF(AND(M51="4H3",OR(M53=2,M53=4),M55="AC"),LOOKUP(M80,T!$AA343:$AA356,T!$V343:$V356),IF(AND(M51="4H3",OR(M53=9,M53=10),M55="AC"),LOOKUP(M80,T!$AA343:$AA$356,T!$W343:$W356),IF(AND(M51="4H3",M53=6,M55="AC"),LOOKUP(M80,T!$AA343:$AA356,T!$X343:$X356),IF(AND(M51="4H3",OR(M53=3,M53=5),M55="AC"),LOOKUP(M80,T!$AA343:$AA356,T!$Y343:$Y356),IF(AND(M51="4H3",OR(M53=11,M53=12),M55="AC"),LOOKUP(M80,T!$AA343:$AA356,T!$Z343:$Z356),IF(AND(M51="4H4",OR(M53=2,M53=4,M53=6),M55="DC"),LOOKUP(M80,T!$X362:$X372,T!$U362:$U372),IF(AND(M51="4H4",OR(M53=2,M53=4,M53=6),M55="AC"),LOOKUP(M80,T!$X362:$X372,T!$V362:$V372),IF(AND(M51="4H4",OR(M53=3,M53=5,M53=7),M55="AC"),LOOKUP(M80,T!$X362:$X372,T!$W362:$W372),0)))))))))))))))))))),IF(ISNUMBER(SEARCH("4J",M51)),IF(AND(M51="4J1",OR(M53=2,M53=4,M53=6,M53=8,M53=11),M55="DC"),LOOKUP(M80,T!$AC378:$AC391,T!$U378:$U391),IF(AND(M51="4J1",OR(M53=2,M53=4),M55="AC"),LOOKUP(M80,T!$AC378:$AC391,T!$V378:$V391),IF(AND(M51="4J1",OR(M53=6,M53=8),M55="AC"),LOOKUP(M80,T!$AC378:$AC391,T!$W378:$W391),IF(AND(M51="4J1",OR(M53=11,M53=12),M55="AC",M57=1),LOOKUP(M80,T!$AC378:$AC391,T!$X378:$X391),IF(AND(M51="4J1",OR(M53=3,M53=5),M55="AC"),LOOKUP(M80,T!$AC378:$AC391,T!$Y378:$Y391),IF(AND(M51="4J1",OR(M53=7,M53=10),M55="AC"),LOOKUP(M80,T!$AC378:$AC391,T!$Z378:$Z391),IF(AND(M51="4J1",M53=9,M55="AC"),LOOKUP(M80,T!$AC378:$AC391,T!$AA378:$AA391),IF(AND(M51="4J1",OR(M53=11,M53=12),M55="AC",M57=3),LOOKUP(M80,T!$AC378:$AC391,T!$AB378:$AB391),IF(AND(M51="4J2",OR(M53=2,M53=4,M53=6,M53=8),M55="DC"),LOOKUP(M80,T!$X397:$X407,T!$U397:$U407),IF(AND(M51="4J2",OR(M53=2,M53=4,M53=6,M53=8),M55="AC"),LOOKUP(M80,T!$X397:$X407,T!$V397:$V407),IF(AND(M51="4J2",OR(M53=3,M53=5,M53=7,M53=9),M55="AC"),LOOKUP(M80,T!$X397:$X407,T!$W397:$W407),IF(AND(M51="4J3",OR(M53=2,M53=4,M53=7,M53=8),M55="DC"),LOOKUP(M80,T!$AA413:$AA426,T!$U413:$U426),IF(AND(M51="4J3",OR(M53=2,M53=4),M55="AC"),LOOKUP(M80,T!$AA413:$AA426,T!$V413:$V426),IF(AND(M51="4J3",OR(M53=9,M53=10),M55="AC"),LOOKUP(M80,T!$AA413:$AA426,T!$W413:$W426),IF(AND(M51="4J3",M53=6,M55="AC"),LOOKUP(M80,T!$AA413:$AA426,T!$X413:$X426),IF(AND(M51="4J3",OR(M53=3,M53=5),M55="AC"),LOOKUP(M80,T!$AA413:$AA426,T!$Y413:$Y426),IF(AND(M51="4J3",OR(M53=11,M53=12),M55="AC"),LOOKUP(M80,T!$AA413:$AA426,T!$Z413:$Z426),IF(AND(M51="4J4",OR(M53=2,M53=4,M53=6),M55="DC"),LOOKUP(M80,T!$X432:$X442,T!$U432:$U442),IF(AND(M51="4J4",OR(M53=2,M53=4,M53=6),M55="AC"),LOOKUP(M80,T!$X432:$X442,T!$V432:$V442),IF(AND(M51="4J4",OR(M53=3,M53=5,M53=7),M55="AC"),LOOKUP(M80,T!$X432:$X442,T!$W432:$W442),0)))))))))))))))))))),0)))*M23*M69)/1000))</f>
        <v/>
      </c>
      <c r="N98" s="158">
        <f>IF(N29="","",IF(OR(COUNT(N19:N21)=3,COUNT(N19:N21)=1),(IF(N29="",0,IF(ISNUMBER(SEARCH("4H",N51)),IF(AND(N51="4H1",OR(N53=2,N53=4,N53=6,N53=8,N53=11),N55="DC"),LOOKUP(N80,T!$AC308:$AC321,T!$U308:$U321),IF(AND(N51="4H1",OR(N53=2,N53=4),N55="AC"),LOOKUP(N80,T!$AC308:$AC321,T!$V308:$V321),IF(AND(N51="4H1",OR(N53=6,N53=8),N55="AC"),LOOKUP(N80,T!$AC308:$AC321,T!$W308:$W321),IF(AND(N51="4H1",OR(N53=11,N53=12),N55="AC",N57=1),LOOKUP(N80,T!$AC308:$AC321,T!$X308:$X321),IF(AND(N51="4H1",OR(N53=3,N53=5),N55="AC"),LOOKUP(N80,T!$AC308:$AC321,T!$Y308:$Y321),IF(AND(N51="4H1",OR(N53=7,N53=10),N55="AC"),LOOKUP(N80,T!$AC308:$AC321,T!$Z308:$Z321),IF(AND(N51="4H1",N53=9,N55="AC"),LOOKUP(N80,T!$AC308:$AC321,T!$AA308:$AA321),IF(AND(N51="4H1",OR(N53=11,N53=12),N55="AC",N57=3),LOOKUP(N80,T!$AC308:$AC321,T!$AB308:$AB321),IF(AND(N51="4H2",OR(N53=2,N53=4,N53=6,N53=8),N55="DC"),LOOKUP(N80,T!$X327:$X337,T!$U327:$U337),IF(AND(N51="4H2",OR(N53=2,N53=4,N53=6,N53=8),N55="AC"),LOOKUP(N80,T!$X327:$X337,T!$V327:$V337),IF(AND(N51="4H2",OR(N53=3,N53=5,N53=7,N53=9),N55="AC"),LOOKUP(N80,T!$X327:$X337,T!$W327:$W337),IF(AND(N51="4H3",OR(N53=2,N53=4,N53=7,N53=8),N55="DC"),LOOKUP(N80,T!$AA343:$AA356,T!$U343:$U356),IF(AND(N51="4H3",OR(N53=2,N53=4),N55="AC"),LOOKUP(N80,T!$AA343:$AA356,T!$V343:$V356),IF(AND(N51="4H3",OR(N53=9,N53=10),N55="AC"),LOOKUP(N80,T!$AA343:$AA$356,T!$W343:$W356),IF(AND(N51="4H3",N53=6,N55="AC"),LOOKUP(N80,T!$AA343:$AA356,T!$X343:$X356),IF(AND(N51="4H3",OR(N53=3,N53=5),N55="AC"),LOOKUP(N80,T!$AA343:$AA356,T!$Y343:$Y356),IF(AND(N51="4H3",OR(N53=11,N53=12),N55="AC"),LOOKUP(N80,T!$AA343:$AA356,T!$Z343:$Z356),IF(AND(N51="4H4",OR(N53=2,N53=4,N53=6),N55="DC"),LOOKUP(N80,T!$X362:$X372,T!$U362:$U372),IF(AND(N51="4H4",OR(N53=2,N53=4,N53=6),N55="AC"),LOOKUP(N80,T!$X362:$X372,T!$V362:$V372),IF(AND(N51="4H4",OR(N53=3,N53=5,N53=7),N55="AC"),LOOKUP(N80,T!$X362:$X372,T!$W362:$W372),0)))))))))))))))))))),IF(ISNUMBER(SEARCH("4J",N51)),IF(AND(N51="4J1",OR(N53=2,N53=4,N53=6,N53=8,N53=11),N55="DC"),LOOKUP(N80,T!$AC378:$AC391,T!$U378:$U391),IF(AND(N51="4J1",OR(N53=2,N53=4),N55="AC"),LOOKUP(N80,T!$AC378:$AC391,T!$V378:$V391),IF(AND(N51="4J1",OR(N53=6,N53=8),N55="AC"),LOOKUP(N80,T!$AC378:$AC391,T!$W378:$W391),IF(AND(N51="4J1",OR(N53=11,N53=12),N55="AC",N57=1),LOOKUP(N80,T!$AC378:$AC391,T!$X378:$X391),IF(AND(N51="4J1",OR(N53=3,N53=5),N55="AC"),LOOKUP(N80,T!$AC378:$AC391,T!$Y378:$Y391),IF(AND(N51="4J1",OR(N53=7,N53=10),N55="AC"),LOOKUP(N80,T!$AC378:$AC391,T!$Z378:$Z391),IF(AND(N51="4J1",N53=9,N55="AC"),LOOKUP(N80,T!$AC378:$AC391,T!$AA378:$AA391),IF(AND(N51="4J1",OR(N53=11,N53=12),N55="AC",N57=3),LOOKUP(N80,T!$AC378:$AC391,T!$AB378:$AB391),IF(AND(N51="4J2",OR(N53=2,N53=4,N53=6,N53=8),N55="DC"),LOOKUP(N80,T!$X397:$X407,T!$U397:$U407),IF(AND(N51="4J2",OR(N53=2,N53=4,N53=6,N53=8),N55="AC"),LOOKUP(N80,T!$X397:$X407,T!$V397:$V407),IF(AND(N51="4J2",OR(N53=3,N53=5,N53=7,N53=9),N55="AC"),LOOKUP(N80,T!$X397:$X407,T!$W397:$W407),IF(AND(N51="4J3",OR(N53=2,N53=4,N53=7,N53=8),N55="DC"),LOOKUP(N80,T!$AA413:$AA426,T!$U413:$U426),IF(AND(N51="4J3",OR(N53=2,N53=4),N55="AC"),LOOKUP(N80,T!$AA413:$AA426,T!$V413:$V426),IF(AND(N51="4J3",OR(N53=9,N53=10),N55="AC"),LOOKUP(N80,T!$AA413:$AA426,T!$W413:$W426),IF(AND(N51="4J3",N53=6,N55="AC"),LOOKUP(N80,T!$AA413:$AA426,T!$X413:$X426),IF(AND(N51="4J3",OR(N53=3,N53=5),N55="AC"),LOOKUP(N80,T!$AA413:$AA426,T!$Y413:$Y426),IF(AND(N51="4J3",OR(N53=11,N53=12),N55="AC"),LOOKUP(N80,T!$AA413:$AA426,T!$Z413:$Z426),IF(AND(N51="4J4",OR(N53=2,N53=4,N53=6),N55="DC"),LOOKUP(N80,T!$X432:$X442,T!$U432:$U442),IF(AND(N51="4J4",OR(N53=2,N53=4,N53=6),N55="AC"),LOOKUP(N80,T!$X432:$X442,T!$V432:$V442),IF(AND(N51="4J4",OR(N53=3,N53=5,N53=7),N55="AC"),LOOKUP(N80,T!$X432:$X442,T!$W432:$W442),0)))))))))))))))))))),0)))*N23*N69)/1000))</f>
        <v>0</v>
      </c>
      <c r="O98" s="128" t="str">
        <f t="shared" si="23"/>
        <v/>
      </c>
    </row>
    <row r="99" spans="1:58" s="168" customFormat="1" ht="17">
      <c r="A99" s="188"/>
      <c r="B99" s="395"/>
      <c r="C99" s="392"/>
      <c r="D99" s="158">
        <f>IF(D29="","",IF(OR(COUNT(D19:D21)=3,COUNT(D19:D21)=1),(IF(D29="",0,IF(ISNUMBER(SEARCH("4H",D51)),IF(AND(D51="4H1",OR(D53=2,D53=4,D53=6,D53=8,D53=11),D55="DC"),LOOKUP(D81,T!$AC308:$AC321,T!$U308:$U321),IF(AND(D51="4H1",OR(D53=2,D53=4),D55="AC"),LOOKUP(D81,T!$AC308:$AC321,T!$V308:$V321),IF(AND(D51="4H1",OR(D53=6,D53=8),D55="AC"),LOOKUP(D81,T!$AC308:$AC321,T!$W308:$W321),IF(AND(D51="4H1",OR(D53=11,D53=12),D55="AC",D57=1),LOOKUP(D81,T!$AC308:$AC321,T!$X308:$X321),IF(AND(D51="4H1",OR(D53=3,D53=5),D55="AC"),LOOKUP(D81,T!$AC308:$AC321,T!$Y308:$Y321),IF(AND(D51="4H1",OR(D53=7,D53=10),D55="AC"),LOOKUP(D81,T!$AC308:$AC321,T!$Z308:$Z321),IF(AND(D51="4H1",D53=9,D55="AC"),LOOKUP(D81,T!$AC308:$AC321,T!$AA308:$AA321),IF(AND(D51="4H1",OR(D53=11,D53=12),D55="AC",D57=3),LOOKUP(D81,T!$AC308:$AC321,T!$AB308:$AB321),IF(AND(D51="4H2",OR(D53=2,D53=4,D53=6,D53=8),D55="DC"),LOOKUP(D81,T!$X327:$X337,T!$U327:$U337),IF(AND(D51="4H2",OR(D53=2,D53=4,D53=6,D53=8),D55="AC"),LOOKUP(D81,T!$X327:$X337,T!$V327:$V337),IF(AND(D51="4H2",OR(D53=3,D53=5,D53=7,D53=9),D55="AC"),LOOKUP(D81,T!$X327:$X337,T!$W327:$W337),IF(AND(D51="4H3",OR(D53=2,D53=4,D53=7,D53=8),D55="DC"),LOOKUP(D81,T!$AA343:$AA356,T!$U343:$U356),IF(AND(D51="4H3",OR(D53=2,D53=4),D55="AC"),LOOKUP(D81,T!$AA343:$AA356,T!$V343:$V356),IF(AND(D51="4H3",OR(D53=9,D53=10),D55="AC"),LOOKUP(D81,T!$AA343:$AA$356,T!$W343:$W356),IF(AND(D51="4H3",D53=6,D55="AC"),LOOKUP(D81,T!$AA343:$AA356,T!$X343:$X356),IF(AND(D51="4H3",OR(D53=3,D53=5),D55="AC"),LOOKUP(D81,T!$AA343:$AA356,T!$Y343:$Y356),IF(AND(D51="4H3",OR(D53=11,D53=12),D55="AC"),LOOKUP(D81,T!$AA343:$AA356,T!$Z343:$Z356),IF(AND(D51="4H4",OR(D53=2,D53=4,D53=6),D55="DC"),LOOKUP(D81,T!$X362:$X372,T!$U362:$U372),IF(AND(D51="4H4",OR(D53=2,D53=4,D53=6),D55="AC"),LOOKUP(D81,T!$X362:$X372,T!$V362:$V372),IF(AND(D51="4H4",OR(D53=3,D53=5,D53=7),D55="AC"),LOOKUP(D81,T!$X362:$X372,T!$W362:$W372),0)))))))))))))))))))),IF(ISNUMBER(SEARCH("4J",D51)),IF(AND(D51="4J1",OR(D53=2,D53=4,D53=6,D53=8,D53=11),D55="DC"),LOOKUP(D81,T!$AC378:$AC391,T!$U378:$U391),IF(AND(D51="4J1",OR(D53=2,D53=4),D55="AC"),LOOKUP(D81,T!$AC378:$AC391,T!$V378:$V391),IF(AND(D51="4J1",OR(D53=6,D53=8),D55="AC"),LOOKUP(D81,T!$AC378:$AC391,T!$W378:$W391),IF(AND(D51="4J1",OR(D53=11,D53=12),D55="AC",D57=1),LOOKUP(D81,T!$AC378:$AC391,T!$X378:$X391),IF(AND(D51="4J1",OR(D53=3,D53=5),D55="AC"),LOOKUP(D81,T!$AC378:$AC391,T!$Y378:$Y391),IF(AND(D51="4J1",OR(D53=7,D53=10),D55="AC"),LOOKUP(D81,T!$AC378:$AC391,T!$Z378:$Z391),IF(AND(D51="4J1",D53=9,D55="AC"),LOOKUP(D81,T!$AC378:$AC391,T!$AA378:$AA391),IF(AND(D51="4J1",OR(D53=11,D53=12),D55="AC",D57=3),LOOKUP(D81,T!$AC378:$AC391,T!$AB378:$AB391),IF(AND(D51="4J2",OR(D53=2,D53=4,D53=6,D53=8),D55="DC"),LOOKUP(D81,T!$X397:$X407,T!$U397:$U407),IF(AND(D51="4J2",OR(D53=2,D53=4,D53=6,D53=8),D55="AC"),LOOKUP(D81,T!$X397:$X407,T!$V397:$V407),IF(AND(D51="4J2",OR(D53=3,D53=5,D53=7,D53=9),D55="AC"),LOOKUP(D81,T!$X397:$X407,T!$W397:$W407),IF(AND(D51="4J3",OR(D53=2,D53=4,D53=7,D53=8),D55="DC"),LOOKUP(D81,T!$AA413:$AA426,T!$U413:$U426),IF(AND(D51="4J3",OR(D53=2,D53=4),D55="AC"),LOOKUP(D81,T!$AA413:$AA426,T!$V413:$V426),IF(AND(D51="4J3",OR(D53=9,D53=10),D55="AC"),LOOKUP(D81,T!$AA413:$AA426,T!$W413:$W426),IF(AND(D51="4J3",D53=6,D55="AC"),LOOKUP(D81,T!$AA413:$AA426,T!$X413:$X426),IF(AND(D51="4J3",OR(D53=3,D53=5),D55="AC"),LOOKUP(D81,T!$AA413:$AA426,T!$Y413:$Y426),IF(AND(D51="4J3",OR(D53=11,D53=12),D55="AC"),LOOKUP(D81,T!$AA413:$AA426,T!$Z413:$Z426),IF(AND(D51="4J4",OR(D53=2,D53=4,D53=6),D55="DC"),LOOKUP(D81,T!$X432:$X442,T!$U432:$U442),IF(AND(D51="4J4",OR(D53=2,D53=4,D53=6),D55="AC"),LOOKUP(D81,T!$X432:$X442,T!$V432:$V442),IF(AND(D51="4J4",OR(D53=3,D53=5,D53=7),D55="AC"),LOOKUP(D81,T!$X432:$X442,T!$W432:$W442),0)))))))))))))))))))),0)))*D23*D69)/1000))</f>
        <v>0</v>
      </c>
      <c r="E99" s="158">
        <f ca="1">IF(E29="","",IF(OR(COUNT(E19:E21)=3,COUNT(E19:E21)=1),(IF(E29="",0,IF(ISNUMBER(SEARCH("4H",E51)),IF(AND(E51="4H1",OR(E53=2,E53=4,E53=6,E53=8,E53=11),E55="DC"),LOOKUP(E81,T!$AC308:$AC321,T!$U308:$U321),IF(AND(E51="4H1",OR(E53=2,E53=4),E55="AC"),LOOKUP(E81,T!$AC308:$AC321,T!$V308:$V321),IF(AND(E51="4H1",OR(E53=6,E53=8),E55="AC"),LOOKUP(E81,T!$AC308:$AC321,T!$W308:$W321),IF(AND(E51="4H1",OR(E53=11,E53=12),E55="AC",E57=1),LOOKUP(E81,T!$AC308:$AC321,T!$X308:$X321),IF(AND(E51="4H1",OR(E53=3,E53=5),E55="AC"),LOOKUP(E81,T!$AC308:$AC321,T!$Y308:$Y321),IF(AND(E51="4H1",OR(E53=7,E53=10),E55="AC"),LOOKUP(E81,T!$AC308:$AC321,T!$Z308:$Z321),IF(AND(E51="4H1",E53=9,E55="AC"),LOOKUP(E81,T!$AC308:$AC321,T!$AA308:$AA321),IF(AND(E51="4H1",OR(E53=11,E53=12),E55="AC",E57=3),LOOKUP(E81,T!$AC308:$AC321,T!$AB308:$AB321),IF(AND(E51="4H2",OR(E53=2,E53=4,E53=6,E53=8),E55="DC"),LOOKUP(E81,T!$X327:$X337,T!$U327:$U337),IF(AND(E51="4H2",OR(E53=2,E53=4,E53=6,E53=8),E55="AC"),LOOKUP(E81,T!$X327:$X337,T!$V327:$V337),IF(AND(E51="4H2",OR(E53=3,E53=5,E53=7,E53=9),E55="AC"),LOOKUP(E81,T!$X327:$X337,T!$W327:$W337),IF(AND(E51="4H3",OR(E53=2,E53=4,E53=7,E53=8),E55="DC"),LOOKUP(E81,T!$AA343:$AA356,T!$U343:$U356),IF(AND(E51="4H3",OR(E53=2,E53=4),E55="AC"),LOOKUP(E81,T!$AA343:$AA356,T!$V343:$V356),IF(AND(E51="4H3",OR(E53=9,E53=10),E55="AC"),LOOKUP(E81,T!$AA343:$AA$356,T!$W343:$W356),IF(AND(E51="4H3",E53=6,E55="AC"),LOOKUP(E81,T!$AA343:$AA356,T!$X343:$X356),IF(AND(E51="4H3",OR(E53=3,E53=5),E55="AC"),LOOKUP(E81,T!$AA343:$AA356,T!$Y343:$Y356),IF(AND(E51="4H3",OR(E53=11,E53=12),E55="AC"),LOOKUP(E81,T!$AA343:$AA356,T!$Z343:$Z356),IF(AND(E51="4H4",OR(E53=2,E53=4,E53=6),E55="DC"),LOOKUP(E81,T!$X362:$X372,T!$U362:$U372),IF(AND(E51="4H4",OR(E53=2,E53=4,E53=6),E55="AC"),LOOKUP(E81,T!$X362:$X372,T!$V362:$V372),IF(AND(E51="4H4",OR(E53=3,E53=5,E53=7),E55="AC"),LOOKUP(E81,T!$X362:$X372,T!$W362:$W372),0)))))))))))))))))))),IF(ISNUMBER(SEARCH("4J",E51)),IF(AND(E51="4J1",OR(E53=2,E53=4,E53=6,E53=8,E53=11),E55="DC"),LOOKUP(E81,T!$AC378:$AC391,T!$U378:$U391),IF(AND(E51="4J1",OR(E53=2,E53=4),E55="AC"),LOOKUP(E81,T!$AC378:$AC391,T!$V378:$V391),IF(AND(E51="4J1",OR(E53=6,E53=8),E55="AC"),LOOKUP(E81,T!$AC378:$AC391,T!$W378:$W391),IF(AND(E51="4J1",OR(E53=11,E53=12),E55="AC",E57=1),LOOKUP(E81,T!$AC378:$AC391,T!$X378:$X391),IF(AND(E51="4J1",OR(E53=3,E53=5),E55="AC"),LOOKUP(E81,T!$AC378:$AC391,T!$Y378:$Y391),IF(AND(E51="4J1",OR(E53=7,E53=10),E55="AC"),LOOKUP(E81,T!$AC378:$AC391,T!$Z378:$Z391),IF(AND(E51="4J1",E53=9,E55="AC"),LOOKUP(E81,T!$AC378:$AC391,T!$AA378:$AA391),IF(AND(E51="4J1",OR(E53=11,E53=12),E55="AC",E57=3),LOOKUP(E81,T!$AC378:$AC391,T!$AB378:$AB391),IF(AND(E51="4J2",OR(E53=2,E53=4,E53=6,E53=8),E55="DC"),LOOKUP(E81,T!$X397:$X407,T!$U397:$U407),IF(AND(E51="4J2",OR(E53=2,E53=4,E53=6,E53=8),E55="AC"),LOOKUP(E81,T!$X397:$X407,T!$V397:$V407),IF(AND(E51="4J2",OR(E53=3,E53=5,E53=7,E53=9),E55="AC"),LOOKUP(E81,T!$X397:$X407,T!$W397:$W407),IF(AND(E51="4J3",OR(E53=2,E53=4,E53=7,E53=8),E55="DC"),LOOKUP(E81,T!$AA413:$AA426,T!$U413:$U426),IF(AND(E51="4J3",OR(E53=2,E53=4),E55="AC"),LOOKUP(E81,T!$AA413:$AA426,T!$V413:$V426),IF(AND(E51="4J3",OR(E53=9,E53=10),E55="AC"),LOOKUP(E81,T!$AA413:$AA426,T!$W413:$W426),IF(AND(E51="4J3",E53=6,E55="AC"),LOOKUP(E81,T!$AA413:$AA426,T!$X413:$X426),IF(AND(E51="4J3",OR(E53=3,E53=5),E55="AC"),LOOKUP(E81,T!$AA413:$AA426,T!$Y413:$Y426),IF(AND(E51="4J3",OR(E53=11,E53=12),E55="AC"),LOOKUP(E81,T!$AA413:$AA426,T!$Z413:$Z426),IF(AND(E51="4J4",OR(E53=2,E53=4,E53=6),E55="DC"),LOOKUP(E81,T!$X432:$X442,T!$U432:$U442),IF(AND(E51="4J4",OR(E53=2,E53=4,E53=6),E55="AC"),LOOKUP(E81,T!$X432:$X442,T!$V432:$V442),IF(AND(E51="4J4",OR(E53=3,E53=5,E53=7),E55="AC"),LOOKUP(E81,T!$X432:$X442,T!$W432:$W442),0)))))))))))))))))))),0)))*E23*E69)/1000))</f>
        <v>0</v>
      </c>
      <c r="F99" s="158">
        <f ca="1">IF(F29="","",IF(OR(COUNT(F19:F21)=3,COUNT(F19:F21)=1),(IF(F29="",0,IF(ISNUMBER(SEARCH("4H",F51)),IF(AND(F51="4H1",OR(F53=2,F53=4,F53=6,F53=8,F53=11),F55="DC"),LOOKUP(F81,T!$AC308:$AC321,T!$U308:$U321),IF(AND(F51="4H1",OR(F53=2,F53=4),F55="AC"),LOOKUP(F81,T!$AC308:$AC321,T!$V308:$V321),IF(AND(F51="4H1",OR(F53=6,F53=8),F55="AC"),LOOKUP(F81,T!$AC308:$AC321,T!$W308:$W321),IF(AND(F51="4H1",OR(F53=11,F53=12),F55="AC",F57=1),LOOKUP(F81,T!$AC308:$AC321,T!$X308:$X321),IF(AND(F51="4H1",OR(F53=3,F53=5),F55="AC"),LOOKUP(F81,T!$AC308:$AC321,T!$Y308:$Y321),IF(AND(F51="4H1",OR(F53=7,F53=10),F55="AC"),LOOKUP(F81,T!$AC308:$AC321,T!$Z308:$Z321),IF(AND(F51="4H1",F53=9,F55="AC"),LOOKUP(F81,T!$AC308:$AC321,T!$AA308:$AA321),IF(AND(F51="4H1",OR(F53=11,F53=12),F55="AC",F57=3),LOOKUP(F81,T!$AC308:$AC321,T!$AB308:$AB321),IF(AND(F51="4H2",OR(F53=2,F53=4,F53=6,F53=8),F55="DC"),LOOKUP(F81,T!$X327:$X337,T!$U327:$U337),IF(AND(F51="4H2",OR(F53=2,F53=4,F53=6,F53=8),F55="AC"),LOOKUP(F81,T!$X327:$X337,T!$V327:$V337),IF(AND(F51="4H2",OR(F53=3,F53=5,F53=7,F53=9),F55="AC"),LOOKUP(F81,T!$X327:$X337,T!$W327:$W337),IF(AND(F51="4H3",OR(F53=2,F53=4,F53=7,F53=8),F55="DC"),LOOKUP(F81,T!$AA343:$AA356,T!$U343:$U356),IF(AND(F51="4H3",OR(F53=2,F53=4),F55="AC"),LOOKUP(F81,T!$AA343:$AA356,T!$V343:$V356),IF(AND(F51="4H3",OR(F53=9,F53=10),F55="AC"),LOOKUP(F81,T!$AA343:$AA$356,T!$W343:$W356),IF(AND(F51="4H3",F53=6,F55="AC"),LOOKUP(F81,T!$AA343:$AA356,T!$X343:$X356),IF(AND(F51="4H3",OR(F53=3,F53=5),F55="AC"),LOOKUP(F81,T!$AA343:$AA356,T!$Y343:$Y356),IF(AND(F51="4H3",OR(F53=11,F53=12),F55="AC"),LOOKUP(F81,T!$AA343:$AA356,T!$Z343:$Z356),IF(AND(F51="4H4",OR(F53=2,F53=4,F53=6),F55="DC"),LOOKUP(F81,T!$X362:$X372,T!$U362:$U372),IF(AND(F51="4H4",OR(F53=2,F53=4,F53=6),F55="AC"),LOOKUP(F81,T!$X362:$X372,T!$V362:$V372),IF(AND(F51="4H4",OR(F53=3,F53=5,F53=7),F55="AC"),LOOKUP(F81,T!$X362:$X372,T!$W362:$W372),0)))))))))))))))))))),IF(ISNUMBER(SEARCH("4J",F51)),IF(AND(F51="4J1",OR(F53=2,F53=4,F53=6,F53=8,F53=11),F55="DC"),LOOKUP(F81,T!$AC378:$AC391,T!$U378:$U391),IF(AND(F51="4J1",OR(F53=2,F53=4),F55="AC"),LOOKUP(F81,T!$AC378:$AC391,T!$V378:$V391),IF(AND(F51="4J1",OR(F53=6,F53=8),F55="AC"),LOOKUP(F81,T!$AC378:$AC391,T!$W378:$W391),IF(AND(F51="4J1",OR(F53=11,F53=12),F55="AC",F57=1),LOOKUP(F81,T!$AC378:$AC391,T!$X378:$X391),IF(AND(F51="4J1",OR(F53=3,F53=5),F55="AC"),LOOKUP(F81,T!$AC378:$AC391,T!$Y378:$Y391),IF(AND(F51="4J1",OR(F53=7,F53=10),F55="AC"),LOOKUP(F81,T!$AC378:$AC391,T!$Z378:$Z391),IF(AND(F51="4J1",F53=9,F55="AC"),LOOKUP(F81,T!$AC378:$AC391,T!$AA378:$AA391),IF(AND(F51="4J1",OR(F53=11,F53=12),F55="AC",F57=3),LOOKUP(F81,T!$AC378:$AC391,T!$AB378:$AB391),IF(AND(F51="4J2",OR(F53=2,F53=4,F53=6,F53=8),F55="DC"),LOOKUP(F81,T!$X397:$X407,T!$U397:$U407),IF(AND(F51="4J2",OR(F53=2,F53=4,F53=6,F53=8),F55="AC"),LOOKUP(F81,T!$X397:$X407,T!$V397:$V407),IF(AND(F51="4J2",OR(F53=3,F53=5,F53=7,F53=9),F55="AC"),LOOKUP(F81,T!$X397:$X407,T!$W397:$W407),IF(AND(F51="4J3",OR(F53=2,F53=4,F53=7,F53=8),F55="DC"),LOOKUP(F81,T!$AA413:$AA426,T!$U413:$U426),IF(AND(F51="4J3",OR(F53=2,F53=4),F55="AC"),LOOKUP(F81,T!$AA413:$AA426,T!$V413:$V426),IF(AND(F51="4J3",OR(F53=9,F53=10),F55="AC"),LOOKUP(F81,T!$AA413:$AA426,T!$W413:$W426),IF(AND(F51="4J3",F53=6,F55="AC"),LOOKUP(F81,T!$AA413:$AA426,T!$X413:$X426),IF(AND(F51="4J3",OR(F53=3,F53=5),F55="AC"),LOOKUP(F81,T!$AA413:$AA426,T!$Y413:$Y426),IF(AND(F51="4J3",OR(F53=11,F53=12),F55="AC"),LOOKUP(F81,T!$AA413:$AA426,T!$Z413:$Z426),IF(AND(F51="4J4",OR(F53=2,F53=4,F53=6),F55="DC"),LOOKUP(F81,T!$X432:$X442,T!$U432:$U442),IF(AND(F51="4J4",OR(F53=2,F53=4,F53=6),F55="AC"),LOOKUP(F81,T!$X432:$X442,T!$V432:$V442),IF(AND(F51="4J4",OR(F53=3,F53=5,F53=7),F55="AC"),LOOKUP(F81,T!$X432:$X442,T!$W432:$W442),0)))))))))))))))))))),0)))*F23*F69)/1000))</f>
        <v>0</v>
      </c>
      <c r="G99" s="158">
        <f ca="1">IF(G29="","",IF(OR(COUNT(G19:G21)=3,COUNT(G19:G21)=1),(IF(G29="",0,IF(ISNUMBER(SEARCH("4H",G51)),IF(AND(G51="4H1",OR(G53=2,G53=4,G53=6,G53=8,G53=11),G55="DC"),LOOKUP(G81,T!$AC308:$AC321,T!$U308:$U321),IF(AND(G51="4H1",OR(G53=2,G53=4),G55="AC"),LOOKUP(G81,T!$AC308:$AC321,T!$V308:$V321),IF(AND(G51="4H1",OR(G53=6,G53=8),G55="AC"),LOOKUP(G81,T!$AC308:$AC321,T!$W308:$W321),IF(AND(G51="4H1",OR(G53=11,G53=12),G55="AC",G57=1),LOOKUP(G81,T!$AC308:$AC321,T!$X308:$X321),IF(AND(G51="4H1",OR(G53=3,G53=5),G55="AC"),LOOKUP(G81,T!$AC308:$AC321,T!$Y308:$Y321),IF(AND(G51="4H1",OR(G53=7,G53=10),G55="AC"),LOOKUP(G81,T!$AC308:$AC321,T!$Z308:$Z321),IF(AND(G51="4H1",G53=9,G55="AC"),LOOKUP(G81,T!$AC308:$AC321,T!$AA308:$AA321),IF(AND(G51="4H1",OR(G53=11,G53=12),G55="AC",G57=3),LOOKUP(G81,T!$AC308:$AC321,T!$AB308:$AB321),IF(AND(G51="4H2",OR(G53=2,G53=4,G53=6,G53=8),G55="DC"),LOOKUP(G81,T!$X327:$X337,T!$U327:$U337),IF(AND(G51="4H2",OR(G53=2,G53=4,G53=6,G53=8),G55="AC"),LOOKUP(G81,T!$X327:$X337,T!$V327:$V337),IF(AND(G51="4H2",OR(G53=3,G53=5,G53=7,G53=9),G55="AC"),LOOKUP(G81,T!$X327:$X337,T!$W327:$W337),IF(AND(G51="4H3",OR(G53=2,G53=4,G53=7,G53=8),G55="DC"),LOOKUP(G81,T!$AA343:$AA356,T!$U343:$U356),IF(AND(G51="4H3",OR(G53=2,G53=4),G55="AC"),LOOKUP(G81,T!$AA343:$AA356,T!$V343:$V356),IF(AND(G51="4H3",OR(G53=9,G53=10),G55="AC"),LOOKUP(G81,T!$AA343:$AA$356,T!$W343:$W356),IF(AND(G51="4H3",G53=6,G55="AC"),LOOKUP(G81,T!$AA343:$AA356,T!$X343:$X356),IF(AND(G51="4H3",OR(G53=3,G53=5),G55="AC"),LOOKUP(G81,T!$AA343:$AA356,T!$Y343:$Y356),IF(AND(G51="4H3",OR(G53=11,G53=12),G55="AC"),LOOKUP(G81,T!$AA343:$AA356,T!$Z343:$Z356),IF(AND(G51="4H4",OR(G53=2,G53=4,G53=6),G55="DC"),LOOKUP(G81,T!$X362:$X372,T!$U362:$U372),IF(AND(G51="4H4",OR(G53=2,G53=4,G53=6),G55="AC"),LOOKUP(G81,T!$X362:$X372,T!$V362:$V372),IF(AND(G51="4H4",OR(G53=3,G53=5,G53=7),G55="AC"),LOOKUP(G81,T!$X362:$X372,T!$W362:$W372),0)))))))))))))))))))),IF(ISNUMBER(SEARCH("4J",G51)),IF(AND(G51="4J1",OR(G53=2,G53=4,G53=6,G53=8,G53=11),G55="DC"),LOOKUP(G81,T!$AC378:$AC391,T!$U378:$U391),IF(AND(G51="4J1",OR(G53=2,G53=4),G55="AC"),LOOKUP(G81,T!$AC378:$AC391,T!$V378:$V391),IF(AND(G51="4J1",OR(G53=6,G53=8),G55="AC"),LOOKUP(G81,T!$AC378:$AC391,T!$W378:$W391),IF(AND(G51="4J1",OR(G53=11,G53=12),G55="AC",G57=1),LOOKUP(G81,T!$AC378:$AC391,T!$X378:$X391),IF(AND(G51="4J1",OR(G53=3,G53=5),G55="AC"),LOOKUP(G81,T!$AC378:$AC391,T!$Y378:$Y391),IF(AND(G51="4J1",OR(G53=7,G53=10),G55="AC"),LOOKUP(G81,T!$AC378:$AC391,T!$Z378:$Z391),IF(AND(G51="4J1",G53=9,G55="AC"),LOOKUP(G81,T!$AC378:$AC391,T!$AA378:$AA391),IF(AND(G51="4J1",OR(G53=11,G53=12),G55="AC",G57=3),LOOKUP(G81,T!$AC378:$AC391,T!$AB378:$AB391),IF(AND(G51="4J2",OR(G53=2,G53=4,G53=6,G53=8),G55="DC"),LOOKUP(G81,T!$X397:$X407,T!$U397:$U407),IF(AND(G51="4J2",OR(G53=2,G53=4,G53=6,G53=8),G55="AC"),LOOKUP(G81,T!$X397:$X407,T!$V397:$V407),IF(AND(G51="4J2",OR(G53=3,G53=5,G53=7,G53=9),G55="AC"),LOOKUP(G81,T!$X397:$X407,T!$W397:$W407),IF(AND(G51="4J3",OR(G53=2,G53=4,G53=7,G53=8),G55="DC"),LOOKUP(G81,T!$AA413:$AA426,T!$U413:$U426),IF(AND(G51="4J3",OR(G53=2,G53=4),G55="AC"),LOOKUP(G81,T!$AA413:$AA426,T!$V413:$V426),IF(AND(G51="4J3",OR(G53=9,G53=10),G55="AC"),LOOKUP(G81,T!$AA413:$AA426,T!$W413:$W426),IF(AND(G51="4J3",G53=6,G55="AC"),LOOKUP(G81,T!$AA413:$AA426,T!$X413:$X426),IF(AND(G51="4J3",OR(G53=3,G53=5),G55="AC"),LOOKUP(G81,T!$AA413:$AA426,T!$Y413:$Y426),IF(AND(G51="4J3",OR(G53=11,G53=12),G55="AC"),LOOKUP(G81,T!$AA413:$AA426,T!$Z413:$Z426),IF(AND(G51="4J4",OR(G53=2,G53=4,G53=6),G55="DC"),LOOKUP(G81,T!$X432:$X442,T!$U432:$U442),IF(AND(G51="4J4",OR(G53=2,G53=4,G53=6),G55="AC"),LOOKUP(G81,T!$X432:$X442,T!$V432:$V442),IF(AND(G51="4J4",OR(G53=3,G53=5,G53=7),G55="AC"),LOOKUP(G81,T!$X432:$X442,T!$W432:$W442),0)))))))))))))))))))),0)))*G23*G69)/1000))</f>
        <v>0</v>
      </c>
      <c r="H99" s="158">
        <f ca="1">IF(H29="","",IF(OR(COUNT(H19:H21)=3,COUNT(H19:H21)=1),(IF(H29="",0,IF(ISNUMBER(SEARCH("4H",H51)),IF(AND(H51="4H1",OR(H53=2,H53=4,H53=6,H53=8,H53=11),H55="DC"),LOOKUP(H81,T!$AC308:$AC321,T!$U308:$U321),IF(AND(H51="4H1",OR(H53=2,H53=4),H55="AC"),LOOKUP(H81,T!$AC308:$AC321,T!$V308:$V321),IF(AND(H51="4H1",OR(H53=6,H53=8),H55="AC"),LOOKUP(H81,T!$AC308:$AC321,T!$W308:$W321),IF(AND(H51="4H1",OR(H53=11,H53=12),H55="AC",H57=1),LOOKUP(H81,T!$AC308:$AC321,T!$X308:$X321),IF(AND(H51="4H1",OR(H53=3,H53=5),H55="AC"),LOOKUP(H81,T!$AC308:$AC321,T!$Y308:$Y321),IF(AND(H51="4H1",OR(H53=7,H53=10),H55="AC"),LOOKUP(H81,T!$AC308:$AC321,T!$Z308:$Z321),IF(AND(H51="4H1",H53=9,H55="AC"),LOOKUP(H81,T!$AC308:$AC321,T!$AA308:$AA321),IF(AND(H51="4H1",OR(H53=11,H53=12),H55="AC",H57=3),LOOKUP(H81,T!$AC308:$AC321,T!$AB308:$AB321),IF(AND(H51="4H2",OR(H53=2,H53=4,H53=6,H53=8),H55="DC"),LOOKUP(H81,T!$X327:$X337,T!$U327:$U337),IF(AND(H51="4H2",OR(H53=2,H53=4,H53=6,H53=8),H55="AC"),LOOKUP(H81,T!$X327:$X337,T!$V327:$V337),IF(AND(H51="4H2",OR(H53=3,H53=5,H53=7,H53=9),H55="AC"),LOOKUP(H81,T!$X327:$X337,T!$W327:$W337),IF(AND(H51="4H3",OR(H53=2,H53=4,H53=7,H53=8),H55="DC"),LOOKUP(H81,T!$AA343:$AA356,T!$U343:$U356),IF(AND(H51="4H3",OR(H53=2,H53=4),H55="AC"),LOOKUP(H81,T!$AA343:$AA356,T!$V343:$V356),IF(AND(H51="4H3",OR(H53=9,H53=10),H55="AC"),LOOKUP(H81,T!$AA343:$AA$356,T!$W343:$W356),IF(AND(H51="4H3",H53=6,H55="AC"),LOOKUP(H81,T!$AA343:$AA356,T!$X343:$X356),IF(AND(H51="4H3",OR(H53=3,H53=5),H55="AC"),LOOKUP(H81,T!$AA343:$AA356,T!$Y343:$Y356),IF(AND(H51="4H3",OR(H53=11,H53=12),H55="AC"),LOOKUP(H81,T!$AA343:$AA356,T!$Z343:$Z356),IF(AND(H51="4H4",OR(H53=2,H53=4,H53=6),H55="DC"),LOOKUP(H81,T!$X362:$X372,T!$U362:$U372),IF(AND(H51="4H4",OR(H53=2,H53=4,H53=6),H55="AC"),LOOKUP(H81,T!$X362:$X372,T!$V362:$V372),IF(AND(H51="4H4",OR(H53=3,H53=5,H53=7),H55="AC"),LOOKUP(H81,T!$X362:$X372,T!$W362:$W372),0)))))))))))))))))))),IF(ISNUMBER(SEARCH("4J",H51)),IF(AND(H51="4J1",OR(H53=2,H53=4,H53=6,H53=8,H53=11),H55="DC"),LOOKUP(H81,T!$AC378:$AC391,T!$U378:$U391),IF(AND(H51="4J1",OR(H53=2,H53=4),H55="AC"),LOOKUP(H81,T!$AC378:$AC391,T!$V378:$V391),IF(AND(H51="4J1",OR(H53=6,H53=8),H55="AC"),LOOKUP(H81,T!$AC378:$AC391,T!$W378:$W391),IF(AND(H51="4J1",OR(H53=11,H53=12),H55="AC",H57=1),LOOKUP(H81,T!$AC378:$AC391,T!$X378:$X391),IF(AND(H51="4J1",OR(H53=3,H53=5),H55="AC"),LOOKUP(H81,T!$AC378:$AC391,T!$Y378:$Y391),IF(AND(H51="4J1",OR(H53=7,H53=10),H55="AC"),LOOKUP(H81,T!$AC378:$AC391,T!$Z378:$Z391),IF(AND(H51="4J1",H53=9,H55="AC"),LOOKUP(H81,T!$AC378:$AC391,T!$AA378:$AA391),IF(AND(H51="4J1",OR(H53=11,H53=12),H55="AC",H57=3),LOOKUP(H81,T!$AC378:$AC391,T!$AB378:$AB391),IF(AND(H51="4J2",OR(H53=2,H53=4,H53=6,H53=8),H55="DC"),LOOKUP(H81,T!$X397:$X407,T!$U397:$U407),IF(AND(H51="4J2",OR(H53=2,H53=4,H53=6,H53=8),H55="AC"),LOOKUP(H81,T!$X397:$X407,T!$V397:$V407),IF(AND(H51="4J2",OR(H53=3,H53=5,H53=7,H53=9),H55="AC"),LOOKUP(H81,T!$X397:$X407,T!$W397:$W407),IF(AND(H51="4J3",OR(H53=2,H53=4,H53=7,H53=8),H55="DC"),LOOKUP(H81,T!$AA413:$AA426,T!$U413:$U426),IF(AND(H51="4J3",OR(H53=2,H53=4),H55="AC"),LOOKUP(H81,T!$AA413:$AA426,T!$V413:$V426),IF(AND(H51="4J3",OR(H53=9,H53=10),H55="AC"),LOOKUP(H81,T!$AA413:$AA426,T!$W413:$W426),IF(AND(H51="4J3",H53=6,H55="AC"),LOOKUP(H81,T!$AA413:$AA426,T!$X413:$X426),IF(AND(H51="4J3",OR(H53=3,H53=5),H55="AC"),LOOKUP(H81,T!$AA413:$AA426,T!$Y413:$Y426),IF(AND(H51="4J3",OR(H53=11,H53=12),H55="AC"),LOOKUP(H81,T!$AA413:$AA426,T!$Z413:$Z426),IF(AND(H51="4J4",OR(H53=2,H53=4,H53=6),H55="DC"),LOOKUP(H81,T!$X432:$X442,T!$U432:$U442),IF(AND(H51="4J4",OR(H53=2,H53=4,H53=6),H55="AC"),LOOKUP(H81,T!$X432:$X442,T!$V432:$V442),IF(AND(H51="4J4",OR(H53=3,H53=5,H53=7),H55="AC"),LOOKUP(H81,T!$X432:$X442,T!$W432:$W442),0)))))))))))))))))))),0)))*H23*H69)/1000))</f>
        <v>0</v>
      </c>
      <c r="I99" s="158">
        <f>IF(I29="","",IF(OR(COUNT(I19:I21)=3,COUNT(I19:I21)=1),(IF(I29="",0,IF(ISNUMBER(SEARCH("4H",I51)),IF(AND(I51="4H1",OR(I53=2,I53=4,I53=6,I53=8,I53=11),I55="DC"),LOOKUP(I81,T!$AC308:$AC321,T!$U308:$U321),IF(AND(I51="4H1",OR(I53=2,I53=4),I55="AC"),LOOKUP(I81,T!$AC308:$AC321,T!$V308:$V321),IF(AND(I51="4H1",OR(I53=6,I53=8),I55="AC"),LOOKUP(I81,T!$AC308:$AC321,T!$W308:$W321),IF(AND(I51="4H1",OR(I53=11,I53=12),I55="AC",I57=1),LOOKUP(I81,T!$AC308:$AC321,T!$X308:$X321),IF(AND(I51="4H1",OR(I53=3,I53=5),I55="AC"),LOOKUP(I81,T!$AC308:$AC321,T!$Y308:$Y321),IF(AND(I51="4H1",OR(I53=7,I53=10),I55="AC"),LOOKUP(I81,T!$AC308:$AC321,T!$Z308:$Z321),IF(AND(I51="4H1",I53=9,I55="AC"),LOOKUP(I81,T!$AC308:$AC321,T!$AA308:$AA321),IF(AND(I51="4H1",OR(I53=11,I53=12),I55="AC",I57=3),LOOKUP(I81,T!$AC308:$AC321,T!$AB308:$AB321),IF(AND(I51="4H2",OR(I53=2,I53=4,I53=6,I53=8),I55="DC"),LOOKUP(I81,T!$X327:$X337,T!$U327:$U337),IF(AND(I51="4H2",OR(I53=2,I53=4,I53=6,I53=8),I55="AC"),LOOKUP(I81,T!$X327:$X337,T!$V327:$V337),IF(AND(I51="4H2",OR(I53=3,I53=5,I53=7,I53=9),I55="AC"),LOOKUP(I81,T!$X327:$X337,T!$W327:$W337),IF(AND(I51="4H3",OR(I53=2,I53=4,I53=7,I53=8),I55="DC"),LOOKUP(I81,T!$AA343:$AA356,T!$U343:$U356),IF(AND(I51="4H3",OR(I53=2,I53=4),I55="AC"),LOOKUP(I81,T!$AA343:$AA356,T!$V343:$V356),IF(AND(I51="4H3",OR(I53=9,I53=10),I55="AC"),LOOKUP(I81,T!$AA343:$AA$356,T!$W343:$W356),IF(AND(I51="4H3",I53=6,I55="AC"),LOOKUP(I81,T!$AA343:$AA356,T!$X343:$X356),IF(AND(I51="4H3",OR(I53=3,I53=5),I55="AC"),LOOKUP(I81,T!$AA343:$AA356,T!$Y343:$Y356),IF(AND(I51="4H3",OR(I53=11,I53=12),I55="AC"),LOOKUP(I81,T!$AA343:$AA356,T!$Z343:$Z356),IF(AND(I51="4H4",OR(I53=2,I53=4,I53=6),I55="DC"),LOOKUP(I81,T!$X362:$X372,T!$U362:$U372),IF(AND(I51="4H4",OR(I53=2,I53=4,I53=6),I55="AC"),LOOKUP(I81,T!$X362:$X372,T!$V362:$V372),IF(AND(I51="4H4",OR(I53=3,I53=5,I53=7),I55="AC"),LOOKUP(I81,T!$X362:$X372,T!$W362:$W372),0)))))))))))))))))))),IF(ISNUMBER(SEARCH("4J",I51)),IF(AND(I51="4J1",OR(I53=2,I53=4,I53=6,I53=8,I53=11),I55="DC"),LOOKUP(I81,T!$AC378:$AC391,T!$U378:$U391),IF(AND(I51="4J1",OR(I53=2,I53=4),I55="AC"),LOOKUP(I81,T!$AC378:$AC391,T!$V378:$V391),IF(AND(I51="4J1",OR(I53=6,I53=8),I55="AC"),LOOKUP(I81,T!$AC378:$AC391,T!$W378:$W391),IF(AND(I51="4J1",OR(I53=11,I53=12),I55="AC",I57=1),LOOKUP(I81,T!$AC378:$AC391,T!$X378:$X391),IF(AND(I51="4J1",OR(I53=3,I53=5),I55="AC"),LOOKUP(I81,T!$AC378:$AC391,T!$Y378:$Y391),IF(AND(I51="4J1",OR(I53=7,I53=10),I55="AC"),LOOKUP(I81,T!$AC378:$AC391,T!$Z378:$Z391),IF(AND(I51="4J1",I53=9,I55="AC"),LOOKUP(I81,T!$AC378:$AC391,T!$AA378:$AA391),IF(AND(I51="4J1",OR(I53=11,I53=12),I55="AC",I57=3),LOOKUP(I81,T!$AC378:$AC391,T!$AB378:$AB391),IF(AND(I51="4J2",OR(I53=2,I53=4,I53=6,I53=8),I55="DC"),LOOKUP(I81,T!$X397:$X407,T!$U397:$U407),IF(AND(I51="4J2",OR(I53=2,I53=4,I53=6,I53=8),I55="AC"),LOOKUP(I81,T!$X397:$X407,T!$V397:$V407),IF(AND(I51="4J2",OR(I53=3,I53=5,I53=7,I53=9),I55="AC"),LOOKUP(I81,T!$X397:$X407,T!$W397:$W407),IF(AND(I51="4J3",OR(I53=2,I53=4,I53=7,I53=8),I55="DC"),LOOKUP(I81,T!$AA413:$AA426,T!$U413:$U426),IF(AND(I51="4J3",OR(I53=2,I53=4),I55="AC"),LOOKUP(I81,T!$AA413:$AA426,T!$V413:$V426),IF(AND(I51="4J3",OR(I53=9,I53=10),I55="AC"),LOOKUP(I81,T!$AA413:$AA426,T!$W413:$W426),IF(AND(I51="4J3",I53=6,I55="AC"),LOOKUP(I81,T!$AA413:$AA426,T!$X413:$X426),IF(AND(I51="4J3",OR(I53=3,I53=5),I55="AC"),LOOKUP(I81,T!$AA413:$AA426,T!$Y413:$Y426),IF(AND(I51="4J3",OR(I53=11,I53=12),I55="AC"),LOOKUP(I81,T!$AA413:$AA426,T!$Z413:$Z426),IF(AND(I51="4J4",OR(I53=2,I53=4,I53=6),I55="DC"),LOOKUP(I81,T!$X432:$X442,T!$U432:$U442),IF(AND(I51="4J4",OR(I53=2,I53=4,I53=6),I55="AC"),LOOKUP(I81,T!$X432:$X442,T!$V432:$V442),IF(AND(I51="4J4",OR(I53=3,I53=5,I53=7),I55="AC"),LOOKUP(I81,T!$X432:$X442,T!$W432:$W442),0)))))))))))))))))))),0)))*I23*I69)/1000))</f>
        <v>0</v>
      </c>
      <c r="J99" s="158">
        <f>IF(J29="","",IF(OR(COUNT(J19:J21)=3,COUNT(J19:J21)=1),(IF(J29="",0,IF(ISNUMBER(SEARCH("4H",J51)),IF(AND(J51="4H1",OR(J53=2,J53=4,J53=6,J53=8,J53=11),J55="DC"),LOOKUP(J81,T!$AC308:$AC321,T!$U308:$U321),IF(AND(J51="4H1",OR(J53=2,J53=4),J55="AC"),LOOKUP(J81,T!$AC308:$AC321,T!$V308:$V321),IF(AND(J51="4H1",OR(J53=6,J53=8),J55="AC"),LOOKUP(J81,T!$AC308:$AC321,T!$W308:$W321),IF(AND(J51="4H1",OR(J53=11,J53=12),J55="AC",J57=1),LOOKUP(J81,T!$AC308:$AC321,T!$X308:$X321),IF(AND(J51="4H1",OR(J53=3,J53=5),J55="AC"),LOOKUP(J81,T!$AC308:$AC321,T!$Y308:$Y321),IF(AND(J51="4H1",OR(J53=7,J53=10),J55="AC"),LOOKUP(J81,T!$AC308:$AC321,T!$Z308:$Z321),IF(AND(J51="4H1",J53=9,J55="AC"),LOOKUP(J81,T!$AC308:$AC321,T!$AA308:$AA321),IF(AND(J51="4H1",OR(J53=11,J53=12),J55="AC",J57=3),LOOKUP(J81,T!$AC308:$AC321,T!$AB308:$AB321),IF(AND(J51="4H2",OR(J53=2,J53=4,J53=6,J53=8),J55="DC"),LOOKUP(J81,T!$X327:$X337,T!$U327:$U337),IF(AND(J51="4H2",OR(J53=2,J53=4,J53=6,J53=8),J55="AC"),LOOKUP(J81,T!$X327:$X337,T!$V327:$V337),IF(AND(J51="4H2",OR(J53=3,J53=5,J53=7,J53=9),J55="AC"),LOOKUP(J81,T!$X327:$X337,T!$W327:$W337),IF(AND(J51="4H3",OR(J53=2,J53=4,J53=7,J53=8),J55="DC"),LOOKUP(J81,T!$AA343:$AA356,T!$U343:$U356),IF(AND(J51="4H3",OR(J53=2,J53=4),J55="AC"),LOOKUP(J81,T!$AA343:$AA356,T!$V343:$V356),IF(AND(J51="4H3",OR(J53=9,J53=10),J55="AC"),LOOKUP(J81,T!$AA343:$AA$356,T!$W343:$W356),IF(AND(J51="4H3",J53=6,J55="AC"),LOOKUP(J81,T!$AA343:$AA356,T!$X343:$X356),IF(AND(J51="4H3",OR(J53=3,J53=5),J55="AC"),LOOKUP(J81,T!$AA343:$AA356,T!$Y343:$Y356),IF(AND(J51="4H3",OR(J53=11,J53=12),J55="AC"),LOOKUP(J81,T!$AA343:$AA356,T!$Z343:$Z356),IF(AND(J51="4H4",OR(J53=2,J53=4,J53=6),J55="DC"),LOOKUP(J81,T!$X362:$X372,T!$U362:$U372),IF(AND(J51="4H4",OR(J53=2,J53=4,J53=6),J55="AC"),LOOKUP(J81,T!$X362:$X372,T!$V362:$V372),IF(AND(J51="4H4",OR(J53=3,J53=5,J53=7),J55="AC"),LOOKUP(J81,T!$X362:$X372,T!$W362:$W372),0)))))))))))))))))))),IF(ISNUMBER(SEARCH("4J",J51)),IF(AND(J51="4J1",OR(J53=2,J53=4,J53=6,J53=8,J53=11),J55="DC"),LOOKUP(J81,T!$AC378:$AC391,T!$U378:$U391),IF(AND(J51="4J1",OR(J53=2,J53=4),J55="AC"),LOOKUP(J81,T!$AC378:$AC391,T!$V378:$V391),IF(AND(J51="4J1",OR(J53=6,J53=8),J55="AC"),LOOKUP(J81,T!$AC378:$AC391,T!$W378:$W391),IF(AND(J51="4J1",OR(J53=11,J53=12),J55="AC",J57=1),LOOKUP(J81,T!$AC378:$AC391,T!$X378:$X391),IF(AND(J51="4J1",OR(J53=3,J53=5),J55="AC"),LOOKUP(J81,T!$AC378:$AC391,T!$Y378:$Y391),IF(AND(J51="4J1",OR(J53=7,J53=10),J55="AC"),LOOKUP(J81,T!$AC378:$AC391,T!$Z378:$Z391),IF(AND(J51="4J1",J53=9,J55="AC"),LOOKUP(J81,T!$AC378:$AC391,T!$AA378:$AA391),IF(AND(J51="4J1",OR(J53=11,J53=12),J55="AC",J57=3),LOOKUP(J81,T!$AC378:$AC391,T!$AB378:$AB391),IF(AND(J51="4J2",OR(J53=2,J53=4,J53=6,J53=8),J55="DC"),LOOKUP(J81,T!$X397:$X407,T!$U397:$U407),IF(AND(J51="4J2",OR(J53=2,J53=4,J53=6,J53=8),J55="AC"),LOOKUP(J81,T!$X397:$X407,T!$V397:$V407),IF(AND(J51="4J2",OR(J53=3,J53=5,J53=7,J53=9),J55="AC"),LOOKUP(J81,T!$X397:$X407,T!$W397:$W407),IF(AND(J51="4J3",OR(J53=2,J53=4,J53=7,J53=8),J55="DC"),LOOKUP(J81,T!$AA413:$AA426,T!$U413:$U426),IF(AND(J51="4J3",OR(J53=2,J53=4),J55="AC"),LOOKUP(J81,T!$AA413:$AA426,T!$V413:$V426),IF(AND(J51="4J3",OR(J53=9,J53=10),J55="AC"),LOOKUP(J81,T!$AA413:$AA426,T!$W413:$W426),IF(AND(J51="4J3",J53=6,J55="AC"),LOOKUP(J81,T!$AA413:$AA426,T!$X413:$X426),IF(AND(J51="4J3",OR(J53=3,J53=5),J55="AC"),LOOKUP(J81,T!$AA413:$AA426,T!$Y413:$Y426),IF(AND(J51="4J3",OR(J53=11,J53=12),J55="AC"),LOOKUP(J81,T!$AA413:$AA426,T!$Z413:$Z426),IF(AND(J51="4J4",OR(J53=2,J53=4,J53=6),J55="DC"),LOOKUP(J81,T!$X432:$X442,T!$U432:$U442),IF(AND(J51="4J4",OR(J53=2,J53=4,J53=6),J55="AC"),LOOKUP(J81,T!$X432:$X442,T!$V432:$V442),IF(AND(J51="4J4",OR(J53=3,J53=5,J53=7),J55="AC"),LOOKUP(J81,T!$X432:$X442,T!$W432:$W442),0)))))))))))))))))))),0)))*J23*J69)/1000))</f>
        <v>0</v>
      </c>
      <c r="K99" s="158">
        <f>IF(K29="","",IF(OR(COUNT(K19:K21)=3,COUNT(K19:K21)=1),(IF(K29="",0,IF(ISNUMBER(SEARCH("4H",K51)),IF(AND(K51="4H1",OR(K53=2,K53=4,K53=6,K53=8,K53=11),K55="DC"),LOOKUP(K81,T!$AC308:$AC321,T!$U308:$U321),IF(AND(K51="4H1",OR(K53=2,K53=4),K55="AC"),LOOKUP(K81,T!$AC308:$AC321,T!$V308:$V321),IF(AND(K51="4H1",OR(K53=6,K53=8),K55="AC"),LOOKUP(K81,T!$AC308:$AC321,T!$W308:$W321),IF(AND(K51="4H1",OR(K53=11,K53=12),K55="AC",K57=1),LOOKUP(K81,T!$AC308:$AC321,T!$X308:$X321),IF(AND(K51="4H1",OR(K53=3,K53=5),K55="AC"),LOOKUP(K81,T!$AC308:$AC321,T!$Y308:$Y321),IF(AND(K51="4H1",OR(K53=7,K53=10),K55="AC"),LOOKUP(K81,T!$AC308:$AC321,T!$Z308:$Z321),IF(AND(K51="4H1",K53=9,K55="AC"),LOOKUP(K81,T!$AC308:$AC321,T!$AA308:$AA321),IF(AND(K51="4H1",OR(K53=11,K53=12),K55="AC",K57=3),LOOKUP(K81,T!$AC308:$AC321,T!$AB308:$AB321),IF(AND(K51="4H2",OR(K53=2,K53=4,K53=6,K53=8),K55="DC"),LOOKUP(K81,T!$X327:$X337,T!$U327:$U337),IF(AND(K51="4H2",OR(K53=2,K53=4,K53=6,K53=8),K55="AC"),LOOKUP(K81,T!$X327:$X337,T!$V327:$V337),IF(AND(K51="4H2",OR(K53=3,K53=5,K53=7,K53=9),K55="AC"),LOOKUP(K81,T!$X327:$X337,T!$W327:$W337),IF(AND(K51="4H3",OR(K53=2,K53=4,K53=7,K53=8),K55="DC"),LOOKUP(K81,T!$AA343:$AA356,T!$U343:$U356),IF(AND(K51="4H3",OR(K53=2,K53=4),K55="AC"),LOOKUP(K81,T!$AA343:$AA356,T!$V343:$V356),IF(AND(K51="4H3",OR(K53=9,K53=10),K55="AC"),LOOKUP(K81,T!$AA343:$AA$356,T!$W343:$W356),IF(AND(K51="4H3",K53=6,K55="AC"),LOOKUP(K81,T!$AA343:$AA356,T!$X343:$X356),IF(AND(K51="4H3",OR(K53=3,K53=5),K55="AC"),LOOKUP(K81,T!$AA343:$AA356,T!$Y343:$Y356),IF(AND(K51="4H3",OR(K53=11,K53=12),K55="AC"),LOOKUP(K81,T!$AA343:$AA356,T!$Z343:$Z356),IF(AND(K51="4H4",OR(K53=2,K53=4,K53=6),K55="DC"),LOOKUP(K81,T!$X362:$X372,T!$U362:$U372),IF(AND(K51="4H4",OR(K53=2,K53=4,K53=6),K55="AC"),LOOKUP(K81,T!$X362:$X372,T!$V362:$V372),IF(AND(K51="4H4",OR(K53=3,K53=5,K53=7),K55="AC"),LOOKUP(K81,T!$X362:$X372,T!$W362:$W372),0)))))))))))))))))))),IF(ISNUMBER(SEARCH("4J",K51)),IF(AND(K51="4J1",OR(K53=2,K53=4,K53=6,K53=8,K53=11),K55="DC"),LOOKUP(K81,T!$AC378:$AC391,T!$U378:$U391),IF(AND(K51="4J1",OR(K53=2,K53=4),K55="AC"),LOOKUP(K81,T!$AC378:$AC391,T!$V378:$V391),IF(AND(K51="4J1",OR(K53=6,K53=8),K55="AC"),LOOKUP(K81,T!$AC378:$AC391,T!$W378:$W391),IF(AND(K51="4J1",OR(K53=11,K53=12),K55="AC",K57=1),LOOKUP(K81,T!$AC378:$AC391,T!$X378:$X391),IF(AND(K51="4J1",OR(K53=3,K53=5),K55="AC"),LOOKUP(K81,T!$AC378:$AC391,T!$Y378:$Y391),IF(AND(K51="4J1",OR(K53=7,K53=10),K55="AC"),LOOKUP(K81,T!$AC378:$AC391,T!$Z378:$Z391),IF(AND(K51="4J1",K53=9,K55="AC"),LOOKUP(K81,T!$AC378:$AC391,T!$AA378:$AA391),IF(AND(K51="4J1",OR(K53=11,K53=12),K55="AC",K57=3),LOOKUP(K81,T!$AC378:$AC391,T!$AB378:$AB391),IF(AND(K51="4J2",OR(K53=2,K53=4,K53=6,K53=8),K55="DC"),LOOKUP(K81,T!$X397:$X407,T!$U397:$U407),IF(AND(K51="4J2",OR(K53=2,K53=4,K53=6,K53=8),K55="AC"),LOOKUP(K81,T!$X397:$X407,T!$V397:$V407),IF(AND(K51="4J2",OR(K53=3,K53=5,K53=7,K53=9),K55="AC"),LOOKUP(K81,T!$X397:$X407,T!$W397:$W407),IF(AND(K51="4J3",OR(K53=2,K53=4,K53=7,K53=8),K55="DC"),LOOKUP(K81,T!$AA413:$AA426,T!$U413:$U426),IF(AND(K51="4J3",OR(K53=2,K53=4),K55="AC"),LOOKUP(K81,T!$AA413:$AA426,T!$V413:$V426),IF(AND(K51="4J3",OR(K53=9,K53=10),K55="AC"),LOOKUP(K81,T!$AA413:$AA426,T!$W413:$W426),IF(AND(K51="4J3",K53=6,K55="AC"),LOOKUP(K81,T!$AA413:$AA426,T!$X413:$X426),IF(AND(K51="4J3",OR(K53=3,K53=5),K55="AC"),LOOKUP(K81,T!$AA413:$AA426,T!$Y413:$Y426),IF(AND(K51="4J3",OR(K53=11,K53=12),K55="AC"),LOOKUP(K81,T!$AA413:$AA426,T!$Z413:$Z426),IF(AND(K51="4J4",OR(K53=2,K53=4,K53=6),K55="DC"),LOOKUP(K81,T!$X432:$X442,T!$U432:$U442),IF(AND(K51="4J4",OR(K53=2,K53=4,K53=6),K55="AC"),LOOKUP(K81,T!$X432:$X442,T!$V432:$V442),IF(AND(K51="4J4",OR(K53=3,K53=5,K53=7),K55="AC"),LOOKUP(K81,T!$X432:$X442,T!$W432:$W442),0)))))))))))))))))))),0)))*K23*K69)/1000))</f>
        <v>0</v>
      </c>
      <c r="L99" s="158">
        <f>IF(L29="","",IF(OR(COUNT(L19:L21)=3,COUNT(L19:L21)=1),(IF(L29="",0,IF(ISNUMBER(SEARCH("4H",L51)),IF(AND(L51="4H1",OR(L53=2,L53=4,L53=6,L53=8,L53=11),L55="DC"),LOOKUP(L81,T!$AC308:$AC321,T!$U308:$U321),IF(AND(L51="4H1",OR(L53=2,L53=4),L55="AC"),LOOKUP(L81,T!$AC308:$AC321,T!$V308:$V321),IF(AND(L51="4H1",OR(L53=6,L53=8),L55="AC"),LOOKUP(L81,T!$AC308:$AC321,T!$W308:$W321),IF(AND(L51="4H1",OR(L53=11,L53=12),L55="AC",L57=1),LOOKUP(L81,T!$AC308:$AC321,T!$X308:$X321),IF(AND(L51="4H1",OR(L53=3,L53=5),L55="AC"),LOOKUP(L81,T!$AC308:$AC321,T!$Y308:$Y321),IF(AND(L51="4H1",OR(L53=7,L53=10),L55="AC"),LOOKUP(L81,T!$AC308:$AC321,T!$Z308:$Z321),IF(AND(L51="4H1",L53=9,L55="AC"),LOOKUP(L81,T!$AC308:$AC321,T!$AA308:$AA321),IF(AND(L51="4H1",OR(L53=11,L53=12),L55="AC",L57=3),LOOKUP(L81,T!$AC308:$AC321,T!$AB308:$AB321),IF(AND(L51="4H2",OR(L53=2,L53=4,L53=6,L53=8),L55="DC"),LOOKUP(L81,T!$X327:$X337,T!$U327:$U337),IF(AND(L51="4H2",OR(L53=2,L53=4,L53=6,L53=8),L55="AC"),LOOKUP(L81,T!$X327:$X337,T!$V327:$V337),IF(AND(L51="4H2",OR(L53=3,L53=5,L53=7,L53=9),L55="AC"),LOOKUP(L81,T!$X327:$X337,T!$W327:$W337),IF(AND(L51="4H3",OR(L53=2,L53=4,L53=7,L53=8),L55="DC"),LOOKUP(L81,T!$AA343:$AA356,T!$U343:$U356),IF(AND(L51="4H3",OR(L53=2,L53=4),L55="AC"),LOOKUP(L81,T!$AA343:$AA356,T!$V343:$V356),IF(AND(L51="4H3",OR(L53=9,L53=10),L55="AC"),LOOKUP(L81,T!$AA343:$AA$356,T!$W343:$W356),IF(AND(L51="4H3",L53=6,L55="AC"),LOOKUP(L81,T!$AA343:$AA356,T!$X343:$X356),IF(AND(L51="4H3",OR(L53=3,L53=5),L55="AC"),LOOKUP(L81,T!$AA343:$AA356,T!$Y343:$Y356),IF(AND(L51="4H3",OR(L53=11,L53=12),L55="AC"),LOOKUP(L81,T!$AA343:$AA356,T!$Z343:$Z356),IF(AND(L51="4H4",OR(L53=2,L53=4,L53=6),L55="DC"),LOOKUP(L81,T!$X362:$X372,T!$U362:$U372),IF(AND(L51="4H4",OR(L53=2,L53=4,L53=6),L55="AC"),LOOKUP(L81,T!$X362:$X372,T!$V362:$V372),IF(AND(L51="4H4",OR(L53=3,L53=5,L53=7),L55="AC"),LOOKUP(L81,T!$X362:$X372,T!$W362:$W372),0)))))))))))))))))))),IF(ISNUMBER(SEARCH("4J",L51)),IF(AND(L51="4J1",OR(L53=2,L53=4,L53=6,L53=8,L53=11),L55="DC"),LOOKUP(L81,T!$AC378:$AC391,T!$U378:$U391),IF(AND(L51="4J1",OR(L53=2,L53=4),L55="AC"),LOOKUP(L81,T!$AC378:$AC391,T!$V378:$V391),IF(AND(L51="4J1",OR(L53=6,L53=8),L55="AC"),LOOKUP(L81,T!$AC378:$AC391,T!$W378:$W391),IF(AND(L51="4J1",OR(L53=11,L53=12),L55="AC",L57=1),LOOKUP(L81,T!$AC378:$AC391,T!$X378:$X391),IF(AND(L51="4J1",OR(L53=3,L53=5),L55="AC"),LOOKUP(L81,T!$AC378:$AC391,T!$Y378:$Y391),IF(AND(L51="4J1",OR(L53=7,L53=10),L55="AC"),LOOKUP(L81,T!$AC378:$AC391,T!$Z378:$Z391),IF(AND(L51="4J1",L53=9,L55="AC"),LOOKUP(L81,T!$AC378:$AC391,T!$AA378:$AA391),IF(AND(L51="4J1",OR(L53=11,L53=12),L55="AC",L57=3),LOOKUP(L81,T!$AC378:$AC391,T!$AB378:$AB391),IF(AND(L51="4J2",OR(L53=2,L53=4,L53=6,L53=8),L55="DC"),LOOKUP(L81,T!$X397:$X407,T!$U397:$U407),IF(AND(L51="4J2",OR(L53=2,L53=4,L53=6,L53=8),L55="AC"),LOOKUP(L81,T!$X397:$X407,T!$V397:$V407),IF(AND(L51="4J2",OR(L53=3,L53=5,L53=7,L53=9),L55="AC"),LOOKUP(L81,T!$X397:$X407,T!$W397:$W407),IF(AND(L51="4J3",OR(L53=2,L53=4,L53=7,L53=8),L55="DC"),LOOKUP(L81,T!$AA413:$AA426,T!$U413:$U426),IF(AND(L51="4J3",OR(L53=2,L53=4),L55="AC"),LOOKUP(L81,T!$AA413:$AA426,T!$V413:$V426),IF(AND(L51="4J3",OR(L53=9,L53=10),L55="AC"),LOOKUP(L81,T!$AA413:$AA426,T!$W413:$W426),IF(AND(L51="4J3",L53=6,L55="AC"),LOOKUP(L81,T!$AA413:$AA426,T!$X413:$X426),IF(AND(L51="4J3",OR(L53=3,L53=5),L55="AC"),LOOKUP(L81,T!$AA413:$AA426,T!$Y413:$Y426),IF(AND(L51="4J3",OR(L53=11,L53=12),L55="AC"),LOOKUP(L81,T!$AA413:$AA426,T!$Z413:$Z426),IF(AND(L51="4J4",OR(L53=2,L53=4,L53=6),L55="DC"),LOOKUP(L81,T!$X432:$X442,T!$U432:$U442),IF(AND(L51="4J4",OR(L53=2,L53=4,L53=6),L55="AC"),LOOKUP(L81,T!$X432:$X442,T!$V432:$V442),IF(AND(L51="4J4",OR(L53=3,L53=5,L53=7),L55="AC"),LOOKUP(L81,T!$X432:$X442,T!$W432:$W442),0)))))))))))))))))))),0)))*L23*L69)/1000))</f>
        <v>0</v>
      </c>
      <c r="M99" s="158" t="str">
        <f>IF(M29="","",IF(OR(COUNT(M19:M21)=3,COUNT(M19:M21)=1),(IF(M29="",0,IF(ISNUMBER(SEARCH("4H",M51)),IF(AND(M51="4H1",OR(M53=2,M53=4,M53=6,M53=8,M53=11),M55="DC"),LOOKUP(M81,T!$AC308:$AC321,T!$U308:$U321),IF(AND(M51="4H1",OR(M53=2,M53=4),M55="AC"),LOOKUP(M81,T!$AC308:$AC321,T!$V308:$V321),IF(AND(M51="4H1",OR(M53=6,M53=8),M55="AC"),LOOKUP(M81,T!$AC308:$AC321,T!$W308:$W321),IF(AND(M51="4H1",OR(M53=11,M53=12),M55="AC",M57=1),LOOKUP(M81,T!$AC308:$AC321,T!$X308:$X321),IF(AND(M51="4H1",OR(M53=3,M53=5),M55="AC"),LOOKUP(M81,T!$AC308:$AC321,T!$Y308:$Y321),IF(AND(M51="4H1",OR(M53=7,M53=10),M55="AC"),LOOKUP(M81,T!$AC308:$AC321,T!$Z308:$Z321),IF(AND(M51="4H1",M53=9,M55="AC"),LOOKUP(M81,T!$AC308:$AC321,T!$AA308:$AA321),IF(AND(M51="4H1",OR(M53=11,M53=12),M55="AC",M57=3),LOOKUP(M81,T!$AC308:$AC321,T!$AB308:$AB321),IF(AND(M51="4H2",OR(M53=2,M53=4,M53=6,M53=8),M55="DC"),LOOKUP(M81,T!$X327:$X337,T!$U327:$U337),IF(AND(M51="4H2",OR(M53=2,M53=4,M53=6,M53=8),M55="AC"),LOOKUP(M81,T!$X327:$X337,T!$V327:$V337),IF(AND(M51="4H2",OR(M53=3,M53=5,M53=7,M53=9),M55="AC"),LOOKUP(M81,T!$X327:$X337,T!$W327:$W337),IF(AND(M51="4H3",OR(M53=2,M53=4,M53=7,M53=8),M55="DC"),LOOKUP(M81,T!$AA343:$AA356,T!$U343:$U356),IF(AND(M51="4H3",OR(M53=2,M53=4),M55="AC"),LOOKUP(M81,T!$AA343:$AA356,T!$V343:$V356),IF(AND(M51="4H3",OR(M53=9,M53=10),M55="AC"),LOOKUP(M81,T!$AA343:$AA$356,T!$W343:$W356),IF(AND(M51="4H3",M53=6,M55="AC"),LOOKUP(M81,T!$AA343:$AA356,T!$X343:$X356),IF(AND(M51="4H3",OR(M53=3,M53=5),M55="AC"),LOOKUP(M81,T!$AA343:$AA356,T!$Y343:$Y356),IF(AND(M51="4H3",OR(M53=11,M53=12),M55="AC"),LOOKUP(M81,T!$AA343:$AA356,T!$Z343:$Z356),IF(AND(M51="4H4",OR(M53=2,M53=4,M53=6),M55="DC"),LOOKUP(M81,T!$X362:$X372,T!$U362:$U372),IF(AND(M51="4H4",OR(M53=2,M53=4,M53=6),M55="AC"),LOOKUP(M81,T!$X362:$X372,T!$V362:$V372),IF(AND(M51="4H4",OR(M53=3,M53=5,M53=7),M55="AC"),LOOKUP(M81,T!$X362:$X372,T!$W362:$W372),0)))))))))))))))))))),IF(ISNUMBER(SEARCH("4J",M51)),IF(AND(M51="4J1",OR(M53=2,M53=4,M53=6,M53=8,M53=11),M55="DC"),LOOKUP(M81,T!$AC378:$AC391,T!$U378:$U391),IF(AND(M51="4J1",OR(M53=2,M53=4),M55="AC"),LOOKUP(M81,T!$AC378:$AC391,T!$V378:$V391),IF(AND(M51="4J1",OR(M53=6,M53=8),M55="AC"),LOOKUP(M81,T!$AC378:$AC391,T!$W378:$W391),IF(AND(M51="4J1",OR(M53=11,M53=12),M55="AC",M57=1),LOOKUP(M81,T!$AC378:$AC391,T!$X378:$X391),IF(AND(M51="4J1",OR(M53=3,M53=5),M55="AC"),LOOKUP(M81,T!$AC378:$AC391,T!$Y378:$Y391),IF(AND(M51="4J1",OR(M53=7,M53=10),M55="AC"),LOOKUP(M81,T!$AC378:$AC391,T!$Z378:$Z391),IF(AND(M51="4J1",M53=9,M55="AC"),LOOKUP(M81,T!$AC378:$AC391,T!$AA378:$AA391),IF(AND(M51="4J1",OR(M53=11,M53=12),M55="AC",M57=3),LOOKUP(M81,T!$AC378:$AC391,T!$AB378:$AB391),IF(AND(M51="4J2",OR(M53=2,M53=4,M53=6,M53=8),M55="DC"),LOOKUP(M81,T!$X397:$X407,T!$U397:$U407),IF(AND(M51="4J2",OR(M53=2,M53=4,M53=6,M53=8),M55="AC"),LOOKUP(M81,T!$X397:$X407,T!$V397:$V407),IF(AND(M51="4J2",OR(M53=3,M53=5,M53=7,M53=9),M55="AC"),LOOKUP(M81,T!$X397:$X407,T!$W397:$W407),IF(AND(M51="4J3",OR(M53=2,M53=4,M53=7,M53=8),M55="DC"),LOOKUP(M81,T!$AA413:$AA426,T!$U413:$U426),IF(AND(M51="4J3",OR(M53=2,M53=4),M55="AC"),LOOKUP(M81,T!$AA413:$AA426,T!$V413:$V426),IF(AND(M51="4J3",OR(M53=9,M53=10),M55="AC"),LOOKUP(M81,T!$AA413:$AA426,T!$W413:$W426),IF(AND(M51="4J3",M53=6,M55="AC"),LOOKUP(M81,T!$AA413:$AA426,T!$X413:$X426),IF(AND(M51="4J3",OR(M53=3,M53=5),M55="AC"),LOOKUP(M81,T!$AA413:$AA426,T!$Y413:$Y426),IF(AND(M51="4J3",OR(M53=11,M53=12),M55="AC"),LOOKUP(M81,T!$AA413:$AA426,T!$Z413:$Z426),IF(AND(M51="4J4",OR(M53=2,M53=4,M53=6),M55="DC"),LOOKUP(M81,T!$X432:$X442,T!$U432:$U442),IF(AND(M51="4J4",OR(M53=2,M53=4,M53=6),M55="AC"),LOOKUP(M81,T!$X432:$X442,T!$V432:$V442),IF(AND(M51="4J4",OR(M53=3,M53=5,M53=7),M55="AC"),LOOKUP(M81,T!$X432:$X442,T!$W432:$W442),0)))))))))))))))))))),0)))*M23*M69)/1000))</f>
        <v/>
      </c>
      <c r="N99" s="158">
        <f>IF(N29="","",IF(OR(COUNT(N19:N21)=3,COUNT(N19:N21)=1),(IF(N29="",0,IF(ISNUMBER(SEARCH("4H",N51)),IF(AND(N51="4H1",OR(N53=2,N53=4,N53=6,N53=8,N53=11),N55="DC"),LOOKUP(N81,T!$AC308:$AC321,T!$U308:$U321),IF(AND(N51="4H1",OR(N53=2,N53=4),N55="AC"),LOOKUP(N81,T!$AC308:$AC321,T!$V308:$V321),IF(AND(N51="4H1",OR(N53=6,N53=8),N55="AC"),LOOKUP(N81,T!$AC308:$AC321,T!$W308:$W321),IF(AND(N51="4H1",OR(N53=11,N53=12),N55="AC",N57=1),LOOKUP(N81,T!$AC308:$AC321,T!$X308:$X321),IF(AND(N51="4H1",OR(N53=3,N53=5),N55="AC"),LOOKUP(N81,T!$AC308:$AC321,T!$Y308:$Y321),IF(AND(N51="4H1",OR(N53=7,N53=10),N55="AC"),LOOKUP(N81,T!$AC308:$AC321,T!$Z308:$Z321),IF(AND(N51="4H1",N53=9,N55="AC"),LOOKUP(N81,T!$AC308:$AC321,T!$AA308:$AA321),IF(AND(N51="4H1",OR(N53=11,N53=12),N55="AC",N57=3),LOOKUP(N81,T!$AC308:$AC321,T!$AB308:$AB321),IF(AND(N51="4H2",OR(N53=2,N53=4,N53=6,N53=8),N55="DC"),LOOKUP(N81,T!$X327:$X337,T!$U327:$U337),IF(AND(N51="4H2",OR(N53=2,N53=4,N53=6,N53=8),N55="AC"),LOOKUP(N81,T!$X327:$X337,T!$V327:$V337),IF(AND(N51="4H2",OR(N53=3,N53=5,N53=7,N53=9),N55="AC"),LOOKUP(N81,T!$X327:$X337,T!$W327:$W337),IF(AND(N51="4H3",OR(N53=2,N53=4,N53=7,N53=8),N55="DC"),LOOKUP(N81,T!$AA343:$AA356,T!$U343:$U356),IF(AND(N51="4H3",OR(N53=2,N53=4),N55="AC"),LOOKUP(N81,T!$AA343:$AA356,T!$V343:$V356),IF(AND(N51="4H3",OR(N53=9,N53=10),N55="AC"),LOOKUP(N81,T!$AA343:$AA$356,T!$W343:$W356),IF(AND(N51="4H3",N53=6,N55="AC"),LOOKUP(N81,T!$AA343:$AA356,T!$X343:$X356),IF(AND(N51="4H3",OR(N53=3,N53=5),N55="AC"),LOOKUP(N81,T!$AA343:$AA356,T!$Y343:$Y356),IF(AND(N51="4H3",OR(N53=11,N53=12),N55="AC"),LOOKUP(N81,T!$AA343:$AA356,T!$Z343:$Z356),IF(AND(N51="4H4",OR(N53=2,N53=4,N53=6),N55="DC"),LOOKUP(N81,T!$X362:$X372,T!$U362:$U372),IF(AND(N51="4H4",OR(N53=2,N53=4,N53=6),N55="AC"),LOOKUP(N81,T!$X362:$X372,T!$V362:$V372),IF(AND(N51="4H4",OR(N53=3,N53=5,N53=7),N55="AC"),LOOKUP(N81,T!$X362:$X372,T!$W362:$W372),0)))))))))))))))))))),IF(ISNUMBER(SEARCH("4J",N51)),IF(AND(N51="4J1",OR(N53=2,N53=4,N53=6,N53=8,N53=11),N55="DC"),LOOKUP(N81,T!$AC378:$AC391,T!$U378:$U391),IF(AND(N51="4J1",OR(N53=2,N53=4),N55="AC"),LOOKUP(N81,T!$AC378:$AC391,T!$V378:$V391),IF(AND(N51="4J1",OR(N53=6,N53=8),N55="AC"),LOOKUP(N81,T!$AC378:$AC391,T!$W378:$W391),IF(AND(N51="4J1",OR(N53=11,N53=12),N55="AC",N57=1),LOOKUP(N81,T!$AC378:$AC391,T!$X378:$X391),IF(AND(N51="4J1",OR(N53=3,N53=5),N55="AC"),LOOKUP(N81,T!$AC378:$AC391,T!$Y378:$Y391),IF(AND(N51="4J1",OR(N53=7,N53=10),N55="AC"),LOOKUP(N81,T!$AC378:$AC391,T!$Z378:$Z391),IF(AND(N51="4J1",N53=9,N55="AC"),LOOKUP(N81,T!$AC378:$AC391,T!$AA378:$AA391),IF(AND(N51="4J1",OR(N53=11,N53=12),N55="AC",N57=3),LOOKUP(N81,T!$AC378:$AC391,T!$AB378:$AB391),IF(AND(N51="4J2",OR(N53=2,N53=4,N53=6,N53=8),N55="DC"),LOOKUP(N81,T!$X397:$X407,T!$U397:$U407),IF(AND(N51="4J2",OR(N53=2,N53=4,N53=6,N53=8),N55="AC"),LOOKUP(N81,T!$X397:$X407,T!$V397:$V407),IF(AND(N51="4J2",OR(N53=3,N53=5,N53=7,N53=9),N55="AC"),LOOKUP(N81,T!$X397:$X407,T!$W397:$W407),IF(AND(N51="4J3",OR(N53=2,N53=4,N53=7,N53=8),N55="DC"),LOOKUP(N81,T!$AA413:$AA426,T!$U413:$U426),IF(AND(N51="4J3",OR(N53=2,N53=4),N55="AC"),LOOKUP(N81,T!$AA413:$AA426,T!$V413:$V426),IF(AND(N51="4J3",OR(N53=9,N53=10),N55="AC"),LOOKUP(N81,T!$AA413:$AA426,T!$W413:$W426),IF(AND(N51="4J3",N53=6,N55="AC"),LOOKUP(N81,T!$AA413:$AA426,T!$X413:$X426),IF(AND(N51="4J3",OR(N53=3,N53=5),N55="AC"),LOOKUP(N81,T!$AA413:$AA426,T!$Y413:$Y426),IF(AND(N51="4J3",OR(N53=11,N53=12),N55="AC"),LOOKUP(N81,T!$AA413:$AA426,T!$Z413:$Z426),IF(AND(N51="4J4",OR(N53=2,N53=4,N53=6),N55="DC"),LOOKUP(N81,T!$X432:$X442,T!$U432:$U442),IF(AND(N51="4J4",OR(N53=2,N53=4,N53=6),N55="AC"),LOOKUP(N81,T!$X432:$X442,T!$V432:$V442),IF(AND(N51="4J4",OR(N53=3,N53=5,N53=7),N55="AC"),LOOKUP(N81,T!$X432:$X442,T!$W432:$W442),0)))))))))))))))))))),0)))*N23*N69)/1000))</f>
        <v>0</v>
      </c>
      <c r="O99" s="143" t="str">
        <f t="shared" si="23"/>
        <v/>
      </c>
    </row>
    <row r="100" spans="1:58" s="168" customFormat="1" ht="17">
      <c r="A100" s="188"/>
      <c r="B100" s="395"/>
      <c r="C100" s="392"/>
      <c r="D100" s="158">
        <f>IF(D29="","",IF(OR(COUNT(D19:D21)=3,COUNT(D19:D21)=1),(IF(D29="",0,IF(ISNUMBER(SEARCH("4H",D51)),IF(AND(D51="4H1",OR(D53=2,D53=4,D53=6,D53=8,D53=11),D55="DC"),LOOKUP(D82,T!$AC308:$AC321,T!$U308:$U321),IF(AND(D51="4H1",OR(D53=2,D53=4),D55="AC"),LOOKUP(D82,T!$AC308:$AC321,T!$V308:$V321),IF(AND(D51="4H1",OR(D53=6,D53=8),D55="AC"),LOOKUP(D82,T!$AC308:$AC321,T!$W308:$W321),IF(AND(D51="4H1",OR(D53=11,D53=12),D55="AC",D57=1),LOOKUP(D82,T!$AC308:$AC321,T!$X308:$X321),IF(AND(D51="4H1",OR(D53=3,D53=5),D55="AC"),LOOKUP(D82,T!$AC308:$AC321,T!$Y308:$Y321),IF(AND(D51="4H1",OR(D53=7,D53=10),D55="AC"),LOOKUP(D82,T!$AC308:$AC321,T!$Z308:$Z321),IF(AND(D51="4H1",D53=9,D55="AC"),LOOKUP(D82,T!$AC308:$AC321,T!$AA308:$AA321),IF(AND(D51="4H1",OR(D53=11,D53=12),D55="AC",D57=3),LOOKUP(D82,T!$AC308:$AC321,T!$AB308:$AB321),IF(AND(D51="4H2",OR(D53=2,D53=4,D53=6,D53=8),D55="DC"),LOOKUP(D82,T!$X327:$X337,T!$U327:$U337),IF(AND(D51="4H2",OR(D53=2,D53=4,D53=6,D53=8),D55="AC"),LOOKUP(D82,T!$X327:$X337,T!$V327:$V337),IF(AND(D51="4H2",OR(D53=3,D53=5,D53=7,D53=9),D55="AC"),LOOKUP(D82,T!$X327:$X337,T!$W327:$W337),IF(AND(D51="4H3",OR(D53=2,D53=4,D53=7,D53=8),D55="DC"),LOOKUP(D82,T!$AA343:$AA356,T!$U343:$U356),IF(AND(D51="4H3",OR(D53=2,D53=4),D55="AC"),LOOKUP(D82,T!$AA343:$AA356,T!$V343:$V356),IF(AND(D51="4H3",OR(D53=9,D53=10),D55="AC"),LOOKUP(D82,T!$AA343:$AA$356,T!$W343:$W356),IF(AND(D51="4H3",D53=6,D55="AC"),LOOKUP(D82,T!$AA343:$AA356,T!$X343:$X356),IF(AND(D51="4H3",OR(D53=3,D53=5),D55="AC"),LOOKUP(D82,T!$AA343:$AA356,T!$Y343:$Y356),IF(AND(D51="4H3",OR(D53=11,D53=12),D55="AC"),LOOKUP(D82,T!$AA343:$AA356,T!$Z343:$Z356),IF(AND(D51="4H4",OR(D53=2,D53=4,D53=6),D55="DC"),LOOKUP(D82,T!$X362:$X372,T!$U362:$U372),IF(AND(D51="4H4",OR(D53=2,D53=4,D53=6),D55="AC"),LOOKUP(D82,T!$X362:$X372,T!$V362:$V372),IF(AND(D51="4H4",OR(D53=3,D53=5,D53=7),D55="AC"),LOOKUP(D82,T!$X362:$X372,T!$W362:$W372),0)))))))))))))))))))),IF(ISNUMBER(SEARCH("4J",D51)),IF(AND(D51="4J1",OR(D53=2,D53=4,D53=6,D53=8,D53=11),D55="DC"),LOOKUP(D82,T!$AC378:$AC391,T!$U378:$U391),IF(AND(D51="4J1",OR(D53=2,D53=4),D55="AC"),LOOKUP(D82,T!$AC378:$AC391,T!$V378:$V391),IF(AND(D51="4J1",OR(D53=6,D53=8),D55="AC"),LOOKUP(D82,T!$AC378:$AC391,T!$W378:$W391),IF(AND(D51="4J1",OR(D53=11,D53=12),D55="AC",D57=1),LOOKUP(D82,T!$AC378:$AC391,T!$X378:$X391),IF(AND(D51="4J1",OR(D53=3,D53=5),D55="AC"),LOOKUP(D82,T!$AC378:$AC391,T!$Y378:$Y391),IF(AND(D51="4J1",OR(D53=7,D53=10),D55="AC"),LOOKUP(D82,T!$AC378:$AC391,T!$Z378:$Z391),IF(AND(D51="4J1",D53=9,D55="AC"),LOOKUP(D82,T!$AC378:$AC391,T!$AA378:$AA391),IF(AND(D51="4J1",OR(D53=11,D53=12),D55="AC",D57=3),LOOKUP(D82,T!$AC378:$AC391,T!$AB378:$AB391),IF(AND(D51="4J2",OR(D53=2,D53=4,D53=6,D53=8),D55="DC"),LOOKUP(D82,T!$X397:$X407,T!$U397:$U407),IF(AND(D51="4J2",OR(D53=2,D53=4,D53=6,D53=8),D55="AC"),LOOKUP(D82,T!$X397:$X407,T!$V397:$V407),IF(AND(D51="4J2",OR(D53=3,D53=5,D53=7,D53=9),D55="AC"),LOOKUP(D82,T!$X397:$X407,T!$W397:$W407),IF(AND(D51="4J3",OR(D53=2,D53=4,D53=7,D53=8),D55="DC"),LOOKUP(D82,T!$AA413:$AA426,T!$U413:$U426),IF(AND(D51="4J3",OR(D53=2,D53=4),D55="AC"),LOOKUP(D82,T!$AA413:$AA426,T!$V413:$V426),IF(AND(D51="4J3",OR(D53=9,D53=10),D55="AC"),LOOKUP(D82,T!$AA413:$AA426,T!$W413:$W426),IF(AND(D51="4J3",D53=6,D55="AC"),LOOKUP(D82,T!$AA413:$AA426,T!$X413:$X426),IF(AND(D51="4J3",OR(D53=3,D53=5),D55="AC"),LOOKUP(D82,T!$AA413:$AA426,T!$Y413:$Y426),IF(AND(D51="4J3",OR(D53=11,D53=12),D55="AC"),LOOKUP(D82,T!$AA413:$AA426,T!$Z413:$Z426),IF(AND(D51="4J4",OR(D53=2,D53=4,D53=6),D55="DC"),LOOKUP(D82,T!$X432:$X442,T!$U432:$U442),IF(AND(D51="4J4",OR(D53=2,D53=4,D53=6),D55="AC"),LOOKUP(D82,T!$X432:$X442,T!$V432:$V442),IF(AND(D51="4J4",OR(D53=3,D53=5,D53=7),D55="AC"),LOOKUP(D82,T!$X432:$X442,T!$W432:$W442),0)))))))))))))))))))),0)))*D23*D69)/1000))</f>
        <v>0</v>
      </c>
      <c r="E100" s="158">
        <f ca="1">IF(E29="","",IF(OR(COUNT(E19:E21)=3,COUNT(E19:E21)=1),(IF(E29="",0,IF(ISNUMBER(SEARCH("4H",E51)),IF(AND(E51="4H1",OR(E53=2,E53=4,E53=6,E53=8,E53=11),E55="DC"),LOOKUP(E82,T!$AC308:$AC321,T!$U308:$U321),IF(AND(E51="4H1",OR(E53=2,E53=4),E55="AC"),LOOKUP(E82,T!$AC308:$AC321,T!$V308:$V321),IF(AND(E51="4H1",OR(E53=6,E53=8),E55="AC"),LOOKUP(E82,T!$AC308:$AC321,T!$W308:$W321),IF(AND(E51="4H1",OR(E53=11,E53=12),E55="AC",E57=1),LOOKUP(E82,T!$AC308:$AC321,T!$X308:$X321),IF(AND(E51="4H1",OR(E53=3,E53=5),E55="AC"),LOOKUP(E82,T!$AC308:$AC321,T!$Y308:$Y321),IF(AND(E51="4H1",OR(E53=7,E53=10),E55="AC"),LOOKUP(E82,T!$AC308:$AC321,T!$Z308:$Z321),IF(AND(E51="4H1",E53=9,E55="AC"),LOOKUP(E82,T!$AC308:$AC321,T!$AA308:$AA321),IF(AND(E51="4H1",OR(E53=11,E53=12),E55="AC",E57=3),LOOKUP(E82,T!$AC308:$AC321,T!$AB308:$AB321),IF(AND(E51="4H2",OR(E53=2,E53=4,E53=6,E53=8),E55="DC"),LOOKUP(E82,T!$X327:$X337,T!$U327:$U337),IF(AND(E51="4H2",OR(E53=2,E53=4,E53=6,E53=8),E55="AC"),LOOKUP(E82,T!$X327:$X337,T!$V327:$V337),IF(AND(E51="4H2",OR(E53=3,E53=5,E53=7,E53=9),E55="AC"),LOOKUP(E82,T!$X327:$X337,T!$W327:$W337),IF(AND(E51="4H3",OR(E53=2,E53=4,E53=7,E53=8),E55="DC"),LOOKUP(E82,T!$AA343:$AA356,T!$U343:$U356),IF(AND(E51="4H3",OR(E53=2,E53=4),E55="AC"),LOOKUP(E82,T!$AA343:$AA356,T!$V343:$V356),IF(AND(E51="4H3",OR(E53=9,E53=10),E55="AC"),LOOKUP(E82,T!$AA343:$AA$356,T!$W343:$W356),IF(AND(E51="4H3",E53=6,E55="AC"),LOOKUP(E82,T!$AA343:$AA356,T!$X343:$X356),IF(AND(E51="4H3",OR(E53=3,E53=5),E55="AC"),LOOKUP(E82,T!$AA343:$AA356,T!$Y343:$Y356),IF(AND(E51="4H3",OR(E53=11,E53=12),E55="AC"),LOOKUP(E82,T!$AA343:$AA356,T!$Z343:$Z356),IF(AND(E51="4H4",OR(E53=2,E53=4,E53=6),E55="DC"),LOOKUP(E82,T!$X362:$X372,T!$U362:$U372),IF(AND(E51="4H4",OR(E53=2,E53=4,E53=6),E55="AC"),LOOKUP(E82,T!$X362:$X372,T!$V362:$V372),IF(AND(E51="4H4",OR(E53=3,E53=5,E53=7),E55="AC"),LOOKUP(E82,T!$X362:$X372,T!$W362:$W372),0)))))))))))))))))))),IF(ISNUMBER(SEARCH("4J",E51)),IF(AND(E51="4J1",OR(E53=2,E53=4,E53=6,E53=8,E53=11),E55="DC"),LOOKUP(E82,T!$AC378:$AC391,T!$U378:$U391),IF(AND(E51="4J1",OR(E53=2,E53=4),E55="AC"),LOOKUP(E82,T!$AC378:$AC391,T!$V378:$V391),IF(AND(E51="4J1",OR(E53=6,E53=8),E55="AC"),LOOKUP(E82,T!$AC378:$AC391,T!$W378:$W391),IF(AND(E51="4J1",OR(E53=11,E53=12),E55="AC",E57=1),LOOKUP(E82,T!$AC378:$AC391,T!$X378:$X391),IF(AND(E51="4J1",OR(E53=3,E53=5),E55="AC"),LOOKUP(E82,T!$AC378:$AC391,T!$Y378:$Y391),IF(AND(E51="4J1",OR(E53=7,E53=10),E55="AC"),LOOKUP(E82,T!$AC378:$AC391,T!$Z378:$Z391),IF(AND(E51="4J1",E53=9,E55="AC"),LOOKUP(E82,T!$AC378:$AC391,T!$AA378:$AA391),IF(AND(E51="4J1",OR(E53=11,E53=12),E55="AC",E57=3),LOOKUP(E82,T!$AC378:$AC391,T!$AB378:$AB391),IF(AND(E51="4J2",OR(E53=2,E53=4,E53=6,E53=8),E55="DC"),LOOKUP(E82,T!$X397:$X407,T!$U397:$U407),IF(AND(E51="4J2",OR(E53=2,E53=4,E53=6,E53=8),E55="AC"),LOOKUP(E82,T!$X397:$X407,T!$V397:$V407),IF(AND(E51="4J2",OR(E53=3,E53=5,E53=7,E53=9),E55="AC"),LOOKUP(E82,T!$X397:$X407,T!$W397:$W407),IF(AND(E51="4J3",OR(E53=2,E53=4,E53=7,E53=8),E55="DC"),LOOKUP(E82,T!$AA413:$AA426,T!$U413:$U426),IF(AND(E51="4J3",OR(E53=2,E53=4),E55="AC"),LOOKUP(E82,T!$AA413:$AA426,T!$V413:$V426),IF(AND(E51="4J3",OR(E53=9,E53=10),E55="AC"),LOOKUP(E82,T!$AA413:$AA426,T!$W413:$W426),IF(AND(E51="4J3",E53=6,E55="AC"),LOOKUP(E82,T!$AA413:$AA426,T!$X413:$X426),IF(AND(E51="4J3",OR(E53=3,E53=5),E55="AC"),LOOKUP(E82,T!$AA413:$AA426,T!$Y413:$Y426),IF(AND(E51="4J3",OR(E53=11,E53=12),E55="AC"),LOOKUP(E82,T!$AA413:$AA426,T!$Z413:$Z426),IF(AND(E51="4J4",OR(E53=2,E53=4,E53=6),E55="DC"),LOOKUP(E82,T!$X432:$X442,T!$U432:$U442),IF(AND(E51="4J4",OR(E53=2,E53=4,E53=6),E55="AC"),LOOKUP(E82,T!$X432:$X442,T!$V432:$V442),IF(AND(E51="4J4",OR(E53=3,E53=5,E53=7),E55="AC"),LOOKUP(E82,T!$X432:$X442,T!$W432:$W442),0)))))))))))))))))))),0)))*E23*E69)/1000))</f>
        <v>0</v>
      </c>
      <c r="F100" s="158">
        <f ca="1">IF(F29="","",IF(OR(COUNT(F19:F21)=3,COUNT(F19:F21)=1),(IF(F29="",0,IF(ISNUMBER(SEARCH("4H",F51)),IF(AND(F51="4H1",OR(F53=2,F53=4,F53=6,F53=8,F53=11),F55="DC"),LOOKUP(F82,T!$AC308:$AC321,T!$U308:$U321),IF(AND(F51="4H1",OR(F53=2,F53=4),F55="AC"),LOOKUP(F82,T!$AC308:$AC321,T!$V308:$V321),IF(AND(F51="4H1",OR(F53=6,F53=8),F55="AC"),LOOKUP(F82,T!$AC308:$AC321,T!$W308:$W321),IF(AND(F51="4H1",OR(F53=11,F53=12),F55="AC",F57=1),LOOKUP(F82,T!$AC308:$AC321,T!$X308:$X321),IF(AND(F51="4H1",OR(F53=3,F53=5),F55="AC"),LOOKUP(F82,T!$AC308:$AC321,T!$Y308:$Y321),IF(AND(F51="4H1",OR(F53=7,F53=10),F55="AC"),LOOKUP(F82,T!$AC308:$AC321,T!$Z308:$Z321),IF(AND(F51="4H1",F53=9,F55="AC"),LOOKUP(F82,T!$AC308:$AC321,T!$AA308:$AA321),IF(AND(F51="4H1",OR(F53=11,F53=12),F55="AC",F57=3),LOOKUP(F82,T!$AC308:$AC321,T!$AB308:$AB321),IF(AND(F51="4H2",OR(F53=2,F53=4,F53=6,F53=8),F55="DC"),LOOKUP(F82,T!$X327:$X337,T!$U327:$U337),IF(AND(F51="4H2",OR(F53=2,F53=4,F53=6,F53=8),F55="AC"),LOOKUP(F82,T!$X327:$X337,T!$V327:$V337),IF(AND(F51="4H2",OR(F53=3,F53=5,F53=7,F53=9),F55="AC"),LOOKUP(F82,T!$X327:$X337,T!$W327:$W337),IF(AND(F51="4H3",OR(F53=2,F53=4,F53=7,F53=8),F55="DC"),LOOKUP(F82,T!$AA343:$AA356,T!$U343:$U356),IF(AND(F51="4H3",OR(F53=2,F53=4),F55="AC"),LOOKUP(F82,T!$AA343:$AA356,T!$V343:$V356),IF(AND(F51="4H3",OR(F53=9,F53=10),F55="AC"),LOOKUP(F82,T!$AA343:$AA$356,T!$W343:$W356),IF(AND(F51="4H3",F53=6,F55="AC"),LOOKUP(F82,T!$AA343:$AA356,T!$X343:$X356),IF(AND(F51="4H3",OR(F53=3,F53=5),F55="AC"),LOOKUP(F82,T!$AA343:$AA356,T!$Y343:$Y356),IF(AND(F51="4H3",OR(F53=11,F53=12),F55="AC"),LOOKUP(F82,T!$AA343:$AA356,T!$Z343:$Z356),IF(AND(F51="4H4",OR(F53=2,F53=4,F53=6),F55="DC"),LOOKUP(F82,T!$X362:$X372,T!$U362:$U372),IF(AND(F51="4H4",OR(F53=2,F53=4,F53=6),F55="AC"),LOOKUP(F82,T!$X362:$X372,T!$V362:$V372),IF(AND(F51="4H4",OR(F53=3,F53=5,F53=7),F55="AC"),LOOKUP(F82,T!$X362:$X372,T!$W362:$W372),0)))))))))))))))))))),IF(ISNUMBER(SEARCH("4J",F51)),IF(AND(F51="4J1",OR(F53=2,F53=4,F53=6,F53=8,F53=11),F55="DC"),LOOKUP(F82,T!$AC378:$AC391,T!$U378:$U391),IF(AND(F51="4J1",OR(F53=2,F53=4),F55="AC"),LOOKUP(F82,T!$AC378:$AC391,T!$V378:$V391),IF(AND(F51="4J1",OR(F53=6,F53=8),F55="AC"),LOOKUP(F82,T!$AC378:$AC391,T!$W378:$W391),IF(AND(F51="4J1",OR(F53=11,F53=12),F55="AC",F57=1),LOOKUP(F82,T!$AC378:$AC391,T!$X378:$X391),IF(AND(F51="4J1",OR(F53=3,F53=5),F55="AC"),LOOKUP(F82,T!$AC378:$AC391,T!$Y378:$Y391),IF(AND(F51="4J1",OR(F53=7,F53=10),F55="AC"),LOOKUP(F82,T!$AC378:$AC391,T!$Z378:$Z391),IF(AND(F51="4J1",F53=9,F55="AC"),LOOKUP(F82,T!$AC378:$AC391,T!$AA378:$AA391),IF(AND(F51="4J1",OR(F53=11,F53=12),F55="AC",F57=3),LOOKUP(F82,T!$AC378:$AC391,T!$AB378:$AB391),IF(AND(F51="4J2",OR(F53=2,F53=4,F53=6,F53=8),F55="DC"),LOOKUP(F82,T!$X397:$X407,T!$U397:$U407),IF(AND(F51="4J2",OR(F53=2,F53=4,F53=6,F53=8),F55="AC"),LOOKUP(F82,T!$X397:$X407,T!$V397:$V407),IF(AND(F51="4J2",OR(F53=3,F53=5,F53=7,F53=9),F55="AC"),LOOKUP(F82,T!$X397:$X407,T!$W397:$W407),IF(AND(F51="4J3",OR(F53=2,F53=4,F53=7,F53=8),F55="DC"),LOOKUP(F82,T!$AA413:$AA426,T!$U413:$U426),IF(AND(F51="4J3",OR(F53=2,F53=4),F55="AC"),LOOKUP(F82,T!$AA413:$AA426,T!$V413:$V426),IF(AND(F51="4J3",OR(F53=9,F53=10),F55="AC"),LOOKUP(F82,T!$AA413:$AA426,T!$W413:$W426),IF(AND(F51="4J3",F53=6,F55="AC"),LOOKUP(F82,T!$AA413:$AA426,T!$X413:$X426),IF(AND(F51="4J3",OR(F53=3,F53=5),F55="AC"),LOOKUP(F82,T!$AA413:$AA426,T!$Y413:$Y426),IF(AND(F51="4J3",OR(F53=11,F53=12),F55="AC"),LOOKUP(F82,T!$AA413:$AA426,T!$Z413:$Z426),IF(AND(F51="4J4",OR(F53=2,F53=4,F53=6),F55="DC"),LOOKUP(F82,T!$X432:$X442,T!$U432:$U442),IF(AND(F51="4J4",OR(F53=2,F53=4,F53=6),F55="AC"),LOOKUP(F82,T!$X432:$X442,T!$V432:$V442),IF(AND(F51="4J4",OR(F53=3,F53=5,F53=7),F55="AC"),LOOKUP(F82,T!$X432:$X442,T!$W432:$W442),0)))))))))))))))))))),0)))*F23*F69)/1000))</f>
        <v>0</v>
      </c>
      <c r="G100" s="158">
        <f ca="1">IF(G29="","",IF(OR(COUNT(G19:G21)=3,COUNT(G19:G21)=1),(IF(G29="",0,IF(ISNUMBER(SEARCH("4H",G51)),IF(AND(G51="4H1",OR(G53=2,G53=4,G53=6,G53=8,G53=11),G55="DC"),LOOKUP(G82,T!$AC308:$AC321,T!$U308:$U321),IF(AND(G51="4H1",OR(G53=2,G53=4),G55="AC"),LOOKUP(G82,T!$AC308:$AC321,T!$V308:$V321),IF(AND(G51="4H1",OR(G53=6,G53=8),G55="AC"),LOOKUP(G82,T!$AC308:$AC321,T!$W308:$W321),IF(AND(G51="4H1",OR(G53=11,G53=12),G55="AC",G57=1),LOOKUP(G82,T!$AC308:$AC321,T!$X308:$X321),IF(AND(G51="4H1",OR(G53=3,G53=5),G55="AC"),LOOKUP(G82,T!$AC308:$AC321,T!$Y308:$Y321),IF(AND(G51="4H1",OR(G53=7,G53=10),G55="AC"),LOOKUP(G82,T!$AC308:$AC321,T!$Z308:$Z321),IF(AND(G51="4H1",G53=9,G55="AC"),LOOKUP(G82,T!$AC308:$AC321,T!$AA308:$AA321),IF(AND(G51="4H1",OR(G53=11,G53=12),G55="AC",G57=3),LOOKUP(G82,T!$AC308:$AC321,T!$AB308:$AB321),IF(AND(G51="4H2",OR(G53=2,G53=4,G53=6,G53=8),G55="DC"),LOOKUP(G82,T!$X327:$X337,T!$U327:$U337),IF(AND(G51="4H2",OR(G53=2,G53=4,G53=6,G53=8),G55="AC"),LOOKUP(G82,T!$X327:$X337,T!$V327:$V337),IF(AND(G51="4H2",OR(G53=3,G53=5,G53=7,G53=9),G55="AC"),LOOKUP(G82,T!$X327:$X337,T!$W327:$W337),IF(AND(G51="4H3",OR(G53=2,G53=4,G53=7,G53=8),G55="DC"),LOOKUP(G82,T!$AA343:$AA356,T!$U343:$U356),IF(AND(G51="4H3",OR(G53=2,G53=4),G55="AC"),LOOKUP(G82,T!$AA343:$AA356,T!$V343:$V356),IF(AND(G51="4H3",OR(G53=9,G53=10),G55="AC"),LOOKUP(G82,T!$AA343:$AA$356,T!$W343:$W356),IF(AND(G51="4H3",G53=6,G55="AC"),LOOKUP(G82,T!$AA343:$AA356,T!$X343:$X356),IF(AND(G51="4H3",OR(G53=3,G53=5),G55="AC"),LOOKUP(G82,T!$AA343:$AA356,T!$Y343:$Y356),IF(AND(G51="4H3",OR(G53=11,G53=12),G55="AC"),LOOKUP(G82,T!$AA343:$AA356,T!$Z343:$Z356),IF(AND(G51="4H4",OR(G53=2,G53=4,G53=6),G55="DC"),LOOKUP(G82,T!$X362:$X372,T!$U362:$U372),IF(AND(G51="4H4",OR(G53=2,G53=4,G53=6),G55="AC"),LOOKUP(G82,T!$X362:$X372,T!$V362:$V372),IF(AND(G51="4H4",OR(G53=3,G53=5,G53=7),G55="AC"),LOOKUP(G82,T!$X362:$X372,T!$W362:$W372),0)))))))))))))))))))),IF(ISNUMBER(SEARCH("4J",G51)),IF(AND(G51="4J1",OR(G53=2,G53=4,G53=6,G53=8,G53=11),G55="DC"),LOOKUP(G82,T!$AC378:$AC391,T!$U378:$U391),IF(AND(G51="4J1",OR(G53=2,G53=4),G55="AC"),LOOKUP(G82,T!$AC378:$AC391,T!$V378:$V391),IF(AND(G51="4J1",OR(G53=6,G53=8),G55="AC"),LOOKUP(G82,T!$AC378:$AC391,T!$W378:$W391),IF(AND(G51="4J1",OR(G53=11,G53=12),G55="AC",G57=1),LOOKUP(G82,T!$AC378:$AC391,T!$X378:$X391),IF(AND(G51="4J1",OR(G53=3,G53=5),G55="AC"),LOOKUP(G82,T!$AC378:$AC391,T!$Y378:$Y391),IF(AND(G51="4J1",OR(G53=7,G53=10),G55="AC"),LOOKUP(G82,T!$AC378:$AC391,T!$Z378:$Z391),IF(AND(G51="4J1",G53=9,G55="AC"),LOOKUP(G82,T!$AC378:$AC391,T!$AA378:$AA391),IF(AND(G51="4J1",OR(G53=11,G53=12),G55="AC",G57=3),LOOKUP(G82,T!$AC378:$AC391,T!$AB378:$AB391),IF(AND(G51="4J2",OR(G53=2,G53=4,G53=6,G53=8),G55="DC"),LOOKUP(G82,T!$X397:$X407,T!$U397:$U407),IF(AND(G51="4J2",OR(G53=2,G53=4,G53=6,G53=8),G55="AC"),LOOKUP(G82,T!$X397:$X407,T!$V397:$V407),IF(AND(G51="4J2",OR(G53=3,G53=5,G53=7,G53=9),G55="AC"),LOOKUP(G82,T!$X397:$X407,T!$W397:$W407),IF(AND(G51="4J3",OR(G53=2,G53=4,G53=7,G53=8),G55="DC"),LOOKUP(G82,T!$AA413:$AA426,T!$U413:$U426),IF(AND(G51="4J3",OR(G53=2,G53=4),G55="AC"),LOOKUP(G82,T!$AA413:$AA426,T!$V413:$V426),IF(AND(G51="4J3",OR(G53=9,G53=10),G55="AC"),LOOKUP(G82,T!$AA413:$AA426,T!$W413:$W426),IF(AND(G51="4J3",G53=6,G55="AC"),LOOKUP(G82,T!$AA413:$AA426,T!$X413:$X426),IF(AND(G51="4J3",OR(G53=3,G53=5),G55="AC"),LOOKUP(G82,T!$AA413:$AA426,T!$Y413:$Y426),IF(AND(G51="4J3",OR(G53=11,G53=12),G55="AC"),LOOKUP(G82,T!$AA413:$AA426,T!$Z413:$Z426),IF(AND(G51="4J4",OR(G53=2,G53=4,G53=6),G55="DC"),LOOKUP(G82,T!$X432:$X442,T!$U432:$U442),IF(AND(G51="4J4",OR(G53=2,G53=4,G53=6),G55="AC"),LOOKUP(G82,T!$X432:$X442,T!$V432:$V442),IF(AND(G51="4J4",OR(G53=3,G53=5,G53=7),G55="AC"),LOOKUP(G82,T!$X432:$X442,T!$W432:$W442),0)))))))))))))))))))),0)))*G23*G69)/1000))</f>
        <v>0</v>
      </c>
      <c r="H100" s="158">
        <f ca="1">IF(H29="","",IF(OR(COUNT(H19:H21)=3,COUNT(H19:H21)=1),(IF(H29="",0,IF(ISNUMBER(SEARCH("4H",H51)),IF(AND(H51="4H1",OR(H53=2,H53=4,H53=6,H53=8,H53=11),H55="DC"),LOOKUP(H82,T!$AC308:$AC321,T!$U308:$U321),IF(AND(H51="4H1",OR(H53=2,H53=4),H55="AC"),LOOKUP(H82,T!$AC308:$AC321,T!$V308:$V321),IF(AND(H51="4H1",OR(H53=6,H53=8),H55="AC"),LOOKUP(H82,T!$AC308:$AC321,T!$W308:$W321),IF(AND(H51="4H1",OR(H53=11,H53=12),H55="AC",H57=1),LOOKUP(H82,T!$AC308:$AC321,T!$X308:$X321),IF(AND(H51="4H1",OR(H53=3,H53=5),H55="AC"),LOOKUP(H82,T!$AC308:$AC321,T!$Y308:$Y321),IF(AND(H51="4H1",OR(H53=7,H53=10),H55="AC"),LOOKUP(H82,T!$AC308:$AC321,T!$Z308:$Z321),IF(AND(H51="4H1",H53=9,H55="AC"),LOOKUP(H82,T!$AC308:$AC321,T!$AA308:$AA321),IF(AND(H51="4H1",OR(H53=11,H53=12),H55="AC",H57=3),LOOKUP(H82,T!$AC308:$AC321,T!$AB308:$AB321),IF(AND(H51="4H2",OR(H53=2,H53=4,H53=6,H53=8),H55="DC"),LOOKUP(H82,T!$X327:$X337,T!$U327:$U337),IF(AND(H51="4H2",OR(H53=2,H53=4,H53=6,H53=8),H55="AC"),LOOKUP(H82,T!$X327:$X337,T!$V327:$V337),IF(AND(H51="4H2",OR(H53=3,H53=5,H53=7,H53=9),H55="AC"),LOOKUP(H82,T!$X327:$X337,T!$W327:$W337),IF(AND(H51="4H3",OR(H53=2,H53=4,H53=7,H53=8),H55="DC"),LOOKUP(H82,T!$AA343:$AA356,T!$U343:$U356),IF(AND(H51="4H3",OR(H53=2,H53=4),H55="AC"),LOOKUP(H82,T!$AA343:$AA356,T!$V343:$V356),IF(AND(H51="4H3",OR(H53=9,H53=10),H55="AC"),LOOKUP(H82,T!$AA343:$AA$356,T!$W343:$W356),IF(AND(H51="4H3",H53=6,H55="AC"),LOOKUP(H82,T!$AA343:$AA356,T!$X343:$X356),IF(AND(H51="4H3",OR(H53=3,H53=5),H55="AC"),LOOKUP(H82,T!$AA343:$AA356,T!$Y343:$Y356),IF(AND(H51="4H3",OR(H53=11,H53=12),H55="AC"),LOOKUP(H82,T!$AA343:$AA356,T!$Z343:$Z356),IF(AND(H51="4H4",OR(H53=2,H53=4,H53=6),H55="DC"),LOOKUP(H82,T!$X362:$X372,T!$U362:$U372),IF(AND(H51="4H4",OR(H53=2,H53=4,H53=6),H55="AC"),LOOKUP(H82,T!$X362:$X372,T!$V362:$V372),IF(AND(H51="4H4",OR(H53=3,H53=5,H53=7),H55="AC"),LOOKUP(H82,T!$X362:$X372,T!$W362:$W372),0)))))))))))))))))))),IF(ISNUMBER(SEARCH("4J",H51)),IF(AND(H51="4J1",OR(H53=2,H53=4,H53=6,H53=8,H53=11),H55="DC"),LOOKUP(H82,T!$AC378:$AC391,T!$U378:$U391),IF(AND(H51="4J1",OR(H53=2,H53=4),H55="AC"),LOOKUP(H82,T!$AC378:$AC391,T!$V378:$V391),IF(AND(H51="4J1",OR(H53=6,H53=8),H55="AC"),LOOKUP(H82,T!$AC378:$AC391,T!$W378:$W391),IF(AND(H51="4J1",OR(H53=11,H53=12),H55="AC",H57=1),LOOKUP(H82,T!$AC378:$AC391,T!$X378:$X391),IF(AND(H51="4J1",OR(H53=3,H53=5),H55="AC"),LOOKUP(H82,T!$AC378:$AC391,T!$Y378:$Y391),IF(AND(H51="4J1",OR(H53=7,H53=10),H55="AC"),LOOKUP(H82,T!$AC378:$AC391,T!$Z378:$Z391),IF(AND(H51="4J1",H53=9,H55="AC"),LOOKUP(H82,T!$AC378:$AC391,T!$AA378:$AA391),IF(AND(H51="4J1",OR(H53=11,H53=12),H55="AC",H57=3),LOOKUP(H82,T!$AC378:$AC391,T!$AB378:$AB391),IF(AND(H51="4J2",OR(H53=2,H53=4,H53=6,H53=8),H55="DC"),LOOKUP(H82,T!$X397:$X407,T!$U397:$U407),IF(AND(H51="4J2",OR(H53=2,H53=4,H53=6,H53=8),H55="AC"),LOOKUP(H82,T!$X397:$X407,T!$V397:$V407),IF(AND(H51="4J2",OR(H53=3,H53=5,H53=7,H53=9),H55="AC"),LOOKUP(H82,T!$X397:$X407,T!$W397:$W407),IF(AND(H51="4J3",OR(H53=2,H53=4,H53=7,H53=8),H55="DC"),LOOKUP(H82,T!$AA413:$AA426,T!$U413:$U426),IF(AND(H51="4J3",OR(H53=2,H53=4),H55="AC"),LOOKUP(H82,T!$AA413:$AA426,T!$V413:$V426),IF(AND(H51="4J3",OR(H53=9,H53=10),H55="AC"),LOOKUP(H82,T!$AA413:$AA426,T!$W413:$W426),IF(AND(H51="4J3",H53=6,H55="AC"),LOOKUP(H82,T!$AA413:$AA426,T!$X413:$X426),IF(AND(H51="4J3",OR(H53=3,H53=5),H55="AC"),LOOKUP(H82,T!$AA413:$AA426,T!$Y413:$Y426),IF(AND(H51="4J3",OR(H53=11,H53=12),H55="AC"),LOOKUP(H82,T!$AA413:$AA426,T!$Z413:$Z426),IF(AND(H51="4J4",OR(H53=2,H53=4,H53=6),H55="DC"),LOOKUP(H82,T!$X432:$X442,T!$U432:$U442),IF(AND(H51="4J4",OR(H53=2,H53=4,H53=6),H55="AC"),LOOKUP(H82,T!$X432:$X442,T!$V432:$V442),IF(AND(H51="4J4",OR(H53=3,H53=5,H53=7),H55="AC"),LOOKUP(H82,T!$X432:$X442,T!$W432:$W442),0)))))))))))))))))))),0)))*H23*H69)/1000))</f>
        <v>0</v>
      </c>
      <c r="I100" s="158">
        <f>IF(I29="","",IF(OR(COUNT(I19:I21)=3,COUNT(I19:I21)=1),(IF(I29="",0,IF(ISNUMBER(SEARCH("4H",I51)),IF(AND(I51="4H1",OR(I53=2,I53=4,I53=6,I53=8,I53=11),I55="DC"),LOOKUP(I82,T!$AC308:$AC321,T!$U308:$U321),IF(AND(I51="4H1",OR(I53=2,I53=4),I55="AC"),LOOKUP(I82,T!$AC308:$AC321,T!$V308:$V321),IF(AND(I51="4H1",OR(I53=6,I53=8),I55="AC"),LOOKUP(I82,T!$AC308:$AC321,T!$W308:$W321),IF(AND(I51="4H1",OR(I53=11,I53=12),I55="AC",I57=1),LOOKUP(I82,T!$AC308:$AC321,T!$X308:$X321),IF(AND(I51="4H1",OR(I53=3,I53=5),I55="AC"),LOOKUP(I82,T!$AC308:$AC321,T!$Y308:$Y321),IF(AND(I51="4H1",OR(I53=7,I53=10),I55="AC"),LOOKUP(I82,T!$AC308:$AC321,T!$Z308:$Z321),IF(AND(I51="4H1",I53=9,I55="AC"),LOOKUP(I82,T!$AC308:$AC321,T!$AA308:$AA321),IF(AND(I51="4H1",OR(I53=11,I53=12),I55="AC",I57=3),LOOKUP(I82,T!$AC308:$AC321,T!$AB308:$AB321),IF(AND(I51="4H2",OR(I53=2,I53=4,I53=6,I53=8),I55="DC"),LOOKUP(I82,T!$X327:$X337,T!$U327:$U337),IF(AND(I51="4H2",OR(I53=2,I53=4,I53=6,I53=8),I55="AC"),LOOKUP(I82,T!$X327:$X337,T!$V327:$V337),IF(AND(I51="4H2",OR(I53=3,I53=5,I53=7,I53=9),I55="AC"),LOOKUP(I82,T!$X327:$X337,T!$W327:$W337),IF(AND(I51="4H3",OR(I53=2,I53=4,I53=7,I53=8),I55="DC"),LOOKUP(I82,T!$AA343:$AA356,T!$U343:$U356),IF(AND(I51="4H3",OR(I53=2,I53=4),I55="AC"),LOOKUP(I82,T!$AA343:$AA356,T!$V343:$V356),IF(AND(I51="4H3",OR(I53=9,I53=10),I55="AC"),LOOKUP(I82,T!$AA343:$AA$356,T!$W343:$W356),IF(AND(I51="4H3",I53=6,I55="AC"),LOOKUP(I82,T!$AA343:$AA356,T!$X343:$X356),IF(AND(I51="4H3",OR(I53=3,I53=5),I55="AC"),LOOKUP(I82,T!$AA343:$AA356,T!$Y343:$Y356),IF(AND(I51="4H3",OR(I53=11,I53=12),I55="AC"),LOOKUP(I82,T!$AA343:$AA356,T!$Z343:$Z356),IF(AND(I51="4H4",OR(I53=2,I53=4,I53=6),I55="DC"),LOOKUP(I82,T!$X362:$X372,T!$U362:$U372),IF(AND(I51="4H4",OR(I53=2,I53=4,I53=6),I55="AC"),LOOKUP(I82,T!$X362:$X372,T!$V362:$V372),IF(AND(I51="4H4",OR(I53=3,I53=5,I53=7),I55="AC"),LOOKUP(I82,T!$X362:$X372,T!$W362:$W372),0)))))))))))))))))))),IF(ISNUMBER(SEARCH("4J",I51)),IF(AND(I51="4J1",OR(I53=2,I53=4,I53=6,I53=8,I53=11),I55="DC"),LOOKUP(I82,T!$AC378:$AC391,T!$U378:$U391),IF(AND(I51="4J1",OR(I53=2,I53=4),I55="AC"),LOOKUP(I82,T!$AC378:$AC391,T!$V378:$V391),IF(AND(I51="4J1",OR(I53=6,I53=8),I55="AC"),LOOKUP(I82,T!$AC378:$AC391,T!$W378:$W391),IF(AND(I51="4J1",OR(I53=11,I53=12),I55="AC",I57=1),LOOKUP(I82,T!$AC378:$AC391,T!$X378:$X391),IF(AND(I51="4J1",OR(I53=3,I53=5),I55="AC"),LOOKUP(I82,T!$AC378:$AC391,T!$Y378:$Y391),IF(AND(I51="4J1",OR(I53=7,I53=10),I55="AC"),LOOKUP(I82,T!$AC378:$AC391,T!$Z378:$Z391),IF(AND(I51="4J1",I53=9,I55="AC"),LOOKUP(I82,T!$AC378:$AC391,T!$AA378:$AA391),IF(AND(I51="4J1",OR(I53=11,I53=12),I55="AC",I57=3),LOOKUP(I82,T!$AC378:$AC391,T!$AB378:$AB391),IF(AND(I51="4J2",OR(I53=2,I53=4,I53=6,I53=8),I55="DC"),LOOKUP(I82,T!$X397:$X407,T!$U397:$U407),IF(AND(I51="4J2",OR(I53=2,I53=4,I53=6,I53=8),I55="AC"),LOOKUP(I82,T!$X397:$X407,T!$V397:$V407),IF(AND(I51="4J2",OR(I53=3,I53=5,I53=7,I53=9),I55="AC"),LOOKUP(I82,T!$X397:$X407,T!$W397:$W407),IF(AND(I51="4J3",OR(I53=2,I53=4,I53=7,I53=8),I55="DC"),LOOKUP(I82,T!$AA413:$AA426,T!$U413:$U426),IF(AND(I51="4J3",OR(I53=2,I53=4),I55="AC"),LOOKUP(I82,T!$AA413:$AA426,T!$V413:$V426),IF(AND(I51="4J3",OR(I53=9,I53=10),I55="AC"),LOOKUP(I82,T!$AA413:$AA426,T!$W413:$W426),IF(AND(I51="4J3",I53=6,I55="AC"),LOOKUP(I82,T!$AA413:$AA426,T!$X413:$X426),IF(AND(I51="4J3",OR(I53=3,I53=5),I55="AC"),LOOKUP(I82,T!$AA413:$AA426,T!$Y413:$Y426),IF(AND(I51="4J3",OR(I53=11,I53=12),I55="AC"),LOOKUP(I82,T!$AA413:$AA426,T!$Z413:$Z426),IF(AND(I51="4J4",OR(I53=2,I53=4,I53=6),I55="DC"),LOOKUP(I82,T!$X432:$X442,T!$U432:$U442),IF(AND(I51="4J4",OR(I53=2,I53=4,I53=6),I55="AC"),LOOKUP(I82,T!$X432:$X442,T!$V432:$V442),IF(AND(I51="4J4",OR(I53=3,I53=5,I53=7),I55="AC"),LOOKUP(I82,T!$X432:$X442,T!$W432:$W442),0)))))))))))))))))))),0)))*I23*I69)/1000))</f>
        <v>0</v>
      </c>
      <c r="J100" s="158">
        <f>IF(J29="","",IF(OR(COUNT(J19:J21)=3,COUNT(J19:J21)=1),(IF(J29="",0,IF(ISNUMBER(SEARCH("4H",J51)),IF(AND(J51="4H1",OR(J53=2,J53=4,J53=6,J53=8,J53=11),J55="DC"),LOOKUP(J82,T!$AC308:$AC321,T!$U308:$U321),IF(AND(J51="4H1",OR(J53=2,J53=4),J55="AC"),LOOKUP(J82,T!$AC308:$AC321,T!$V308:$V321),IF(AND(J51="4H1",OR(J53=6,J53=8),J55="AC"),LOOKUP(J82,T!$AC308:$AC321,T!$W308:$W321),IF(AND(J51="4H1",OR(J53=11,J53=12),J55="AC",J57=1),LOOKUP(J82,T!$AC308:$AC321,T!$X308:$X321),IF(AND(J51="4H1",OR(J53=3,J53=5),J55="AC"),LOOKUP(J82,T!$AC308:$AC321,T!$Y308:$Y321),IF(AND(J51="4H1",OR(J53=7,J53=10),J55="AC"),LOOKUP(J82,T!$AC308:$AC321,T!$Z308:$Z321),IF(AND(J51="4H1",J53=9,J55="AC"),LOOKUP(J82,T!$AC308:$AC321,T!$AA308:$AA321),IF(AND(J51="4H1",OR(J53=11,J53=12),J55="AC",J57=3),LOOKUP(J82,T!$AC308:$AC321,T!$AB308:$AB321),IF(AND(J51="4H2",OR(J53=2,J53=4,J53=6,J53=8),J55="DC"),LOOKUP(J82,T!$X327:$X337,T!$U327:$U337),IF(AND(J51="4H2",OR(J53=2,J53=4,J53=6,J53=8),J55="AC"),LOOKUP(J82,T!$X327:$X337,T!$V327:$V337),IF(AND(J51="4H2",OR(J53=3,J53=5,J53=7,J53=9),J55="AC"),LOOKUP(J82,T!$X327:$X337,T!$W327:$W337),IF(AND(J51="4H3",OR(J53=2,J53=4,J53=7,J53=8),J55="DC"),LOOKUP(J82,T!$AA343:$AA356,T!$U343:$U356),IF(AND(J51="4H3",OR(J53=2,J53=4),J55="AC"),LOOKUP(J82,T!$AA343:$AA356,T!$V343:$V356),IF(AND(J51="4H3",OR(J53=9,J53=10),J55="AC"),LOOKUP(J82,T!$AA343:$AA$356,T!$W343:$W356),IF(AND(J51="4H3",J53=6,J55="AC"),LOOKUP(J82,T!$AA343:$AA356,T!$X343:$X356),IF(AND(J51="4H3",OR(J53=3,J53=5),J55="AC"),LOOKUP(J82,T!$AA343:$AA356,T!$Y343:$Y356),IF(AND(J51="4H3",OR(J53=11,J53=12),J55="AC"),LOOKUP(J82,T!$AA343:$AA356,T!$Z343:$Z356),IF(AND(J51="4H4",OR(J53=2,J53=4,J53=6),J55="DC"),LOOKUP(J82,T!$X362:$X372,T!$U362:$U372),IF(AND(J51="4H4",OR(J53=2,J53=4,J53=6),J55="AC"),LOOKUP(J82,T!$X362:$X372,T!$V362:$V372),IF(AND(J51="4H4",OR(J53=3,J53=5,J53=7),J55="AC"),LOOKUP(J82,T!$X362:$X372,T!$W362:$W372),0)))))))))))))))))))),IF(ISNUMBER(SEARCH("4J",J51)),IF(AND(J51="4J1",OR(J53=2,J53=4,J53=6,J53=8,J53=11),J55="DC"),LOOKUP(J82,T!$AC378:$AC391,T!$U378:$U391),IF(AND(J51="4J1",OR(J53=2,J53=4),J55="AC"),LOOKUP(J82,T!$AC378:$AC391,T!$V378:$V391),IF(AND(J51="4J1",OR(J53=6,J53=8),J55="AC"),LOOKUP(J82,T!$AC378:$AC391,T!$W378:$W391),IF(AND(J51="4J1",OR(J53=11,J53=12),J55="AC",J57=1),LOOKUP(J82,T!$AC378:$AC391,T!$X378:$X391),IF(AND(J51="4J1",OR(J53=3,J53=5),J55="AC"),LOOKUP(J82,T!$AC378:$AC391,T!$Y378:$Y391),IF(AND(J51="4J1",OR(J53=7,J53=10),J55="AC"),LOOKUP(J82,T!$AC378:$AC391,T!$Z378:$Z391),IF(AND(J51="4J1",J53=9,J55="AC"),LOOKUP(J82,T!$AC378:$AC391,T!$AA378:$AA391),IF(AND(J51="4J1",OR(J53=11,J53=12),J55="AC",J57=3),LOOKUP(J82,T!$AC378:$AC391,T!$AB378:$AB391),IF(AND(J51="4J2",OR(J53=2,J53=4,J53=6,J53=8),J55="DC"),LOOKUP(J82,T!$X397:$X407,T!$U397:$U407),IF(AND(J51="4J2",OR(J53=2,J53=4,J53=6,J53=8),J55="AC"),LOOKUP(J82,T!$X397:$X407,T!$V397:$V407),IF(AND(J51="4J2",OR(J53=3,J53=5,J53=7,J53=9),J55="AC"),LOOKUP(J82,T!$X397:$X407,T!$W397:$W407),IF(AND(J51="4J3",OR(J53=2,J53=4,J53=7,J53=8),J55="DC"),LOOKUP(J82,T!$AA413:$AA426,T!$U413:$U426),IF(AND(J51="4J3",OR(J53=2,J53=4),J55="AC"),LOOKUP(J82,T!$AA413:$AA426,T!$V413:$V426),IF(AND(J51="4J3",OR(J53=9,J53=10),J55="AC"),LOOKUP(J82,T!$AA413:$AA426,T!$W413:$W426),IF(AND(J51="4J3",J53=6,J55="AC"),LOOKUP(J82,T!$AA413:$AA426,T!$X413:$X426),IF(AND(J51="4J3",OR(J53=3,J53=5),J55="AC"),LOOKUP(J82,T!$AA413:$AA426,T!$Y413:$Y426),IF(AND(J51="4J3",OR(J53=11,J53=12),J55="AC"),LOOKUP(J82,T!$AA413:$AA426,T!$Z413:$Z426),IF(AND(J51="4J4",OR(J53=2,J53=4,J53=6),J55="DC"),LOOKUP(J82,T!$X432:$X442,T!$U432:$U442),IF(AND(J51="4J4",OR(J53=2,J53=4,J53=6),J55="AC"),LOOKUP(J82,T!$X432:$X442,T!$V432:$V442),IF(AND(J51="4J4",OR(J53=3,J53=5,J53=7),J55="AC"),LOOKUP(J82,T!$X432:$X442,T!$W432:$W442),0)))))))))))))))))))),0)))*J23*J69)/1000))</f>
        <v>0</v>
      </c>
      <c r="K100" s="158">
        <f>IF(K29="","",IF(OR(COUNT(K19:K21)=3,COUNT(K19:K21)=1),(IF(K29="",0,IF(ISNUMBER(SEARCH("4H",K51)),IF(AND(K51="4H1",OR(K53=2,K53=4,K53=6,K53=8,K53=11),K55="DC"),LOOKUP(K82,T!$AC308:$AC321,T!$U308:$U321),IF(AND(K51="4H1",OR(K53=2,K53=4),K55="AC"),LOOKUP(K82,T!$AC308:$AC321,T!$V308:$V321),IF(AND(K51="4H1",OR(K53=6,K53=8),K55="AC"),LOOKUP(K82,T!$AC308:$AC321,T!$W308:$W321),IF(AND(K51="4H1",OR(K53=11,K53=12),K55="AC",K57=1),LOOKUP(K82,T!$AC308:$AC321,T!$X308:$X321),IF(AND(K51="4H1",OR(K53=3,K53=5),K55="AC"),LOOKUP(K82,T!$AC308:$AC321,T!$Y308:$Y321),IF(AND(K51="4H1",OR(K53=7,K53=10),K55="AC"),LOOKUP(K82,T!$AC308:$AC321,T!$Z308:$Z321),IF(AND(K51="4H1",K53=9,K55="AC"),LOOKUP(K82,T!$AC308:$AC321,T!$AA308:$AA321),IF(AND(K51="4H1",OR(K53=11,K53=12),K55="AC",K57=3),LOOKUP(K82,T!$AC308:$AC321,T!$AB308:$AB321),IF(AND(K51="4H2",OR(K53=2,K53=4,K53=6,K53=8),K55="DC"),LOOKUP(K82,T!$X327:$X337,T!$U327:$U337),IF(AND(K51="4H2",OR(K53=2,K53=4,K53=6,K53=8),K55="AC"),LOOKUP(K82,T!$X327:$X337,T!$V327:$V337),IF(AND(K51="4H2",OR(K53=3,K53=5,K53=7,K53=9),K55="AC"),LOOKUP(K82,T!$X327:$X337,T!$W327:$W337),IF(AND(K51="4H3",OR(K53=2,K53=4,K53=7,K53=8),K55="DC"),LOOKUP(K82,T!$AA343:$AA356,T!$U343:$U356),IF(AND(K51="4H3",OR(K53=2,K53=4),K55="AC"),LOOKUP(K82,T!$AA343:$AA356,T!$V343:$V356),IF(AND(K51="4H3",OR(K53=9,K53=10),K55="AC"),LOOKUP(K82,T!$AA343:$AA$356,T!$W343:$W356),IF(AND(K51="4H3",K53=6,K55="AC"),LOOKUP(K82,T!$AA343:$AA356,T!$X343:$X356),IF(AND(K51="4H3",OR(K53=3,K53=5),K55="AC"),LOOKUP(K82,T!$AA343:$AA356,T!$Y343:$Y356),IF(AND(K51="4H3",OR(K53=11,K53=12),K55="AC"),LOOKUP(K82,T!$AA343:$AA356,T!$Z343:$Z356),IF(AND(K51="4H4",OR(K53=2,K53=4,K53=6),K55="DC"),LOOKUP(K82,T!$X362:$X372,T!$U362:$U372),IF(AND(K51="4H4",OR(K53=2,K53=4,K53=6),K55="AC"),LOOKUP(K82,T!$X362:$X372,T!$V362:$V372),IF(AND(K51="4H4",OR(K53=3,K53=5,K53=7),K55="AC"),LOOKUP(K82,T!$X362:$X372,T!$W362:$W372),0)))))))))))))))))))),IF(ISNUMBER(SEARCH("4J",K51)),IF(AND(K51="4J1",OR(K53=2,K53=4,K53=6,K53=8,K53=11),K55="DC"),LOOKUP(K82,T!$AC378:$AC391,T!$U378:$U391),IF(AND(K51="4J1",OR(K53=2,K53=4),K55="AC"),LOOKUP(K82,T!$AC378:$AC391,T!$V378:$V391),IF(AND(K51="4J1",OR(K53=6,K53=8),K55="AC"),LOOKUP(K82,T!$AC378:$AC391,T!$W378:$W391),IF(AND(K51="4J1",OR(K53=11,K53=12),K55="AC",K57=1),LOOKUP(K82,T!$AC378:$AC391,T!$X378:$X391),IF(AND(K51="4J1",OR(K53=3,K53=5),K55="AC"),LOOKUP(K82,T!$AC378:$AC391,T!$Y378:$Y391),IF(AND(K51="4J1",OR(K53=7,K53=10),K55="AC"),LOOKUP(K82,T!$AC378:$AC391,T!$Z378:$Z391),IF(AND(K51="4J1",K53=9,K55="AC"),LOOKUP(K82,T!$AC378:$AC391,T!$AA378:$AA391),IF(AND(K51="4J1",OR(K53=11,K53=12),K55="AC",K57=3),LOOKUP(K82,T!$AC378:$AC391,T!$AB378:$AB391),IF(AND(K51="4J2",OR(K53=2,K53=4,K53=6,K53=8),K55="DC"),LOOKUP(K82,T!$X397:$X407,T!$U397:$U407),IF(AND(K51="4J2",OR(K53=2,K53=4,K53=6,K53=8),K55="AC"),LOOKUP(K82,T!$X397:$X407,T!$V397:$V407),IF(AND(K51="4J2",OR(K53=3,K53=5,K53=7,K53=9),K55="AC"),LOOKUP(K82,T!$X397:$X407,T!$W397:$W407),IF(AND(K51="4J3",OR(K53=2,K53=4,K53=7,K53=8),K55="DC"),LOOKUP(K82,T!$AA413:$AA426,T!$U413:$U426),IF(AND(K51="4J3",OR(K53=2,K53=4),K55="AC"),LOOKUP(K82,T!$AA413:$AA426,T!$V413:$V426),IF(AND(K51="4J3",OR(K53=9,K53=10),K55="AC"),LOOKUP(K82,T!$AA413:$AA426,T!$W413:$W426),IF(AND(K51="4J3",K53=6,K55="AC"),LOOKUP(K82,T!$AA413:$AA426,T!$X413:$X426),IF(AND(K51="4J3",OR(K53=3,K53=5),K55="AC"),LOOKUP(K82,T!$AA413:$AA426,T!$Y413:$Y426),IF(AND(K51="4J3",OR(K53=11,K53=12),K55="AC"),LOOKUP(K82,T!$AA413:$AA426,T!$Z413:$Z426),IF(AND(K51="4J4",OR(K53=2,K53=4,K53=6),K55="DC"),LOOKUP(K82,T!$X432:$X442,T!$U432:$U442),IF(AND(K51="4J4",OR(K53=2,K53=4,K53=6),K55="AC"),LOOKUP(K82,T!$X432:$X442,T!$V432:$V442),IF(AND(K51="4J4",OR(K53=3,K53=5,K53=7),K55="AC"),LOOKUP(K82,T!$X432:$X442,T!$W432:$W442),0)))))))))))))))))))),0)))*K23*K69)/1000))</f>
        <v>0</v>
      </c>
      <c r="L100" s="158">
        <f>IF(L29="","",IF(OR(COUNT(L19:L21)=3,COUNT(L19:L21)=1),(IF(L29="",0,IF(ISNUMBER(SEARCH("4H",L51)),IF(AND(L51="4H1",OR(L53=2,L53=4,L53=6,L53=8,L53=11),L55="DC"),LOOKUP(L82,T!$AC308:$AC321,T!$U308:$U321),IF(AND(L51="4H1",OR(L53=2,L53=4),L55="AC"),LOOKUP(L82,T!$AC308:$AC321,T!$V308:$V321),IF(AND(L51="4H1",OR(L53=6,L53=8),L55="AC"),LOOKUP(L82,T!$AC308:$AC321,T!$W308:$W321),IF(AND(L51="4H1",OR(L53=11,L53=12),L55="AC",L57=1),LOOKUP(L82,T!$AC308:$AC321,T!$X308:$X321),IF(AND(L51="4H1",OR(L53=3,L53=5),L55="AC"),LOOKUP(L82,T!$AC308:$AC321,T!$Y308:$Y321),IF(AND(L51="4H1",OR(L53=7,L53=10),L55="AC"),LOOKUP(L82,T!$AC308:$AC321,T!$Z308:$Z321),IF(AND(L51="4H1",L53=9,L55="AC"),LOOKUP(L82,T!$AC308:$AC321,T!$AA308:$AA321),IF(AND(L51="4H1",OR(L53=11,L53=12),L55="AC",L57=3),LOOKUP(L82,T!$AC308:$AC321,T!$AB308:$AB321),IF(AND(L51="4H2",OR(L53=2,L53=4,L53=6,L53=8),L55="DC"),LOOKUP(L82,T!$X327:$X337,T!$U327:$U337),IF(AND(L51="4H2",OR(L53=2,L53=4,L53=6,L53=8),L55="AC"),LOOKUP(L82,T!$X327:$X337,T!$V327:$V337),IF(AND(L51="4H2",OR(L53=3,L53=5,L53=7,L53=9),L55="AC"),LOOKUP(L82,T!$X327:$X337,T!$W327:$W337),IF(AND(L51="4H3",OR(L53=2,L53=4,L53=7,L53=8),L55="DC"),LOOKUP(L82,T!$AA343:$AA356,T!$U343:$U356),IF(AND(L51="4H3",OR(L53=2,L53=4),L55="AC"),LOOKUP(L82,T!$AA343:$AA356,T!$V343:$V356),IF(AND(L51="4H3",OR(L53=9,L53=10),L55="AC"),LOOKUP(L82,T!$AA343:$AA$356,T!$W343:$W356),IF(AND(L51="4H3",L53=6,L55="AC"),LOOKUP(L82,T!$AA343:$AA356,T!$X343:$X356),IF(AND(L51="4H3",OR(L53=3,L53=5),L55="AC"),LOOKUP(L82,T!$AA343:$AA356,T!$Y343:$Y356),IF(AND(L51="4H3",OR(L53=11,L53=12),L55="AC"),LOOKUP(L82,T!$AA343:$AA356,T!$Z343:$Z356),IF(AND(L51="4H4",OR(L53=2,L53=4,L53=6),L55="DC"),LOOKUP(L82,T!$X362:$X372,T!$U362:$U372),IF(AND(L51="4H4",OR(L53=2,L53=4,L53=6),L55="AC"),LOOKUP(L82,T!$X362:$X372,T!$V362:$V372),IF(AND(L51="4H4",OR(L53=3,L53=5,L53=7),L55="AC"),LOOKUP(L82,T!$X362:$X372,T!$W362:$W372),0)))))))))))))))))))),IF(ISNUMBER(SEARCH("4J",L51)),IF(AND(L51="4J1",OR(L53=2,L53=4,L53=6,L53=8,L53=11),L55="DC"),LOOKUP(L82,T!$AC378:$AC391,T!$U378:$U391),IF(AND(L51="4J1",OR(L53=2,L53=4),L55="AC"),LOOKUP(L82,T!$AC378:$AC391,T!$V378:$V391),IF(AND(L51="4J1",OR(L53=6,L53=8),L55="AC"),LOOKUP(L82,T!$AC378:$AC391,T!$W378:$W391),IF(AND(L51="4J1",OR(L53=11,L53=12),L55="AC",L57=1),LOOKUP(L82,T!$AC378:$AC391,T!$X378:$X391),IF(AND(L51="4J1",OR(L53=3,L53=5),L55="AC"),LOOKUP(L82,T!$AC378:$AC391,T!$Y378:$Y391),IF(AND(L51="4J1",OR(L53=7,L53=10),L55="AC"),LOOKUP(L82,T!$AC378:$AC391,T!$Z378:$Z391),IF(AND(L51="4J1",L53=9,L55="AC"),LOOKUP(L82,T!$AC378:$AC391,T!$AA378:$AA391),IF(AND(L51="4J1",OR(L53=11,L53=12),L55="AC",L57=3),LOOKUP(L82,T!$AC378:$AC391,T!$AB378:$AB391),IF(AND(L51="4J2",OR(L53=2,L53=4,L53=6,L53=8),L55="DC"),LOOKUP(L82,T!$X397:$X407,T!$U397:$U407),IF(AND(L51="4J2",OR(L53=2,L53=4,L53=6,L53=8),L55="AC"),LOOKUP(L82,T!$X397:$X407,T!$V397:$V407),IF(AND(L51="4J2",OR(L53=3,L53=5,L53=7,L53=9),L55="AC"),LOOKUP(L82,T!$X397:$X407,T!$W397:$W407),IF(AND(L51="4J3",OR(L53=2,L53=4,L53=7,L53=8),L55="DC"),LOOKUP(L82,T!$AA413:$AA426,T!$U413:$U426),IF(AND(L51="4J3",OR(L53=2,L53=4),L55="AC"),LOOKUP(L82,T!$AA413:$AA426,T!$V413:$V426),IF(AND(L51="4J3",OR(L53=9,L53=10),L55="AC"),LOOKUP(L82,T!$AA413:$AA426,T!$W413:$W426),IF(AND(L51="4J3",L53=6,L55="AC"),LOOKUP(L82,T!$AA413:$AA426,T!$X413:$X426),IF(AND(L51="4J3",OR(L53=3,L53=5),L55="AC"),LOOKUP(L82,T!$AA413:$AA426,T!$Y413:$Y426),IF(AND(L51="4J3",OR(L53=11,L53=12),L55="AC"),LOOKUP(L82,T!$AA413:$AA426,T!$Z413:$Z426),IF(AND(L51="4J4",OR(L53=2,L53=4,L53=6),L55="DC"),LOOKUP(L82,T!$X432:$X442,T!$U432:$U442),IF(AND(L51="4J4",OR(L53=2,L53=4,L53=6),L55="AC"),LOOKUP(L82,T!$X432:$X442,T!$V432:$V442),IF(AND(L51="4J4",OR(L53=3,L53=5,L53=7),L55="AC"),LOOKUP(L82,T!$X432:$X442,T!$W432:$W442),0)))))))))))))))))))),0)))*L23*L69)/1000))</f>
        <v>0</v>
      </c>
      <c r="M100" s="158" t="str">
        <f>IF(M29="","",IF(OR(COUNT(M19:M21)=3,COUNT(M19:M21)=1),(IF(M29="",0,IF(ISNUMBER(SEARCH("4H",M51)),IF(AND(M51="4H1",OR(M53=2,M53=4,M53=6,M53=8,M53=11),M55="DC"),LOOKUP(M82,T!$AC308:$AC321,T!$U308:$U321),IF(AND(M51="4H1",OR(M53=2,M53=4),M55="AC"),LOOKUP(M82,T!$AC308:$AC321,T!$V308:$V321),IF(AND(M51="4H1",OR(M53=6,M53=8),M55="AC"),LOOKUP(M82,T!$AC308:$AC321,T!$W308:$W321),IF(AND(M51="4H1",OR(M53=11,M53=12),M55="AC",M57=1),LOOKUP(M82,T!$AC308:$AC321,T!$X308:$X321),IF(AND(M51="4H1",OR(M53=3,M53=5),M55="AC"),LOOKUP(M82,T!$AC308:$AC321,T!$Y308:$Y321),IF(AND(M51="4H1",OR(M53=7,M53=10),M55="AC"),LOOKUP(M82,T!$AC308:$AC321,T!$Z308:$Z321),IF(AND(M51="4H1",M53=9,M55="AC"),LOOKUP(M82,T!$AC308:$AC321,T!$AA308:$AA321),IF(AND(M51="4H1",OR(M53=11,M53=12),M55="AC",M57=3),LOOKUP(M82,T!$AC308:$AC321,T!$AB308:$AB321),IF(AND(M51="4H2",OR(M53=2,M53=4,M53=6,M53=8),M55="DC"),LOOKUP(M82,T!$X327:$X337,T!$U327:$U337),IF(AND(M51="4H2",OR(M53=2,M53=4,M53=6,M53=8),M55="AC"),LOOKUP(M82,T!$X327:$X337,T!$V327:$V337),IF(AND(M51="4H2",OR(M53=3,M53=5,M53=7,M53=9),M55="AC"),LOOKUP(M82,T!$X327:$X337,T!$W327:$W337),IF(AND(M51="4H3",OR(M53=2,M53=4,M53=7,M53=8),M55="DC"),LOOKUP(M82,T!$AA343:$AA356,T!$U343:$U356),IF(AND(M51="4H3",OR(M53=2,M53=4),M55="AC"),LOOKUP(M82,T!$AA343:$AA356,T!$V343:$V356),IF(AND(M51="4H3",OR(M53=9,M53=10),M55="AC"),LOOKUP(M82,T!$AA343:$AA$356,T!$W343:$W356),IF(AND(M51="4H3",M53=6,M55="AC"),LOOKUP(M82,T!$AA343:$AA356,T!$X343:$X356),IF(AND(M51="4H3",OR(M53=3,M53=5),M55="AC"),LOOKUP(M82,T!$AA343:$AA356,T!$Y343:$Y356),IF(AND(M51="4H3",OR(M53=11,M53=12),M55="AC"),LOOKUP(M82,T!$AA343:$AA356,T!$Z343:$Z356),IF(AND(M51="4H4",OR(M53=2,M53=4,M53=6),M55="DC"),LOOKUP(M82,T!$X362:$X372,T!$U362:$U372),IF(AND(M51="4H4",OR(M53=2,M53=4,M53=6),M55="AC"),LOOKUP(M82,T!$X362:$X372,T!$V362:$V372),IF(AND(M51="4H4",OR(M53=3,M53=5,M53=7),M55="AC"),LOOKUP(M82,T!$X362:$X372,T!$W362:$W372),0)))))))))))))))))))),IF(ISNUMBER(SEARCH("4J",M51)),IF(AND(M51="4J1",OR(M53=2,M53=4,M53=6,M53=8,M53=11),M55="DC"),LOOKUP(M82,T!$AC378:$AC391,T!$U378:$U391),IF(AND(M51="4J1",OR(M53=2,M53=4),M55="AC"),LOOKUP(M82,T!$AC378:$AC391,T!$V378:$V391),IF(AND(M51="4J1",OR(M53=6,M53=8),M55="AC"),LOOKUP(M82,T!$AC378:$AC391,T!$W378:$W391),IF(AND(M51="4J1",OR(M53=11,M53=12),M55="AC",M57=1),LOOKUP(M82,T!$AC378:$AC391,T!$X378:$X391),IF(AND(M51="4J1",OR(M53=3,M53=5),M55="AC"),LOOKUP(M82,T!$AC378:$AC391,T!$Y378:$Y391),IF(AND(M51="4J1",OR(M53=7,M53=10),M55="AC"),LOOKUP(M82,T!$AC378:$AC391,T!$Z378:$Z391),IF(AND(M51="4J1",M53=9,M55="AC"),LOOKUP(M82,T!$AC378:$AC391,T!$AA378:$AA391),IF(AND(M51="4J1",OR(M53=11,M53=12),M55="AC",M57=3),LOOKUP(M82,T!$AC378:$AC391,T!$AB378:$AB391),IF(AND(M51="4J2",OR(M53=2,M53=4,M53=6,M53=8),M55="DC"),LOOKUP(M82,T!$X397:$X407,T!$U397:$U407),IF(AND(M51="4J2",OR(M53=2,M53=4,M53=6,M53=8),M55="AC"),LOOKUP(M82,T!$X397:$X407,T!$V397:$V407),IF(AND(M51="4J2",OR(M53=3,M53=5,M53=7,M53=9),M55="AC"),LOOKUP(M82,T!$X397:$X407,T!$W397:$W407),IF(AND(M51="4J3",OR(M53=2,M53=4,M53=7,M53=8),M55="DC"),LOOKUP(M82,T!$AA413:$AA426,T!$U413:$U426),IF(AND(M51="4J3",OR(M53=2,M53=4),M55="AC"),LOOKUP(M82,T!$AA413:$AA426,T!$V413:$V426),IF(AND(M51="4J3",OR(M53=9,M53=10),M55="AC"),LOOKUP(M82,T!$AA413:$AA426,T!$W413:$W426),IF(AND(M51="4J3",M53=6,M55="AC"),LOOKUP(M82,T!$AA413:$AA426,T!$X413:$X426),IF(AND(M51="4J3",OR(M53=3,M53=5),M55="AC"),LOOKUP(M82,T!$AA413:$AA426,T!$Y413:$Y426),IF(AND(M51="4J3",OR(M53=11,M53=12),M55="AC"),LOOKUP(M82,T!$AA413:$AA426,T!$Z413:$Z426),IF(AND(M51="4J4",OR(M53=2,M53=4,M53=6),M55="DC"),LOOKUP(M82,T!$X432:$X442,T!$U432:$U442),IF(AND(M51="4J4",OR(M53=2,M53=4,M53=6),M55="AC"),LOOKUP(M82,T!$X432:$X442,T!$V432:$V442),IF(AND(M51="4J4",OR(M53=3,M53=5,M53=7),M55="AC"),LOOKUP(M82,T!$X432:$X442,T!$W432:$W442),0)))))))))))))))))))),0)))*M23*M69)/1000))</f>
        <v/>
      </c>
      <c r="N100" s="158">
        <f>IF(N29="","",IF(OR(COUNT(N19:N21)=3,COUNT(N19:N21)=1),(IF(N29="",0,IF(ISNUMBER(SEARCH("4H",N51)),IF(AND(N51="4H1",OR(N53=2,N53=4,N53=6,N53=8,N53=11),N55="DC"),LOOKUP(N82,T!$AC308:$AC321,T!$U308:$U321),IF(AND(N51="4H1",OR(N53=2,N53=4),N55="AC"),LOOKUP(N82,T!$AC308:$AC321,T!$V308:$V321),IF(AND(N51="4H1",OR(N53=6,N53=8),N55="AC"),LOOKUP(N82,T!$AC308:$AC321,T!$W308:$W321),IF(AND(N51="4H1",OR(N53=11,N53=12),N55="AC",N57=1),LOOKUP(N82,T!$AC308:$AC321,T!$X308:$X321),IF(AND(N51="4H1",OR(N53=3,N53=5),N55="AC"),LOOKUP(N82,T!$AC308:$AC321,T!$Y308:$Y321),IF(AND(N51="4H1",OR(N53=7,N53=10),N55="AC"),LOOKUP(N82,T!$AC308:$AC321,T!$Z308:$Z321),IF(AND(N51="4H1",N53=9,N55="AC"),LOOKUP(N82,T!$AC308:$AC321,T!$AA308:$AA321),IF(AND(N51="4H1",OR(N53=11,N53=12),N55="AC",N57=3),LOOKUP(N82,T!$AC308:$AC321,T!$AB308:$AB321),IF(AND(N51="4H2",OR(N53=2,N53=4,N53=6,N53=8),N55="DC"),LOOKUP(N82,T!$X327:$X337,T!$U327:$U337),IF(AND(N51="4H2",OR(N53=2,N53=4,N53=6,N53=8),N55="AC"),LOOKUP(N82,T!$X327:$X337,T!$V327:$V337),IF(AND(N51="4H2",OR(N53=3,N53=5,N53=7,N53=9),N55="AC"),LOOKUP(N82,T!$X327:$X337,T!$W327:$W337),IF(AND(N51="4H3",OR(N53=2,N53=4,N53=7,N53=8),N55="DC"),LOOKUP(N82,T!$AA343:$AA356,T!$U343:$U356),IF(AND(N51="4H3",OR(N53=2,N53=4),N55="AC"),LOOKUP(N82,T!$AA343:$AA356,T!$V343:$V356),IF(AND(N51="4H3",OR(N53=9,N53=10),N55="AC"),LOOKUP(N82,T!$AA343:$AA$356,T!$W343:$W356),IF(AND(N51="4H3",N53=6,N55="AC"),LOOKUP(N82,T!$AA343:$AA356,T!$X343:$X356),IF(AND(N51="4H3",OR(N53=3,N53=5),N55="AC"),LOOKUP(N82,T!$AA343:$AA356,T!$Y343:$Y356),IF(AND(N51="4H3",OR(N53=11,N53=12),N55="AC"),LOOKUP(N82,T!$AA343:$AA356,T!$Z343:$Z356),IF(AND(N51="4H4",OR(N53=2,N53=4,N53=6),N55="DC"),LOOKUP(N82,T!$X362:$X372,T!$U362:$U372),IF(AND(N51="4H4",OR(N53=2,N53=4,N53=6),N55="AC"),LOOKUP(N82,T!$X362:$X372,T!$V362:$V372),IF(AND(N51="4H4",OR(N53=3,N53=5,N53=7),N55="AC"),LOOKUP(N82,T!$X362:$X372,T!$W362:$W372),0)))))))))))))))))))),IF(ISNUMBER(SEARCH("4J",N51)),IF(AND(N51="4J1",OR(N53=2,N53=4,N53=6,N53=8,N53=11),N55="DC"),LOOKUP(N82,T!$AC378:$AC391,T!$U378:$U391),IF(AND(N51="4J1",OR(N53=2,N53=4),N55="AC"),LOOKUP(N82,T!$AC378:$AC391,T!$V378:$V391),IF(AND(N51="4J1",OR(N53=6,N53=8),N55="AC"),LOOKUP(N82,T!$AC378:$AC391,T!$W378:$W391),IF(AND(N51="4J1",OR(N53=11,N53=12),N55="AC",N57=1),LOOKUP(N82,T!$AC378:$AC391,T!$X378:$X391),IF(AND(N51="4J1",OR(N53=3,N53=5),N55="AC"),LOOKUP(N82,T!$AC378:$AC391,T!$Y378:$Y391),IF(AND(N51="4J1",OR(N53=7,N53=10),N55="AC"),LOOKUP(N82,T!$AC378:$AC391,T!$Z378:$Z391),IF(AND(N51="4J1",N53=9,N55="AC"),LOOKUP(N82,T!$AC378:$AC391,T!$AA378:$AA391),IF(AND(N51="4J1",OR(N53=11,N53=12),N55="AC",N57=3),LOOKUP(N82,T!$AC378:$AC391,T!$AB378:$AB391),IF(AND(N51="4J2",OR(N53=2,N53=4,N53=6,N53=8),N55="DC"),LOOKUP(N82,T!$X397:$X407,T!$U397:$U407),IF(AND(N51="4J2",OR(N53=2,N53=4,N53=6,N53=8),N55="AC"),LOOKUP(N82,T!$X397:$X407,T!$V397:$V407),IF(AND(N51="4J2",OR(N53=3,N53=5,N53=7,N53=9),N55="AC"),LOOKUP(N82,T!$X397:$X407,T!$W397:$W407),IF(AND(N51="4J3",OR(N53=2,N53=4,N53=7,N53=8),N55="DC"),LOOKUP(N82,T!$AA413:$AA426,T!$U413:$U426),IF(AND(N51="4J3",OR(N53=2,N53=4),N55="AC"),LOOKUP(N82,T!$AA413:$AA426,T!$V413:$V426),IF(AND(N51="4J3",OR(N53=9,N53=10),N55="AC"),LOOKUP(N82,T!$AA413:$AA426,T!$W413:$W426),IF(AND(N51="4J3",N53=6,N55="AC"),LOOKUP(N82,T!$AA413:$AA426,T!$X413:$X426),IF(AND(N51="4J3",OR(N53=3,N53=5),N55="AC"),LOOKUP(N82,T!$AA413:$AA426,T!$Y413:$Y426),IF(AND(N51="4J3",OR(N53=11,N53=12),N55="AC"),LOOKUP(N82,T!$AA413:$AA426,T!$Z413:$Z426),IF(AND(N51="4J4",OR(N53=2,N53=4,N53=6),N55="DC"),LOOKUP(N82,T!$X432:$X442,T!$U432:$U442),IF(AND(N51="4J4",OR(N53=2,N53=4,N53=6),N55="AC"),LOOKUP(N82,T!$X432:$X442,T!$V432:$V442),IF(AND(N51="4J4",OR(N53=3,N53=5,N53=7),N55="AC"),LOOKUP(N82,T!$X432:$X442,T!$W432:$W442),0)))))))))))))))))))),0)))*N23*N69)/1000))</f>
        <v>0</v>
      </c>
      <c r="O100" s="143" t="str">
        <f t="shared" si="23"/>
        <v/>
      </c>
    </row>
    <row r="101" spans="1:58" s="168" customFormat="1" ht="17">
      <c r="A101" s="188"/>
      <c r="B101" s="395"/>
      <c r="C101" s="393"/>
      <c r="D101" s="158">
        <f>IF(D29="","",IF(OR(COUNT(D19:D21)=3,COUNT(D19:D21)=1),(IF(D29="",0,IF(ISNUMBER(SEARCH("4H",D51)),IF(AND(D51="4H1",OR(D53=2,D53=4,D53=6,D53=8,D53=11),D55="DC"),LOOKUP(D83,T!$AC308:$AC321,T!$U308:$U321),IF(AND(D51="4H1",OR(D53=2,D53=4),D55="AC"),LOOKUP(D83,T!$AC308:$AC321,T!$V308:$V321),IF(AND(D51="4H1",OR(D53=6,D53=8),D55="AC"),LOOKUP(D83,T!$AC308:$AC321,T!$W308:$W321),IF(AND(D51="4H1",OR(D53=11,D53=12),D55="AC",D57=1),LOOKUP(D83,T!$AC308:$AC321,T!$X308:$X321),IF(AND(D51="4H1",OR(D53=3,D53=5),D55="AC"),LOOKUP(D83,T!$AC308:$AC321,T!$Y308:$Y321),IF(AND(D51="4H1",OR(D53=7,D53=10),D55="AC"),LOOKUP(D83,T!$AC308:$AC321,T!$Z308:$Z321),IF(AND(D51="4H1",D53=9,D55="AC"),LOOKUP(D83,T!$AC308:$AC321,T!$AA308:$AA321),IF(AND(D51="4H1",OR(D53=11,D53=12),D55="AC",D57=3),LOOKUP(D83,T!$AC308:$AC321,T!$AB308:$AB321),IF(AND(D51="4H2",OR(D53=2,D53=4,D53=6,D53=8),D55="DC"),LOOKUP(D83,T!$X327:$X337,T!$U327:$U337),IF(AND(D51="4H2",OR(D53=2,D53=4,D53=6,D53=8),D55="AC"),LOOKUP(D83,T!$X327:$X337,T!$V327:$V337),IF(AND(D51="4H2",OR(D53=3,D53=5,D53=7,D53=9),D55="AC"),LOOKUP(D83,T!$X327:$X337,T!$W327:$W337),IF(AND(D51="4H3",OR(D53=2,D53=4,D53=7,D53=8),D55="DC"),LOOKUP(D83,T!$AA343:$AA356,T!$U343:$U356),IF(AND(D51="4H3",OR(D53=2,D53=4),D55="AC"),LOOKUP(D83,T!$AA343:$AA356,T!$V343:$V356),IF(AND(D51="4H3",OR(D53=9,D53=10),D55="AC"),LOOKUP(D83,T!$AA343:$AA$356,T!$W343:$W356),IF(AND(D51="4H3",D53=6,D55="AC"),LOOKUP(D83,T!$AA343:$AA356,T!$X343:$X356),IF(AND(D51="4H3",OR(D53=3,D53=5),D55="AC"),LOOKUP(D83,T!$AA343:$AA356,T!$Y343:$Y356),IF(AND(D51="4H3",OR(D53=11,D53=12),D55="AC"),LOOKUP(D83,T!$AA343:$AA356,T!$Z343:$Z356),IF(AND(D51="4H4",OR(D53=2,D53=4,D53=6),D55="DC"),LOOKUP(D83,T!$X362:$X372,T!$U362:$U372),IF(AND(D51="4H4",OR(D53=2,D53=4,D53=6),D55="AC"),LOOKUP(D83,T!$X362:$X372,T!$V362:$V372),IF(AND(D51="4H4",OR(D53=3,D53=5,D53=7),D55="AC"),LOOKUP(D83,T!$X362:$X372,T!$W362:$W372),0)))))))))))))))))))),IF(ISNUMBER(SEARCH("4J",D51)),IF(AND(D51="4J1",OR(D53=2,D53=4,D53=6,D53=8,D53=11),D55="DC"),LOOKUP(D83,T!$AC378:$AC391,T!$U378:$U391),IF(AND(D51="4J1",OR(D53=2,D53=4),D55="AC"),LOOKUP(D83,T!$AC378:$AC391,T!$V378:$V391),IF(AND(D51="4J1",OR(D53=6,D53=8),D55="AC"),LOOKUP(D83,T!$AC378:$AC391,T!$W378:$W391),IF(AND(D51="4J1",OR(D53=11,D53=12),D55="AC",D57=1),LOOKUP(D83,T!$AC378:$AC391,T!$X378:$X391),IF(AND(D51="4J1",OR(D53=3,D53=5),D55="AC"),LOOKUP(D83,T!$AC378:$AC391,T!$Y378:$Y391),IF(AND(D51="4J1",OR(D53=7,D53=10),D55="AC"),LOOKUP(D83,T!$AC378:$AC391,T!$Z378:$Z391),IF(AND(D51="4J1",D53=9,D55="AC"),LOOKUP(D83,T!$AC378:$AC391,T!$AA378:$AA391),IF(AND(D51="4J1",OR(D53=11,D53=12),D55="AC",D57=3),LOOKUP(D83,T!$AC378:$AC391,T!$AB378:$AB391),IF(AND(D51="4J2",OR(D53=2,D53=4,D53=6,D53=8),D55="DC"),LOOKUP(D83,T!$X397:$X407,T!$U397:$U407),IF(AND(D51="4J2",OR(D53=2,D53=4,D53=6,D53=8),D55="AC"),LOOKUP(D83,T!$X397:$X407,T!$V397:$V407),IF(AND(D51="4J2",OR(D53=3,D53=5,D53=7,D53=9),D55="AC"),LOOKUP(D83,T!$X397:$X407,T!$W397:$W407),IF(AND(D51="4J3",OR(D53=2,D53=4,D53=7,D53=8),D55="DC"),LOOKUP(D83,T!$AA413:$AA426,T!$U413:$U426),IF(AND(D51="4J3",OR(D53=2,D53=4),D55="AC"),LOOKUP(D83,T!$AA413:$AA426,T!$V413:$V426),IF(AND(D51="4J3",OR(D53=9,D53=10),D55="AC"),LOOKUP(D83,T!$AA413:$AA426,T!$W413:$W426),IF(AND(D51="4J3",D53=6,D55="AC"),LOOKUP(D83,T!$AA413:$AA426,T!$X413:$X426),IF(AND(D51="4J3",OR(D53=3,D53=5),D55="AC"),LOOKUP(D83,T!$AA413:$AA426,T!$Y413:$Y426),IF(AND(D51="4J3",OR(D53=11,D53=12),D55="AC"),LOOKUP(D83,T!$AA413:$AA426,T!$Z413:$Z426),IF(AND(D51="4J4",OR(D53=2,D53=4,D53=6),D55="DC"),LOOKUP(D83,T!$X432:$X442,T!$U432:$U442),IF(AND(D51="4J4",OR(D53=2,D53=4,D53=6),D55="AC"),LOOKUP(D83,T!$X432:$X442,T!$V432:$V442),IF(AND(D51="4J4",OR(D53=3,D53=5,D53=7),D55="AC"),LOOKUP(D83,T!$X432:$X442,T!$W432:$W442),0)))))))))))))))))))),0)))*D23*D69)/1000))</f>
        <v>0</v>
      </c>
      <c r="E101" s="158">
        <f ca="1">IF(E29="","",IF(OR(COUNT(E19:E21)=3,COUNT(E19:E21)=1),(IF(E29="",0,IF(ISNUMBER(SEARCH("4H",E51)),IF(AND(E51="4H1",OR(E53=2,E53=4,E53=6,E53=8,E53=11),E55="DC"),LOOKUP(E83,T!$AC308:$AC321,T!$U308:$U321),IF(AND(E51="4H1",OR(E53=2,E53=4),E55="AC"),LOOKUP(E83,T!$AC308:$AC321,T!$V308:$V321),IF(AND(E51="4H1",OR(E53=6,E53=8),E55="AC"),LOOKUP(E83,T!$AC308:$AC321,T!$W308:$W321),IF(AND(E51="4H1",OR(E53=11,E53=12),E55="AC",E57=1),LOOKUP(E83,T!$AC308:$AC321,T!$X308:$X321),IF(AND(E51="4H1",OR(E53=3,E53=5),E55="AC"),LOOKUP(E83,T!$AC308:$AC321,T!$Y308:$Y321),IF(AND(E51="4H1",OR(E53=7,E53=10),E55="AC"),LOOKUP(E83,T!$AC308:$AC321,T!$Z308:$Z321),IF(AND(E51="4H1",E53=9,E55="AC"),LOOKUP(E83,T!$AC308:$AC321,T!$AA308:$AA321),IF(AND(E51="4H1",OR(E53=11,E53=12),E55="AC",E57=3),LOOKUP(E83,T!$AC308:$AC321,T!$AB308:$AB321),IF(AND(E51="4H2",OR(E53=2,E53=4,E53=6,E53=8),E55="DC"),LOOKUP(E83,T!$X327:$X337,T!$U327:$U337),IF(AND(E51="4H2",OR(E53=2,E53=4,E53=6,E53=8),E55="AC"),LOOKUP(E83,T!$X327:$X337,T!$V327:$V337),IF(AND(E51="4H2",OR(E53=3,E53=5,E53=7,E53=9),E55="AC"),LOOKUP(E83,T!$X327:$X337,T!$W327:$W337),IF(AND(E51="4H3",OR(E53=2,E53=4,E53=7,E53=8),E55="DC"),LOOKUP(E83,T!$AA343:$AA356,T!$U343:$U356),IF(AND(E51="4H3",OR(E53=2,E53=4),E55="AC"),LOOKUP(E83,T!$AA343:$AA356,T!$V343:$V356),IF(AND(E51="4H3",OR(E53=9,E53=10),E55="AC"),LOOKUP(E83,T!$AA343:$AA$356,T!$W343:$W356),IF(AND(E51="4H3",E53=6,E55="AC"),LOOKUP(E83,T!$AA343:$AA356,T!$X343:$X356),IF(AND(E51="4H3",OR(E53=3,E53=5),E55="AC"),LOOKUP(E83,T!$AA343:$AA356,T!$Y343:$Y356),IF(AND(E51="4H3",OR(E53=11,E53=12),E55="AC"),LOOKUP(E83,T!$AA343:$AA356,T!$Z343:$Z356),IF(AND(E51="4H4",OR(E53=2,E53=4,E53=6),E55="DC"),LOOKUP(E83,T!$X362:$X372,T!$U362:$U372),IF(AND(E51="4H4",OR(E53=2,E53=4,E53=6),E55="AC"),LOOKUP(E83,T!$X362:$X372,T!$V362:$V372),IF(AND(E51="4H4",OR(E53=3,E53=5,E53=7),E55="AC"),LOOKUP(E83,T!$X362:$X372,T!$W362:$W372),0)))))))))))))))))))),IF(ISNUMBER(SEARCH("4J",E51)),IF(AND(E51="4J1",OR(E53=2,E53=4,E53=6,E53=8,E53=11),E55="DC"),LOOKUP(E83,T!$AC378:$AC391,T!$U378:$U391),IF(AND(E51="4J1",OR(E53=2,E53=4),E55="AC"),LOOKUP(E83,T!$AC378:$AC391,T!$V378:$V391),IF(AND(E51="4J1",OR(E53=6,E53=8),E55="AC"),LOOKUP(E83,T!$AC378:$AC391,T!$W378:$W391),IF(AND(E51="4J1",OR(E53=11,E53=12),E55="AC",E57=1),LOOKUP(E83,T!$AC378:$AC391,T!$X378:$X391),IF(AND(E51="4J1",OR(E53=3,E53=5),E55="AC"),LOOKUP(E83,T!$AC378:$AC391,T!$Y378:$Y391),IF(AND(E51="4J1",OR(E53=7,E53=10),E55="AC"),LOOKUP(E83,T!$AC378:$AC391,T!$Z378:$Z391),IF(AND(E51="4J1",E53=9,E55="AC"),LOOKUP(E83,T!$AC378:$AC391,T!$AA378:$AA391),IF(AND(E51="4J1",OR(E53=11,E53=12),E55="AC",E57=3),LOOKUP(E83,T!$AC378:$AC391,T!$AB378:$AB391),IF(AND(E51="4J2",OR(E53=2,E53=4,E53=6,E53=8),E55="DC"),LOOKUP(E83,T!$X397:$X407,T!$U397:$U407),IF(AND(E51="4J2",OR(E53=2,E53=4,E53=6,E53=8),E55="AC"),LOOKUP(E83,T!$X397:$X407,T!$V397:$V407),IF(AND(E51="4J2",OR(E53=3,E53=5,E53=7,E53=9),E55="AC"),LOOKUP(E83,T!$X397:$X407,T!$W397:$W407),IF(AND(E51="4J3",OR(E53=2,E53=4,E53=7,E53=8),E55="DC"),LOOKUP(E83,T!$AA413:$AA426,T!$U413:$U426),IF(AND(E51="4J3",OR(E53=2,E53=4),E55="AC"),LOOKUP(E83,T!$AA413:$AA426,T!$V413:$V426),IF(AND(E51="4J3",OR(E53=9,E53=10),E55="AC"),LOOKUP(E83,T!$AA413:$AA426,T!$W413:$W426),IF(AND(E51="4J3",E53=6,E55="AC"),LOOKUP(E83,T!$AA413:$AA426,T!$X413:$X426),IF(AND(E51="4J3",OR(E53=3,E53=5),E55="AC"),LOOKUP(E83,T!$AA413:$AA426,T!$Y413:$Y426),IF(AND(E51="4J3",OR(E53=11,E53=12),E55="AC"),LOOKUP(E83,T!$AA413:$AA426,T!$Z413:$Z426),IF(AND(E51="4J4",OR(E53=2,E53=4,E53=6),E55="DC"),LOOKUP(E83,T!$X432:$X442,T!$U432:$U442),IF(AND(E51="4J4",OR(E53=2,E53=4,E53=6),E55="AC"),LOOKUP(E83,T!$X432:$X442,T!$V432:$V442),IF(AND(E51="4J4",OR(E53=3,E53=5,E53=7),E55="AC"),LOOKUP(E83,T!$X432:$X442,T!$W432:$W442),0)))))))))))))))))))),0)))*E23*E69)/1000))</f>
        <v>0</v>
      </c>
      <c r="F101" s="158">
        <f ca="1">IF(F29="","",IF(OR(COUNT(F19:F21)=3,COUNT(F19:F21)=1),(IF(F29="",0,IF(ISNUMBER(SEARCH("4H",F51)),IF(AND(F51="4H1",OR(F53=2,F53=4,F53=6,F53=8,F53=11),F55="DC"),LOOKUP(F83,T!$AC308:$AC321,T!$U308:$U321),IF(AND(F51="4H1",OR(F53=2,F53=4),F55="AC"),LOOKUP(F83,T!$AC308:$AC321,T!$V308:$V321),IF(AND(F51="4H1",OR(F53=6,F53=8),F55="AC"),LOOKUP(F83,T!$AC308:$AC321,T!$W308:$W321),IF(AND(F51="4H1",OR(F53=11,F53=12),F55="AC",F57=1),LOOKUP(F83,T!$AC308:$AC321,T!$X308:$X321),IF(AND(F51="4H1",OR(F53=3,F53=5),F55="AC"),LOOKUP(F83,T!$AC308:$AC321,T!$Y308:$Y321),IF(AND(F51="4H1",OR(F53=7,F53=10),F55="AC"),LOOKUP(F83,T!$AC308:$AC321,T!$Z308:$Z321),IF(AND(F51="4H1",F53=9,F55="AC"),LOOKUP(F83,T!$AC308:$AC321,T!$AA308:$AA321),IF(AND(F51="4H1",OR(F53=11,F53=12),F55="AC",F57=3),LOOKUP(F83,T!$AC308:$AC321,T!$AB308:$AB321),IF(AND(F51="4H2",OR(F53=2,F53=4,F53=6,F53=8),F55="DC"),LOOKUP(F83,T!$X327:$X337,T!$U327:$U337),IF(AND(F51="4H2",OR(F53=2,F53=4,F53=6,F53=8),F55="AC"),LOOKUP(F83,T!$X327:$X337,T!$V327:$V337),IF(AND(F51="4H2",OR(F53=3,F53=5,F53=7,F53=9),F55="AC"),LOOKUP(F83,T!$X327:$X337,T!$W327:$W337),IF(AND(F51="4H3",OR(F53=2,F53=4,F53=7,F53=8),F55="DC"),LOOKUP(F83,T!$AA343:$AA356,T!$U343:$U356),IF(AND(F51="4H3",OR(F53=2,F53=4),F55="AC"),LOOKUP(F83,T!$AA343:$AA356,T!$V343:$V356),IF(AND(F51="4H3",OR(F53=9,F53=10),F55="AC"),LOOKUP(F83,T!$AA343:$AA$356,T!$W343:$W356),IF(AND(F51="4H3",F53=6,F55="AC"),LOOKUP(F83,T!$AA343:$AA356,T!$X343:$X356),IF(AND(F51="4H3",OR(F53=3,F53=5),F55="AC"),LOOKUP(F83,T!$AA343:$AA356,T!$Y343:$Y356),IF(AND(F51="4H3",OR(F53=11,F53=12),F55="AC"),LOOKUP(F83,T!$AA343:$AA356,T!$Z343:$Z356),IF(AND(F51="4H4",OR(F53=2,F53=4,F53=6),F55="DC"),LOOKUP(F83,T!$X362:$X372,T!$U362:$U372),IF(AND(F51="4H4",OR(F53=2,F53=4,F53=6),F55="AC"),LOOKUP(F83,T!$X362:$X372,T!$V362:$V372),IF(AND(F51="4H4",OR(F53=3,F53=5,F53=7),F55="AC"),LOOKUP(F83,T!$X362:$X372,T!$W362:$W372),0)))))))))))))))))))),IF(ISNUMBER(SEARCH("4J",F51)),IF(AND(F51="4J1",OR(F53=2,F53=4,F53=6,F53=8,F53=11),F55="DC"),LOOKUP(F83,T!$AC378:$AC391,T!$U378:$U391),IF(AND(F51="4J1",OR(F53=2,F53=4),F55="AC"),LOOKUP(F83,T!$AC378:$AC391,T!$V378:$V391),IF(AND(F51="4J1",OR(F53=6,F53=8),F55="AC"),LOOKUP(F83,T!$AC378:$AC391,T!$W378:$W391),IF(AND(F51="4J1",OR(F53=11,F53=12),F55="AC",F57=1),LOOKUP(F83,T!$AC378:$AC391,T!$X378:$X391),IF(AND(F51="4J1",OR(F53=3,F53=5),F55="AC"),LOOKUP(F83,T!$AC378:$AC391,T!$Y378:$Y391),IF(AND(F51="4J1",OR(F53=7,F53=10),F55="AC"),LOOKUP(F83,T!$AC378:$AC391,T!$Z378:$Z391),IF(AND(F51="4J1",F53=9,F55="AC"),LOOKUP(F83,T!$AC378:$AC391,T!$AA378:$AA391),IF(AND(F51="4J1",OR(F53=11,F53=12),F55="AC",F57=3),LOOKUP(F83,T!$AC378:$AC391,T!$AB378:$AB391),IF(AND(F51="4J2",OR(F53=2,F53=4,F53=6,F53=8),F55="DC"),LOOKUP(F83,T!$X397:$X407,T!$U397:$U407),IF(AND(F51="4J2",OR(F53=2,F53=4,F53=6,F53=8),F55="AC"),LOOKUP(F83,T!$X397:$X407,T!$V397:$V407),IF(AND(F51="4J2",OR(F53=3,F53=5,F53=7,F53=9),F55="AC"),LOOKUP(F83,T!$X397:$X407,T!$W397:$W407),IF(AND(F51="4J3",OR(F53=2,F53=4,F53=7,F53=8),F55="DC"),LOOKUP(F83,T!$AA413:$AA426,T!$U413:$U426),IF(AND(F51="4J3",OR(F53=2,F53=4),F55="AC"),LOOKUP(F83,T!$AA413:$AA426,T!$V413:$V426),IF(AND(F51="4J3",OR(F53=9,F53=10),F55="AC"),LOOKUP(F83,T!$AA413:$AA426,T!$W413:$W426),IF(AND(F51="4J3",F53=6,F55="AC"),LOOKUP(F83,T!$AA413:$AA426,T!$X413:$X426),IF(AND(F51="4J3",OR(F53=3,F53=5),F55="AC"),LOOKUP(F83,T!$AA413:$AA426,T!$Y413:$Y426),IF(AND(F51="4J3",OR(F53=11,F53=12),F55="AC"),LOOKUP(F83,T!$AA413:$AA426,T!$Z413:$Z426),IF(AND(F51="4J4",OR(F53=2,F53=4,F53=6),F55="DC"),LOOKUP(F83,T!$X432:$X442,T!$U432:$U442),IF(AND(F51="4J4",OR(F53=2,F53=4,F53=6),F55="AC"),LOOKUP(F83,T!$X432:$X442,T!$V432:$V442),IF(AND(F51="4J4",OR(F53=3,F53=5,F53=7),F55="AC"),LOOKUP(F83,T!$X432:$X442,T!$W432:$W442),0)))))))))))))))))))),0)))*F23*F69)/1000))</f>
        <v>0</v>
      </c>
      <c r="G101" s="158">
        <f ca="1">IF(G29="","",IF(OR(COUNT(G19:G21)=3,COUNT(G19:G21)=1),(IF(G29="",0,IF(ISNUMBER(SEARCH("4H",G51)),IF(AND(G51="4H1",OR(G53=2,G53=4,G53=6,G53=8,G53=11),G55="DC"),LOOKUP(G83,T!$AC308:$AC321,T!$U308:$U321),IF(AND(G51="4H1",OR(G53=2,G53=4),G55="AC"),LOOKUP(G83,T!$AC308:$AC321,T!$V308:$V321),IF(AND(G51="4H1",OR(G53=6,G53=8),G55="AC"),LOOKUP(G83,T!$AC308:$AC321,T!$W308:$W321),IF(AND(G51="4H1",OR(G53=11,G53=12),G55="AC",G57=1),LOOKUP(G83,T!$AC308:$AC321,T!$X308:$X321),IF(AND(G51="4H1",OR(G53=3,G53=5),G55="AC"),LOOKUP(G83,T!$AC308:$AC321,T!$Y308:$Y321),IF(AND(G51="4H1",OR(G53=7,G53=10),G55="AC"),LOOKUP(G83,T!$AC308:$AC321,T!$Z308:$Z321),IF(AND(G51="4H1",G53=9,G55="AC"),LOOKUP(G83,T!$AC308:$AC321,T!$AA308:$AA321),IF(AND(G51="4H1",OR(G53=11,G53=12),G55="AC",G57=3),LOOKUP(G83,T!$AC308:$AC321,T!$AB308:$AB321),IF(AND(G51="4H2",OR(G53=2,G53=4,G53=6,G53=8),G55="DC"),LOOKUP(G83,T!$X327:$X337,T!$U327:$U337),IF(AND(G51="4H2",OR(G53=2,G53=4,G53=6,G53=8),G55="AC"),LOOKUP(G83,T!$X327:$X337,T!$V327:$V337),IF(AND(G51="4H2",OR(G53=3,G53=5,G53=7,G53=9),G55="AC"),LOOKUP(G83,T!$X327:$X337,T!$W327:$W337),IF(AND(G51="4H3",OR(G53=2,G53=4,G53=7,G53=8),G55="DC"),LOOKUP(G83,T!$AA343:$AA356,T!$U343:$U356),IF(AND(G51="4H3",OR(G53=2,G53=4),G55="AC"),LOOKUP(G83,T!$AA343:$AA356,T!$V343:$V356),IF(AND(G51="4H3",OR(G53=9,G53=10),G55="AC"),LOOKUP(G83,T!$AA343:$AA$356,T!$W343:$W356),IF(AND(G51="4H3",G53=6,G55="AC"),LOOKUP(G83,T!$AA343:$AA356,T!$X343:$X356),IF(AND(G51="4H3",OR(G53=3,G53=5),G55="AC"),LOOKUP(G83,T!$AA343:$AA356,T!$Y343:$Y356),IF(AND(G51="4H3",OR(G53=11,G53=12),G55="AC"),LOOKUP(G83,T!$AA343:$AA356,T!$Z343:$Z356),IF(AND(G51="4H4",OR(G53=2,G53=4,G53=6),G55="DC"),LOOKUP(G83,T!$X362:$X372,T!$U362:$U372),IF(AND(G51="4H4",OR(G53=2,G53=4,G53=6),G55="AC"),LOOKUP(G83,T!$X362:$X372,T!$V362:$V372),IF(AND(G51="4H4",OR(G53=3,G53=5,G53=7),G55="AC"),LOOKUP(G83,T!$X362:$X372,T!$W362:$W372),0)))))))))))))))))))),IF(ISNUMBER(SEARCH("4J",G51)),IF(AND(G51="4J1",OR(G53=2,G53=4,G53=6,G53=8,G53=11),G55="DC"),LOOKUP(G83,T!$AC378:$AC391,T!$U378:$U391),IF(AND(G51="4J1",OR(G53=2,G53=4),G55="AC"),LOOKUP(G83,T!$AC378:$AC391,T!$V378:$V391),IF(AND(G51="4J1",OR(G53=6,G53=8),G55="AC"),LOOKUP(G83,T!$AC378:$AC391,T!$W378:$W391),IF(AND(G51="4J1",OR(G53=11,G53=12),G55="AC",G57=1),LOOKUP(G83,T!$AC378:$AC391,T!$X378:$X391),IF(AND(G51="4J1",OR(G53=3,G53=5),G55="AC"),LOOKUP(G83,T!$AC378:$AC391,T!$Y378:$Y391),IF(AND(G51="4J1",OR(G53=7,G53=10),G55="AC"),LOOKUP(G83,T!$AC378:$AC391,T!$Z378:$Z391),IF(AND(G51="4J1",G53=9,G55="AC"),LOOKUP(G83,T!$AC378:$AC391,T!$AA378:$AA391),IF(AND(G51="4J1",OR(G53=11,G53=12),G55="AC",G57=3),LOOKUP(G83,T!$AC378:$AC391,T!$AB378:$AB391),IF(AND(G51="4J2",OR(G53=2,G53=4,G53=6,G53=8),G55="DC"),LOOKUP(G83,T!$X397:$X407,T!$U397:$U407),IF(AND(G51="4J2",OR(G53=2,G53=4,G53=6,G53=8),G55="AC"),LOOKUP(G83,T!$X397:$X407,T!$V397:$V407),IF(AND(G51="4J2",OR(G53=3,G53=5,G53=7,G53=9),G55="AC"),LOOKUP(G83,T!$X397:$X407,T!$W397:$W407),IF(AND(G51="4J3",OR(G53=2,G53=4,G53=7,G53=8),G55="DC"),LOOKUP(G83,T!$AA413:$AA426,T!$U413:$U426),IF(AND(G51="4J3",OR(G53=2,G53=4),G55="AC"),LOOKUP(G83,T!$AA413:$AA426,T!$V413:$V426),IF(AND(G51="4J3",OR(G53=9,G53=10),G55="AC"),LOOKUP(G83,T!$AA413:$AA426,T!$W413:$W426),IF(AND(G51="4J3",G53=6,G55="AC"),LOOKUP(G83,T!$AA413:$AA426,T!$X413:$X426),IF(AND(G51="4J3",OR(G53=3,G53=5),G55="AC"),LOOKUP(G83,T!$AA413:$AA426,T!$Y413:$Y426),IF(AND(G51="4J3",OR(G53=11,G53=12),G55="AC"),LOOKUP(G83,T!$AA413:$AA426,T!$Z413:$Z426),IF(AND(G51="4J4",OR(G53=2,G53=4,G53=6),G55="DC"),LOOKUP(G83,T!$X432:$X442,T!$U432:$U442),IF(AND(G51="4J4",OR(G53=2,G53=4,G53=6),G55="AC"),LOOKUP(G83,T!$X432:$X442,T!$V432:$V442),IF(AND(G51="4J4",OR(G53=3,G53=5,G53=7),G55="AC"),LOOKUP(G83,T!$X432:$X442,T!$W432:$W442),0)))))))))))))))))))),0)))*G23*G69)/1000))</f>
        <v>0</v>
      </c>
      <c r="H101" s="158">
        <f ca="1">IF(H29="","",IF(OR(COUNT(H19:H21)=3,COUNT(H19:H21)=1),(IF(H29="",0,IF(ISNUMBER(SEARCH("4H",H51)),IF(AND(H51="4H1",OR(H53=2,H53=4,H53=6,H53=8,H53=11),H55="DC"),LOOKUP(H83,T!$AC308:$AC321,T!$U308:$U321),IF(AND(H51="4H1",OR(H53=2,H53=4),H55="AC"),LOOKUP(H83,T!$AC308:$AC321,T!$V308:$V321),IF(AND(H51="4H1",OR(H53=6,H53=8),H55="AC"),LOOKUP(H83,T!$AC308:$AC321,T!$W308:$W321),IF(AND(H51="4H1",OR(H53=11,H53=12),H55="AC",H57=1),LOOKUP(H83,T!$AC308:$AC321,T!$X308:$X321),IF(AND(H51="4H1",OR(H53=3,H53=5),H55="AC"),LOOKUP(H83,T!$AC308:$AC321,T!$Y308:$Y321),IF(AND(H51="4H1",OR(H53=7,H53=10),H55="AC"),LOOKUP(H83,T!$AC308:$AC321,T!$Z308:$Z321),IF(AND(H51="4H1",H53=9,H55="AC"),LOOKUP(H83,T!$AC308:$AC321,T!$AA308:$AA321),IF(AND(H51="4H1",OR(H53=11,H53=12),H55="AC",H57=3),LOOKUP(H83,T!$AC308:$AC321,T!$AB308:$AB321),IF(AND(H51="4H2",OR(H53=2,H53=4,H53=6,H53=8),H55="DC"),LOOKUP(H83,T!$X327:$X337,T!$U327:$U337),IF(AND(H51="4H2",OR(H53=2,H53=4,H53=6,H53=8),H55="AC"),LOOKUP(H83,T!$X327:$X337,T!$V327:$V337),IF(AND(H51="4H2",OR(H53=3,H53=5,H53=7,H53=9),H55="AC"),LOOKUP(H83,T!$X327:$X337,T!$W327:$W337),IF(AND(H51="4H3",OR(H53=2,H53=4,H53=7,H53=8),H55="DC"),LOOKUP(H83,T!$AA343:$AA356,T!$U343:$U356),IF(AND(H51="4H3",OR(H53=2,H53=4),H55="AC"),LOOKUP(H83,T!$AA343:$AA356,T!$V343:$V356),IF(AND(H51="4H3",OR(H53=9,H53=10),H55="AC"),LOOKUP(H83,T!$AA343:$AA$356,T!$W343:$W356),IF(AND(H51="4H3",H53=6,H55="AC"),LOOKUP(H83,T!$AA343:$AA356,T!$X343:$X356),IF(AND(H51="4H3",OR(H53=3,H53=5),H55="AC"),LOOKUP(H83,T!$AA343:$AA356,T!$Y343:$Y356),IF(AND(H51="4H3",OR(H53=11,H53=12),H55="AC"),LOOKUP(H83,T!$AA343:$AA356,T!$Z343:$Z356),IF(AND(H51="4H4",OR(H53=2,H53=4,H53=6),H55="DC"),LOOKUP(H83,T!$X362:$X372,T!$U362:$U372),IF(AND(H51="4H4",OR(H53=2,H53=4,H53=6),H55="AC"),LOOKUP(H83,T!$X362:$X372,T!$V362:$V372),IF(AND(H51="4H4",OR(H53=3,H53=5,H53=7),H55="AC"),LOOKUP(H83,T!$X362:$X372,T!$W362:$W372),0)))))))))))))))))))),IF(ISNUMBER(SEARCH("4J",H51)),IF(AND(H51="4J1",OR(H53=2,H53=4,H53=6,H53=8,H53=11),H55="DC"),LOOKUP(H83,T!$AC378:$AC391,T!$U378:$U391),IF(AND(H51="4J1",OR(H53=2,H53=4),H55="AC"),LOOKUP(H83,T!$AC378:$AC391,T!$V378:$V391),IF(AND(H51="4J1",OR(H53=6,H53=8),H55="AC"),LOOKUP(H83,T!$AC378:$AC391,T!$W378:$W391),IF(AND(H51="4J1",OR(H53=11,H53=12),H55="AC",H57=1),LOOKUP(H83,T!$AC378:$AC391,T!$X378:$X391),IF(AND(H51="4J1",OR(H53=3,H53=5),H55="AC"),LOOKUP(H83,T!$AC378:$AC391,T!$Y378:$Y391),IF(AND(H51="4J1",OR(H53=7,H53=10),H55="AC"),LOOKUP(H83,T!$AC378:$AC391,T!$Z378:$Z391),IF(AND(H51="4J1",H53=9,H55="AC"),LOOKUP(H83,T!$AC378:$AC391,T!$AA378:$AA391),IF(AND(H51="4J1",OR(H53=11,H53=12),H55="AC",H57=3),LOOKUP(H83,T!$AC378:$AC391,T!$AB378:$AB391),IF(AND(H51="4J2",OR(H53=2,H53=4,H53=6,H53=8),H55="DC"),LOOKUP(H83,T!$X397:$X407,T!$U397:$U407),IF(AND(H51="4J2",OR(H53=2,H53=4,H53=6,H53=8),H55="AC"),LOOKUP(H83,T!$X397:$X407,T!$V397:$V407),IF(AND(H51="4J2",OR(H53=3,H53=5,H53=7,H53=9),H55="AC"),LOOKUP(H83,T!$X397:$X407,T!$W397:$W407),IF(AND(H51="4J3",OR(H53=2,H53=4,H53=7,H53=8),H55="DC"),LOOKUP(H83,T!$AA413:$AA426,T!$U413:$U426),IF(AND(H51="4J3",OR(H53=2,H53=4),H55="AC"),LOOKUP(H83,T!$AA413:$AA426,T!$V413:$V426),IF(AND(H51="4J3",OR(H53=9,H53=10),H55="AC"),LOOKUP(H83,T!$AA413:$AA426,T!$W413:$W426),IF(AND(H51="4J3",H53=6,H55="AC"),LOOKUP(H83,T!$AA413:$AA426,T!$X413:$X426),IF(AND(H51="4J3",OR(H53=3,H53=5),H55="AC"),LOOKUP(H83,T!$AA413:$AA426,T!$Y413:$Y426),IF(AND(H51="4J3",OR(H53=11,H53=12),H55="AC"),LOOKUP(H83,T!$AA413:$AA426,T!$Z413:$Z426),IF(AND(H51="4J4",OR(H53=2,H53=4,H53=6),H55="DC"),LOOKUP(H83,T!$X432:$X442,T!$U432:$U442),IF(AND(H51="4J4",OR(H53=2,H53=4,H53=6),H55="AC"),LOOKUP(H83,T!$X432:$X442,T!$V432:$V442),IF(AND(H51="4J4",OR(H53=3,H53=5,H53=7),H55="AC"),LOOKUP(H83,T!$X432:$X442,T!$W432:$W442),0)))))))))))))))))))),0)))*H23*H69)/1000))</f>
        <v>0</v>
      </c>
      <c r="I101" s="158">
        <f>IF(I29="","",IF(OR(COUNT(I19:I21)=3,COUNT(I19:I21)=1),(IF(I29="",0,IF(ISNUMBER(SEARCH("4H",I51)),IF(AND(I51="4H1",OR(I53=2,I53=4,I53=6,I53=8,I53=11),I55="DC"),LOOKUP(I83,T!$AC308:$AC321,T!$U308:$U321),IF(AND(I51="4H1",OR(I53=2,I53=4),I55="AC"),LOOKUP(I83,T!$AC308:$AC321,T!$V308:$V321),IF(AND(I51="4H1",OR(I53=6,I53=8),I55="AC"),LOOKUP(I83,T!$AC308:$AC321,T!$W308:$W321),IF(AND(I51="4H1",OR(I53=11,I53=12),I55="AC",I57=1),LOOKUP(I83,T!$AC308:$AC321,T!$X308:$X321),IF(AND(I51="4H1",OR(I53=3,I53=5),I55="AC"),LOOKUP(I83,T!$AC308:$AC321,T!$Y308:$Y321),IF(AND(I51="4H1",OR(I53=7,I53=10),I55="AC"),LOOKUP(I83,T!$AC308:$AC321,T!$Z308:$Z321),IF(AND(I51="4H1",I53=9,I55="AC"),LOOKUP(I83,T!$AC308:$AC321,T!$AA308:$AA321),IF(AND(I51="4H1",OR(I53=11,I53=12),I55="AC",I57=3),LOOKUP(I83,T!$AC308:$AC321,T!$AB308:$AB321),IF(AND(I51="4H2",OR(I53=2,I53=4,I53=6,I53=8),I55="DC"),LOOKUP(I83,T!$X327:$X337,T!$U327:$U337),IF(AND(I51="4H2",OR(I53=2,I53=4,I53=6,I53=8),I55="AC"),LOOKUP(I83,T!$X327:$X337,T!$V327:$V337),IF(AND(I51="4H2",OR(I53=3,I53=5,I53=7,I53=9),I55="AC"),LOOKUP(I83,T!$X327:$X337,T!$W327:$W337),IF(AND(I51="4H3",OR(I53=2,I53=4,I53=7,I53=8),I55="DC"),LOOKUP(I83,T!$AA343:$AA356,T!$U343:$U356),IF(AND(I51="4H3",OR(I53=2,I53=4),I55="AC"),LOOKUP(I83,T!$AA343:$AA356,T!$V343:$V356),IF(AND(I51="4H3",OR(I53=9,I53=10),I55="AC"),LOOKUP(I83,T!$AA343:$AA$356,T!$W343:$W356),IF(AND(I51="4H3",I53=6,I55="AC"),LOOKUP(I83,T!$AA343:$AA356,T!$X343:$X356),IF(AND(I51="4H3",OR(I53=3,I53=5),I55="AC"),LOOKUP(I83,T!$AA343:$AA356,T!$Y343:$Y356),IF(AND(I51="4H3",OR(I53=11,I53=12),I55="AC"),LOOKUP(I83,T!$AA343:$AA356,T!$Z343:$Z356),IF(AND(I51="4H4",OR(I53=2,I53=4,I53=6),I55="DC"),LOOKUP(I83,T!$X362:$X372,T!$U362:$U372),IF(AND(I51="4H4",OR(I53=2,I53=4,I53=6),I55="AC"),LOOKUP(I83,T!$X362:$X372,T!$V362:$V372),IF(AND(I51="4H4",OR(I53=3,I53=5,I53=7),I55="AC"),LOOKUP(I83,T!$X362:$X372,T!$W362:$W372),0)))))))))))))))))))),IF(ISNUMBER(SEARCH("4J",I51)),IF(AND(I51="4J1",OR(I53=2,I53=4,I53=6,I53=8,I53=11),I55="DC"),LOOKUP(I83,T!$AC378:$AC391,T!$U378:$U391),IF(AND(I51="4J1",OR(I53=2,I53=4),I55="AC"),LOOKUP(I83,T!$AC378:$AC391,T!$V378:$V391),IF(AND(I51="4J1",OR(I53=6,I53=8),I55="AC"),LOOKUP(I83,T!$AC378:$AC391,T!$W378:$W391),IF(AND(I51="4J1",OR(I53=11,I53=12),I55="AC",I57=1),LOOKUP(I83,T!$AC378:$AC391,T!$X378:$X391),IF(AND(I51="4J1",OR(I53=3,I53=5),I55="AC"),LOOKUP(I83,T!$AC378:$AC391,T!$Y378:$Y391),IF(AND(I51="4J1",OR(I53=7,I53=10),I55="AC"),LOOKUP(I83,T!$AC378:$AC391,T!$Z378:$Z391),IF(AND(I51="4J1",I53=9,I55="AC"),LOOKUP(I83,T!$AC378:$AC391,T!$AA378:$AA391),IF(AND(I51="4J1",OR(I53=11,I53=12),I55="AC",I57=3),LOOKUP(I83,T!$AC378:$AC391,T!$AB378:$AB391),IF(AND(I51="4J2",OR(I53=2,I53=4,I53=6,I53=8),I55="DC"),LOOKUP(I83,T!$X397:$X407,T!$U397:$U407),IF(AND(I51="4J2",OR(I53=2,I53=4,I53=6,I53=8),I55="AC"),LOOKUP(I83,T!$X397:$X407,T!$V397:$V407),IF(AND(I51="4J2",OR(I53=3,I53=5,I53=7,I53=9),I55="AC"),LOOKUP(I83,T!$X397:$X407,T!$W397:$W407),IF(AND(I51="4J3",OR(I53=2,I53=4,I53=7,I53=8),I55="DC"),LOOKUP(I83,T!$AA413:$AA426,T!$U413:$U426),IF(AND(I51="4J3",OR(I53=2,I53=4),I55="AC"),LOOKUP(I83,T!$AA413:$AA426,T!$V413:$V426),IF(AND(I51="4J3",OR(I53=9,I53=10),I55="AC"),LOOKUP(I83,T!$AA413:$AA426,T!$W413:$W426),IF(AND(I51="4J3",I53=6,I55="AC"),LOOKUP(I83,T!$AA413:$AA426,T!$X413:$X426),IF(AND(I51="4J3",OR(I53=3,I53=5),I55="AC"),LOOKUP(I83,T!$AA413:$AA426,T!$Y413:$Y426),IF(AND(I51="4J3",OR(I53=11,I53=12),I55="AC"),LOOKUP(I83,T!$AA413:$AA426,T!$Z413:$Z426),IF(AND(I51="4J4",OR(I53=2,I53=4,I53=6),I55="DC"),LOOKUP(I83,T!$X432:$X442,T!$U432:$U442),IF(AND(I51="4J4",OR(I53=2,I53=4,I53=6),I55="AC"),LOOKUP(I83,T!$X432:$X442,T!$V432:$V442),IF(AND(I51="4J4",OR(I53=3,I53=5,I53=7),I55="AC"),LOOKUP(I83,T!$X432:$X442,T!$W432:$W442),0)))))))))))))))))))),0)))*I23*I69)/1000))</f>
        <v>0</v>
      </c>
      <c r="J101" s="158">
        <f>IF(J29="","",IF(OR(COUNT(J19:J21)=3,COUNT(J19:J21)=1),(IF(J29="",0,IF(ISNUMBER(SEARCH("4H",J51)),IF(AND(J51="4H1",OR(J53=2,J53=4,J53=6,J53=8,J53=11),J55="DC"),LOOKUP(J83,T!$AC308:$AC321,T!$U308:$U321),IF(AND(J51="4H1",OR(J53=2,J53=4),J55="AC"),LOOKUP(J83,T!$AC308:$AC321,T!$V308:$V321),IF(AND(J51="4H1",OR(J53=6,J53=8),J55="AC"),LOOKUP(J83,T!$AC308:$AC321,T!$W308:$W321),IF(AND(J51="4H1",OR(J53=11,J53=12),J55="AC",J57=1),LOOKUP(J83,T!$AC308:$AC321,T!$X308:$X321),IF(AND(J51="4H1",OR(J53=3,J53=5),J55="AC"),LOOKUP(J83,T!$AC308:$AC321,T!$Y308:$Y321),IF(AND(J51="4H1",OR(J53=7,J53=10),J55="AC"),LOOKUP(J83,T!$AC308:$AC321,T!$Z308:$Z321),IF(AND(J51="4H1",J53=9,J55="AC"),LOOKUP(J83,T!$AC308:$AC321,T!$AA308:$AA321),IF(AND(J51="4H1",OR(J53=11,J53=12),J55="AC",J57=3),LOOKUP(J83,T!$AC308:$AC321,T!$AB308:$AB321),IF(AND(J51="4H2",OR(J53=2,J53=4,J53=6,J53=8),J55="DC"),LOOKUP(J83,T!$X327:$X337,T!$U327:$U337),IF(AND(J51="4H2",OR(J53=2,J53=4,J53=6,J53=8),J55="AC"),LOOKUP(J83,T!$X327:$X337,T!$V327:$V337),IF(AND(J51="4H2",OR(J53=3,J53=5,J53=7,J53=9),J55="AC"),LOOKUP(J83,T!$X327:$X337,T!$W327:$W337),IF(AND(J51="4H3",OR(J53=2,J53=4,J53=7,J53=8),J55="DC"),LOOKUP(J83,T!$AA343:$AA356,T!$U343:$U356),IF(AND(J51="4H3",OR(J53=2,J53=4),J55="AC"),LOOKUP(J83,T!$AA343:$AA356,T!$V343:$V356),IF(AND(J51="4H3",OR(J53=9,J53=10),J55="AC"),LOOKUP(J83,T!$AA343:$AA$356,T!$W343:$W356),IF(AND(J51="4H3",J53=6,J55="AC"),LOOKUP(J83,T!$AA343:$AA356,T!$X343:$X356),IF(AND(J51="4H3",OR(J53=3,J53=5),J55="AC"),LOOKUP(J83,T!$AA343:$AA356,T!$Y343:$Y356),IF(AND(J51="4H3",OR(J53=11,J53=12),J55="AC"),LOOKUP(J83,T!$AA343:$AA356,T!$Z343:$Z356),IF(AND(J51="4H4",OR(J53=2,J53=4,J53=6),J55="DC"),LOOKUP(J83,T!$X362:$X372,T!$U362:$U372),IF(AND(J51="4H4",OR(J53=2,J53=4,J53=6),J55="AC"),LOOKUP(J83,T!$X362:$X372,T!$V362:$V372),IF(AND(J51="4H4",OR(J53=3,J53=5,J53=7),J55="AC"),LOOKUP(J83,T!$X362:$X372,T!$W362:$W372),0)))))))))))))))))))),IF(ISNUMBER(SEARCH("4J",J51)),IF(AND(J51="4J1",OR(J53=2,J53=4,J53=6,J53=8,J53=11),J55="DC"),LOOKUP(J83,T!$AC378:$AC391,T!$U378:$U391),IF(AND(J51="4J1",OR(J53=2,J53=4),J55="AC"),LOOKUP(J83,T!$AC378:$AC391,T!$V378:$V391),IF(AND(J51="4J1",OR(J53=6,J53=8),J55="AC"),LOOKUP(J83,T!$AC378:$AC391,T!$W378:$W391),IF(AND(J51="4J1",OR(J53=11,J53=12),J55="AC",J57=1),LOOKUP(J83,T!$AC378:$AC391,T!$X378:$X391),IF(AND(J51="4J1",OR(J53=3,J53=5),J55="AC"),LOOKUP(J83,T!$AC378:$AC391,T!$Y378:$Y391),IF(AND(J51="4J1",OR(J53=7,J53=10),J55="AC"),LOOKUP(J83,T!$AC378:$AC391,T!$Z378:$Z391),IF(AND(J51="4J1",J53=9,J55="AC"),LOOKUP(J83,T!$AC378:$AC391,T!$AA378:$AA391),IF(AND(J51="4J1",OR(J53=11,J53=12),J55="AC",J57=3),LOOKUP(J83,T!$AC378:$AC391,T!$AB378:$AB391),IF(AND(J51="4J2",OR(J53=2,J53=4,J53=6,J53=8),J55="DC"),LOOKUP(J83,T!$X397:$X407,T!$U397:$U407),IF(AND(J51="4J2",OR(J53=2,J53=4,J53=6,J53=8),J55="AC"),LOOKUP(J83,T!$X397:$X407,T!$V397:$V407),IF(AND(J51="4J2",OR(J53=3,J53=5,J53=7,J53=9),J55="AC"),LOOKUP(J83,T!$X397:$X407,T!$W397:$W407),IF(AND(J51="4J3",OR(J53=2,J53=4,J53=7,J53=8),J55="DC"),LOOKUP(J83,T!$AA413:$AA426,T!$U413:$U426),IF(AND(J51="4J3",OR(J53=2,J53=4),J55="AC"),LOOKUP(J83,T!$AA413:$AA426,T!$V413:$V426),IF(AND(J51="4J3",OR(J53=9,J53=10),J55="AC"),LOOKUP(J83,T!$AA413:$AA426,T!$W413:$W426),IF(AND(J51="4J3",J53=6,J55="AC"),LOOKUP(J83,T!$AA413:$AA426,T!$X413:$X426),IF(AND(J51="4J3",OR(J53=3,J53=5),J55="AC"),LOOKUP(J83,T!$AA413:$AA426,T!$Y413:$Y426),IF(AND(J51="4J3",OR(J53=11,J53=12),J55="AC"),LOOKUP(J83,T!$AA413:$AA426,T!$Z413:$Z426),IF(AND(J51="4J4",OR(J53=2,J53=4,J53=6),J55="DC"),LOOKUP(J83,T!$X432:$X442,T!$U432:$U442),IF(AND(J51="4J4",OR(J53=2,J53=4,J53=6),J55="AC"),LOOKUP(J83,T!$X432:$X442,T!$V432:$V442),IF(AND(J51="4J4",OR(J53=3,J53=5,J53=7),J55="AC"),LOOKUP(J83,T!$X432:$X442,T!$W432:$W442),0)))))))))))))))))))),0)))*J23*J69)/1000))</f>
        <v>0</v>
      </c>
      <c r="K101" s="158">
        <f>IF(K29="","",IF(OR(COUNT(K19:K21)=3,COUNT(K19:K21)=1),(IF(K29="",0,IF(ISNUMBER(SEARCH("4H",K51)),IF(AND(K51="4H1",OR(K53=2,K53=4,K53=6,K53=8,K53=11),K55="DC"),LOOKUP(K83,T!$AC308:$AC321,T!$U308:$U321),IF(AND(K51="4H1",OR(K53=2,K53=4),K55="AC"),LOOKUP(K83,T!$AC308:$AC321,T!$V308:$V321),IF(AND(K51="4H1",OR(K53=6,K53=8),K55="AC"),LOOKUP(K83,T!$AC308:$AC321,T!$W308:$W321),IF(AND(K51="4H1",OR(K53=11,K53=12),K55="AC",K57=1),LOOKUP(K83,T!$AC308:$AC321,T!$X308:$X321),IF(AND(K51="4H1",OR(K53=3,K53=5),K55="AC"),LOOKUP(K83,T!$AC308:$AC321,T!$Y308:$Y321),IF(AND(K51="4H1",OR(K53=7,K53=10),K55="AC"),LOOKUP(K83,T!$AC308:$AC321,T!$Z308:$Z321),IF(AND(K51="4H1",K53=9,K55="AC"),LOOKUP(K83,T!$AC308:$AC321,T!$AA308:$AA321),IF(AND(K51="4H1",OR(K53=11,K53=12),K55="AC",K57=3),LOOKUP(K83,T!$AC308:$AC321,T!$AB308:$AB321),IF(AND(K51="4H2",OR(K53=2,K53=4,K53=6,K53=8),K55="DC"),LOOKUP(K83,T!$X327:$X337,T!$U327:$U337),IF(AND(K51="4H2",OR(K53=2,K53=4,K53=6,K53=8),K55="AC"),LOOKUP(K83,T!$X327:$X337,T!$V327:$V337),IF(AND(K51="4H2",OR(K53=3,K53=5,K53=7,K53=9),K55="AC"),LOOKUP(K83,T!$X327:$X337,T!$W327:$W337),IF(AND(K51="4H3",OR(K53=2,K53=4,K53=7,K53=8),K55="DC"),LOOKUP(K83,T!$AA343:$AA356,T!$U343:$U356),IF(AND(K51="4H3",OR(K53=2,K53=4),K55="AC"),LOOKUP(K83,T!$AA343:$AA356,T!$V343:$V356),IF(AND(K51="4H3",OR(K53=9,K53=10),K55="AC"),LOOKUP(K83,T!$AA343:$AA$356,T!$W343:$W356),IF(AND(K51="4H3",K53=6,K55="AC"),LOOKUP(K83,T!$AA343:$AA356,T!$X343:$X356),IF(AND(K51="4H3",OR(K53=3,K53=5),K55="AC"),LOOKUP(K83,T!$AA343:$AA356,T!$Y343:$Y356),IF(AND(K51="4H3",OR(K53=11,K53=12),K55="AC"),LOOKUP(K83,T!$AA343:$AA356,T!$Z343:$Z356),IF(AND(K51="4H4",OR(K53=2,K53=4,K53=6),K55="DC"),LOOKUP(K83,T!$X362:$X372,T!$U362:$U372),IF(AND(K51="4H4",OR(K53=2,K53=4,K53=6),K55="AC"),LOOKUP(K83,T!$X362:$X372,T!$V362:$V372),IF(AND(K51="4H4",OR(K53=3,K53=5,K53=7),K55="AC"),LOOKUP(K83,T!$X362:$X372,T!$W362:$W372),0)))))))))))))))))))),IF(ISNUMBER(SEARCH("4J",K51)),IF(AND(K51="4J1",OR(K53=2,K53=4,K53=6,K53=8,K53=11),K55="DC"),LOOKUP(K83,T!$AC378:$AC391,T!$U378:$U391),IF(AND(K51="4J1",OR(K53=2,K53=4),K55="AC"),LOOKUP(K83,T!$AC378:$AC391,T!$V378:$V391),IF(AND(K51="4J1",OR(K53=6,K53=8),K55="AC"),LOOKUP(K83,T!$AC378:$AC391,T!$W378:$W391),IF(AND(K51="4J1",OR(K53=11,K53=12),K55="AC",K57=1),LOOKUP(K83,T!$AC378:$AC391,T!$X378:$X391),IF(AND(K51="4J1",OR(K53=3,K53=5),K55="AC"),LOOKUP(K83,T!$AC378:$AC391,T!$Y378:$Y391),IF(AND(K51="4J1",OR(K53=7,K53=10),K55="AC"),LOOKUP(K83,T!$AC378:$AC391,T!$Z378:$Z391),IF(AND(K51="4J1",K53=9,K55="AC"),LOOKUP(K83,T!$AC378:$AC391,T!$AA378:$AA391),IF(AND(K51="4J1",OR(K53=11,K53=12),K55="AC",K57=3),LOOKUP(K83,T!$AC378:$AC391,T!$AB378:$AB391),IF(AND(K51="4J2",OR(K53=2,K53=4,K53=6,K53=8),K55="DC"),LOOKUP(K83,T!$X397:$X407,T!$U397:$U407),IF(AND(K51="4J2",OR(K53=2,K53=4,K53=6,K53=8),K55="AC"),LOOKUP(K83,T!$X397:$X407,T!$V397:$V407),IF(AND(K51="4J2",OR(K53=3,K53=5,K53=7,K53=9),K55="AC"),LOOKUP(K83,T!$X397:$X407,T!$W397:$W407),IF(AND(K51="4J3",OR(K53=2,K53=4,K53=7,K53=8),K55="DC"),LOOKUP(K83,T!$AA413:$AA426,T!$U413:$U426),IF(AND(K51="4J3",OR(K53=2,K53=4),K55="AC"),LOOKUP(K83,T!$AA413:$AA426,T!$V413:$V426),IF(AND(K51="4J3",OR(K53=9,K53=10),K55="AC"),LOOKUP(K83,T!$AA413:$AA426,T!$W413:$W426),IF(AND(K51="4J3",K53=6,K55="AC"),LOOKUP(K83,T!$AA413:$AA426,T!$X413:$X426),IF(AND(K51="4J3",OR(K53=3,K53=5),K55="AC"),LOOKUP(K83,T!$AA413:$AA426,T!$Y413:$Y426),IF(AND(K51="4J3",OR(K53=11,K53=12),K55="AC"),LOOKUP(K83,T!$AA413:$AA426,T!$Z413:$Z426),IF(AND(K51="4J4",OR(K53=2,K53=4,K53=6),K55="DC"),LOOKUP(K83,T!$X432:$X442,T!$U432:$U442),IF(AND(K51="4J4",OR(K53=2,K53=4,K53=6),K55="AC"),LOOKUP(K83,T!$X432:$X442,T!$V432:$V442),IF(AND(K51="4J4",OR(K53=3,K53=5,K53=7),K55="AC"),LOOKUP(K83,T!$X432:$X442,T!$W432:$W442),0)))))))))))))))))))),0)))*K23*K69)/1000))</f>
        <v>0</v>
      </c>
      <c r="L101" s="158">
        <f>IF(L29="","",IF(OR(COUNT(L19:L21)=3,COUNT(L19:L21)=1),(IF(L29="",0,IF(ISNUMBER(SEARCH("4H",L51)),IF(AND(L51="4H1",OR(L53=2,L53=4,L53=6,L53=8,L53=11),L55="DC"),LOOKUP(L83,T!$AC308:$AC321,T!$U308:$U321),IF(AND(L51="4H1",OR(L53=2,L53=4),L55="AC"),LOOKUP(L83,T!$AC308:$AC321,T!$V308:$V321),IF(AND(L51="4H1",OR(L53=6,L53=8),L55="AC"),LOOKUP(L83,T!$AC308:$AC321,T!$W308:$W321),IF(AND(L51="4H1",OR(L53=11,L53=12),L55="AC",L57=1),LOOKUP(L83,T!$AC308:$AC321,T!$X308:$X321),IF(AND(L51="4H1",OR(L53=3,L53=5),L55="AC"),LOOKUP(L83,T!$AC308:$AC321,T!$Y308:$Y321),IF(AND(L51="4H1",OR(L53=7,L53=10),L55="AC"),LOOKUP(L83,T!$AC308:$AC321,T!$Z308:$Z321),IF(AND(L51="4H1",L53=9,L55="AC"),LOOKUP(L83,T!$AC308:$AC321,T!$AA308:$AA321),IF(AND(L51="4H1",OR(L53=11,L53=12),L55="AC",L57=3),LOOKUP(L83,T!$AC308:$AC321,T!$AB308:$AB321),IF(AND(L51="4H2",OR(L53=2,L53=4,L53=6,L53=8),L55="DC"),LOOKUP(L83,T!$X327:$X337,T!$U327:$U337),IF(AND(L51="4H2",OR(L53=2,L53=4,L53=6,L53=8),L55="AC"),LOOKUP(L83,T!$X327:$X337,T!$V327:$V337),IF(AND(L51="4H2",OR(L53=3,L53=5,L53=7,L53=9),L55="AC"),LOOKUP(L83,T!$X327:$X337,T!$W327:$W337),IF(AND(L51="4H3",OR(L53=2,L53=4,L53=7,L53=8),L55="DC"),LOOKUP(L83,T!$AA343:$AA356,T!$U343:$U356),IF(AND(L51="4H3",OR(L53=2,L53=4),L55="AC"),LOOKUP(L83,T!$AA343:$AA356,T!$V343:$V356),IF(AND(L51="4H3",OR(L53=9,L53=10),L55="AC"),LOOKUP(L83,T!$AA343:$AA$356,T!$W343:$W356),IF(AND(L51="4H3",L53=6,L55="AC"),LOOKUP(L83,T!$AA343:$AA356,T!$X343:$X356),IF(AND(L51="4H3",OR(L53=3,L53=5),L55="AC"),LOOKUP(L83,T!$AA343:$AA356,T!$Y343:$Y356),IF(AND(L51="4H3",OR(L53=11,L53=12),L55="AC"),LOOKUP(L83,T!$AA343:$AA356,T!$Z343:$Z356),IF(AND(L51="4H4",OR(L53=2,L53=4,L53=6),L55="DC"),LOOKUP(L83,T!$X362:$X372,T!$U362:$U372),IF(AND(L51="4H4",OR(L53=2,L53=4,L53=6),L55="AC"),LOOKUP(L83,T!$X362:$X372,T!$V362:$V372),IF(AND(L51="4H4",OR(L53=3,L53=5,L53=7),L55="AC"),LOOKUP(L83,T!$X362:$X372,T!$W362:$W372),0)))))))))))))))))))),IF(ISNUMBER(SEARCH("4J",L51)),IF(AND(L51="4J1",OR(L53=2,L53=4,L53=6,L53=8,L53=11),L55="DC"),LOOKUP(L83,T!$AC378:$AC391,T!$U378:$U391),IF(AND(L51="4J1",OR(L53=2,L53=4),L55="AC"),LOOKUP(L83,T!$AC378:$AC391,T!$V378:$V391),IF(AND(L51="4J1",OR(L53=6,L53=8),L55="AC"),LOOKUP(L83,T!$AC378:$AC391,T!$W378:$W391),IF(AND(L51="4J1",OR(L53=11,L53=12),L55="AC",L57=1),LOOKUP(L83,T!$AC378:$AC391,T!$X378:$X391),IF(AND(L51="4J1",OR(L53=3,L53=5),L55="AC"),LOOKUP(L83,T!$AC378:$AC391,T!$Y378:$Y391),IF(AND(L51="4J1",OR(L53=7,L53=10),L55="AC"),LOOKUP(L83,T!$AC378:$AC391,T!$Z378:$Z391),IF(AND(L51="4J1",L53=9,L55="AC"),LOOKUP(L83,T!$AC378:$AC391,T!$AA378:$AA391),IF(AND(L51="4J1",OR(L53=11,L53=12),L55="AC",L57=3),LOOKUP(L83,T!$AC378:$AC391,T!$AB378:$AB391),IF(AND(L51="4J2",OR(L53=2,L53=4,L53=6,L53=8),L55="DC"),LOOKUP(L83,T!$X397:$X407,T!$U397:$U407),IF(AND(L51="4J2",OR(L53=2,L53=4,L53=6,L53=8),L55="AC"),LOOKUP(L83,T!$X397:$X407,T!$V397:$V407),IF(AND(L51="4J2",OR(L53=3,L53=5,L53=7,L53=9),L55="AC"),LOOKUP(L83,T!$X397:$X407,T!$W397:$W407),IF(AND(L51="4J3",OR(L53=2,L53=4,L53=7,L53=8),L55="DC"),LOOKUP(L83,T!$AA413:$AA426,T!$U413:$U426),IF(AND(L51="4J3",OR(L53=2,L53=4),L55="AC"),LOOKUP(L83,T!$AA413:$AA426,T!$V413:$V426),IF(AND(L51="4J3",OR(L53=9,L53=10),L55="AC"),LOOKUP(L83,T!$AA413:$AA426,T!$W413:$W426),IF(AND(L51="4J3",L53=6,L55="AC"),LOOKUP(L83,T!$AA413:$AA426,T!$X413:$X426),IF(AND(L51="4J3",OR(L53=3,L53=5),L55="AC"),LOOKUP(L83,T!$AA413:$AA426,T!$Y413:$Y426),IF(AND(L51="4J3",OR(L53=11,L53=12),L55="AC"),LOOKUP(L83,T!$AA413:$AA426,T!$Z413:$Z426),IF(AND(L51="4J4",OR(L53=2,L53=4,L53=6),L55="DC"),LOOKUP(L83,T!$X432:$X442,T!$U432:$U442),IF(AND(L51="4J4",OR(L53=2,L53=4,L53=6),L55="AC"),LOOKUP(L83,T!$X432:$X442,T!$V432:$V442),IF(AND(L51="4J4",OR(L53=3,L53=5,L53=7),L55="AC"),LOOKUP(L83,T!$X432:$X442,T!$W432:$W442),0)))))))))))))))))))),0)))*L23*L69)/1000))</f>
        <v>0</v>
      </c>
      <c r="M101" s="158" t="str">
        <f>IF(M29="","",IF(OR(COUNT(M19:M21)=3,COUNT(M19:M21)=1),(IF(M29="",0,IF(ISNUMBER(SEARCH("4H",M51)),IF(AND(M51="4H1",OR(M53=2,M53=4,M53=6,M53=8,M53=11),M55="DC"),LOOKUP(M83,T!$AC308:$AC321,T!$U308:$U321),IF(AND(M51="4H1",OR(M53=2,M53=4),M55="AC"),LOOKUP(M83,T!$AC308:$AC321,T!$V308:$V321),IF(AND(M51="4H1",OR(M53=6,M53=8),M55="AC"),LOOKUP(M83,T!$AC308:$AC321,T!$W308:$W321),IF(AND(M51="4H1",OR(M53=11,M53=12),M55="AC",M57=1),LOOKUP(M83,T!$AC308:$AC321,T!$X308:$X321),IF(AND(M51="4H1",OR(M53=3,M53=5),M55="AC"),LOOKUP(M83,T!$AC308:$AC321,T!$Y308:$Y321),IF(AND(M51="4H1",OR(M53=7,M53=10),M55="AC"),LOOKUP(M83,T!$AC308:$AC321,T!$Z308:$Z321),IF(AND(M51="4H1",M53=9,M55="AC"),LOOKUP(M83,T!$AC308:$AC321,T!$AA308:$AA321),IF(AND(M51="4H1",OR(M53=11,M53=12),M55="AC",M57=3),LOOKUP(M83,T!$AC308:$AC321,T!$AB308:$AB321),IF(AND(M51="4H2",OR(M53=2,M53=4,M53=6,M53=8),M55="DC"),LOOKUP(M83,T!$X327:$X337,T!$U327:$U337),IF(AND(M51="4H2",OR(M53=2,M53=4,M53=6,M53=8),M55="AC"),LOOKUP(M83,T!$X327:$X337,T!$V327:$V337),IF(AND(M51="4H2",OR(M53=3,M53=5,M53=7,M53=9),M55="AC"),LOOKUP(M83,T!$X327:$X337,T!$W327:$W337),IF(AND(M51="4H3",OR(M53=2,M53=4,M53=7,M53=8),M55="DC"),LOOKUP(M83,T!$AA343:$AA356,T!$U343:$U356),IF(AND(M51="4H3",OR(M53=2,M53=4),M55="AC"),LOOKUP(M83,T!$AA343:$AA356,T!$V343:$V356),IF(AND(M51="4H3",OR(M53=9,M53=10),M55="AC"),LOOKUP(M83,T!$AA343:$AA$356,T!$W343:$W356),IF(AND(M51="4H3",M53=6,M55="AC"),LOOKUP(M83,T!$AA343:$AA356,T!$X343:$X356),IF(AND(M51="4H3",OR(M53=3,M53=5),M55="AC"),LOOKUP(M83,T!$AA343:$AA356,T!$Y343:$Y356),IF(AND(M51="4H3",OR(M53=11,M53=12),M55="AC"),LOOKUP(M83,T!$AA343:$AA356,T!$Z343:$Z356),IF(AND(M51="4H4",OR(M53=2,M53=4,M53=6),M55="DC"),LOOKUP(M83,T!$X362:$X372,T!$U362:$U372),IF(AND(M51="4H4",OR(M53=2,M53=4,M53=6),M55="AC"),LOOKUP(M83,T!$X362:$X372,T!$V362:$V372),IF(AND(M51="4H4",OR(M53=3,M53=5,M53=7),M55="AC"),LOOKUP(M83,T!$X362:$X372,T!$W362:$W372),0)))))))))))))))))))),IF(ISNUMBER(SEARCH("4J",M51)),IF(AND(M51="4J1",OR(M53=2,M53=4,M53=6,M53=8,M53=11),M55="DC"),LOOKUP(M83,T!$AC378:$AC391,T!$U378:$U391),IF(AND(M51="4J1",OR(M53=2,M53=4),M55="AC"),LOOKUP(M83,T!$AC378:$AC391,T!$V378:$V391),IF(AND(M51="4J1",OR(M53=6,M53=8),M55="AC"),LOOKUP(M83,T!$AC378:$AC391,T!$W378:$W391),IF(AND(M51="4J1",OR(M53=11,M53=12),M55="AC",M57=1),LOOKUP(M83,T!$AC378:$AC391,T!$X378:$X391),IF(AND(M51="4J1",OR(M53=3,M53=5),M55="AC"),LOOKUP(M83,T!$AC378:$AC391,T!$Y378:$Y391),IF(AND(M51="4J1",OR(M53=7,M53=10),M55="AC"),LOOKUP(M83,T!$AC378:$AC391,T!$Z378:$Z391),IF(AND(M51="4J1",M53=9,M55="AC"),LOOKUP(M83,T!$AC378:$AC391,T!$AA378:$AA391),IF(AND(M51="4J1",OR(M53=11,M53=12),M55="AC",M57=3),LOOKUP(M83,T!$AC378:$AC391,T!$AB378:$AB391),IF(AND(M51="4J2",OR(M53=2,M53=4,M53=6,M53=8),M55="DC"),LOOKUP(M83,T!$X397:$X407,T!$U397:$U407),IF(AND(M51="4J2",OR(M53=2,M53=4,M53=6,M53=8),M55="AC"),LOOKUP(M83,T!$X397:$X407,T!$V397:$V407),IF(AND(M51="4J2",OR(M53=3,M53=5,M53=7,M53=9),M55="AC"),LOOKUP(M83,T!$X397:$X407,T!$W397:$W407),IF(AND(M51="4J3",OR(M53=2,M53=4,M53=7,M53=8),M55="DC"),LOOKUP(M83,T!$AA413:$AA426,T!$U413:$U426),IF(AND(M51="4J3",OR(M53=2,M53=4),M55="AC"),LOOKUP(M83,T!$AA413:$AA426,T!$V413:$V426),IF(AND(M51="4J3",OR(M53=9,M53=10),M55="AC"),LOOKUP(M83,T!$AA413:$AA426,T!$W413:$W426),IF(AND(M51="4J3",M53=6,M55="AC"),LOOKUP(M83,T!$AA413:$AA426,T!$X413:$X426),IF(AND(M51="4J3",OR(M53=3,M53=5),M55="AC"),LOOKUP(M83,T!$AA413:$AA426,T!$Y413:$Y426),IF(AND(M51="4J3",OR(M53=11,M53=12),M55="AC"),LOOKUP(M83,T!$AA413:$AA426,T!$Z413:$Z426),IF(AND(M51="4J4",OR(M53=2,M53=4,M53=6),M55="DC"),LOOKUP(M83,T!$X432:$X442,T!$U432:$U442),IF(AND(M51="4J4",OR(M53=2,M53=4,M53=6),M55="AC"),LOOKUP(M83,T!$X432:$X442,T!$V432:$V442),IF(AND(M51="4J4",OR(M53=3,M53=5,M53=7),M55="AC"),LOOKUP(M83,T!$X432:$X442,T!$W432:$W442),0)))))))))))))))))))),0)))*M23*M69)/1000))</f>
        <v/>
      </c>
      <c r="N101" s="158">
        <f>IF(N29="","",IF(OR(COUNT(N19:N21)=3,COUNT(N19:N21)=1),(IF(N29="",0,IF(ISNUMBER(SEARCH("4H",N51)),IF(AND(N51="4H1",OR(N53=2,N53=4,N53=6,N53=8,N53=11),N55="DC"),LOOKUP(N83,T!$AC308:$AC321,T!$U308:$U321),IF(AND(N51="4H1",OR(N53=2,N53=4),N55="AC"),LOOKUP(N83,T!$AC308:$AC321,T!$V308:$V321),IF(AND(N51="4H1",OR(N53=6,N53=8),N55="AC"),LOOKUP(N83,T!$AC308:$AC321,T!$W308:$W321),IF(AND(N51="4H1",OR(N53=11,N53=12),N55="AC",N57=1),LOOKUP(N83,T!$AC308:$AC321,T!$X308:$X321),IF(AND(N51="4H1",OR(N53=3,N53=5),N55="AC"),LOOKUP(N83,T!$AC308:$AC321,T!$Y308:$Y321),IF(AND(N51="4H1",OR(N53=7,N53=10),N55="AC"),LOOKUP(N83,T!$AC308:$AC321,T!$Z308:$Z321),IF(AND(N51="4H1",N53=9,N55="AC"),LOOKUP(N83,T!$AC308:$AC321,T!$AA308:$AA321),IF(AND(N51="4H1",OR(N53=11,N53=12),N55="AC",N57=3),LOOKUP(N83,T!$AC308:$AC321,T!$AB308:$AB321),IF(AND(N51="4H2",OR(N53=2,N53=4,N53=6,N53=8),N55="DC"),LOOKUP(N83,T!$X327:$X337,T!$U327:$U337),IF(AND(N51="4H2",OR(N53=2,N53=4,N53=6,N53=8),N55="AC"),LOOKUP(N83,T!$X327:$X337,T!$V327:$V337),IF(AND(N51="4H2",OR(N53=3,N53=5,N53=7,N53=9),N55="AC"),LOOKUP(N83,T!$X327:$X337,T!$W327:$W337),IF(AND(N51="4H3",OR(N53=2,N53=4,N53=7,N53=8),N55="DC"),LOOKUP(N83,T!$AA343:$AA356,T!$U343:$U356),IF(AND(N51="4H3",OR(N53=2,N53=4),N55="AC"),LOOKUP(N83,T!$AA343:$AA356,T!$V343:$V356),IF(AND(N51="4H3",OR(N53=9,N53=10),N55="AC"),LOOKUP(N83,T!$AA343:$AA$356,T!$W343:$W356),IF(AND(N51="4H3",N53=6,N55="AC"),LOOKUP(N83,T!$AA343:$AA356,T!$X343:$X356),IF(AND(N51="4H3",OR(N53=3,N53=5),N55="AC"),LOOKUP(N83,T!$AA343:$AA356,T!$Y343:$Y356),IF(AND(N51="4H3",OR(N53=11,N53=12),N55="AC"),LOOKUP(N83,T!$AA343:$AA356,T!$Z343:$Z356),IF(AND(N51="4H4",OR(N53=2,N53=4,N53=6),N55="DC"),LOOKUP(N83,T!$X362:$X372,T!$U362:$U372),IF(AND(N51="4H4",OR(N53=2,N53=4,N53=6),N55="AC"),LOOKUP(N83,T!$X362:$X372,T!$V362:$V372),IF(AND(N51="4H4",OR(N53=3,N53=5,N53=7),N55="AC"),LOOKUP(N83,T!$X362:$X372,T!$W362:$W372),0)))))))))))))))))))),IF(ISNUMBER(SEARCH("4J",N51)),IF(AND(N51="4J1",OR(N53=2,N53=4,N53=6,N53=8,N53=11),N55="DC"),LOOKUP(N83,T!$AC378:$AC391,T!$U378:$U391),IF(AND(N51="4J1",OR(N53=2,N53=4),N55="AC"),LOOKUP(N83,T!$AC378:$AC391,T!$V378:$V391),IF(AND(N51="4J1",OR(N53=6,N53=8),N55="AC"),LOOKUP(N83,T!$AC378:$AC391,T!$W378:$W391),IF(AND(N51="4J1",OR(N53=11,N53=12),N55="AC",N57=1),LOOKUP(N83,T!$AC378:$AC391,T!$X378:$X391),IF(AND(N51="4J1",OR(N53=3,N53=5),N55="AC"),LOOKUP(N83,T!$AC378:$AC391,T!$Y378:$Y391),IF(AND(N51="4J1",OR(N53=7,N53=10),N55="AC"),LOOKUP(N83,T!$AC378:$AC391,T!$Z378:$Z391),IF(AND(N51="4J1",N53=9,N55="AC"),LOOKUP(N83,T!$AC378:$AC391,T!$AA378:$AA391),IF(AND(N51="4J1",OR(N53=11,N53=12),N55="AC",N57=3),LOOKUP(N83,T!$AC378:$AC391,T!$AB378:$AB391),IF(AND(N51="4J2",OR(N53=2,N53=4,N53=6,N53=8),N55="DC"),LOOKUP(N83,T!$X397:$X407,T!$U397:$U407),IF(AND(N51="4J2",OR(N53=2,N53=4,N53=6,N53=8),N55="AC"),LOOKUP(N83,T!$X397:$X407,T!$V397:$V407),IF(AND(N51="4J2",OR(N53=3,N53=5,N53=7,N53=9),N55="AC"),LOOKUP(N83,T!$X397:$X407,T!$W397:$W407),IF(AND(N51="4J3",OR(N53=2,N53=4,N53=7,N53=8),N55="DC"),LOOKUP(N83,T!$AA413:$AA426,T!$U413:$U426),IF(AND(N51="4J3",OR(N53=2,N53=4),N55="AC"),LOOKUP(N83,T!$AA413:$AA426,T!$V413:$V426),IF(AND(N51="4J3",OR(N53=9,N53=10),N55="AC"),LOOKUP(N83,T!$AA413:$AA426,T!$W413:$W426),IF(AND(N51="4J3",N53=6,N55="AC"),LOOKUP(N83,T!$AA413:$AA426,T!$X413:$X426),IF(AND(N51="4J3",OR(N53=3,N53=5),N55="AC"),LOOKUP(N83,T!$AA413:$AA426,T!$Y413:$Y426),IF(AND(N51="4J3",OR(N53=11,N53=12),N55="AC"),LOOKUP(N83,T!$AA413:$AA426,T!$Z413:$Z426),IF(AND(N51="4J4",OR(N53=2,N53=4,N53=6),N55="DC"),LOOKUP(N83,T!$X432:$X442,T!$U432:$U442),IF(AND(N51="4J4",OR(N53=2,N53=4,N53=6),N55="AC"),LOOKUP(N83,T!$X432:$X442,T!$V432:$V442),IF(AND(N51="4J4",OR(N53=3,N53=5,N53=7),N55="AC"),LOOKUP(N83,T!$X432:$X442,T!$W432:$W442),0)))))))))))))))))))),0)))*N23*N69)/1000))</f>
        <v>0</v>
      </c>
      <c r="O101" s="135" t="str">
        <f t="shared" si="23"/>
        <v/>
      </c>
    </row>
    <row r="102" spans="1:58" s="168" customFormat="1" ht="17">
      <c r="A102" s="187" t="s">
        <v>2122</v>
      </c>
      <c r="B102" s="395"/>
      <c r="C102" s="391" t="s">
        <v>2125</v>
      </c>
      <c r="D102" s="156">
        <f>IF(D29="","",IF(OR(COUNT(D19:D21)=3,COUNT(D19:D21)=1),(IF(D29="",0,IF(ISNUMBER(SEARCH("4D",D51)),IF(AND(D51="4D1",OR(D53=2,D53=4,D53=6,D53=8,D53=11),D55="DC"),LOOKUP(D84,T!$AC6:$AC27,T!$U6:$U27),IF(AND(D51="4D1",OR(D53=2,D53=4),D55="AC"),LOOKUP(D84,T!$AC6:$AC27,T!$V6:$V27),IF(AND(D51="4D1",OR(D53=6,D53=8),D55="AC"),LOOKUP(D84,T!$AC6:$AC27,T!$W6:$W27),IF(AND(D51="4D1",OR(D53=11,D53=12),D55="AC",D57=1),LOOKUP(D84,T!$AC6:$AC27,T!$X6:$X27),IF(AND(D51="4D1",OR(D53=3,D53=5),D55="AC"),LOOKUP(D84,T!$AC6:$AC27,T!$Y6:$Y27),IF(AND(D51="4D1",OR(D53=7,D53=10),D55="AC"),LOOKUP(D84,T!$AC6:$AC27,T!$Z6:$Z27),IF(AND(D51="4D1",D53=9,D55="AC"),LOOKUP(D84,T!$AC6:$AC27,T!$AA6:$AA27),IF(AND(D51="4D1",OR(D53=11,D53=12),D55="AC",D57=3),LOOKUP(D84,T!$AC13:$AC27,T!$AB13:$AB27),IF(AND(D51="4D2",OR(D53=2,D53=4,D53=6,D53=8),D55="DC"),LOOKUP(D84,T!$X33:$X50,T!$U33:$U50),IF(AND(D51="4D2",OR(D53=2,D53=4,D53=6,D53=8),D55="AC"),LOOKUP(D84,T!$X33:$X50,T!$V33:$V50),IF(AND(D51="4D2",OR(D53=3,D53=5,D53=7,D53=9),D55="AC"),LOOKUP(D84,T!$X33:$X50,T!$W33:$W50),IF(AND(D51="4D3",OR(D53=2,D53=4,D53=7,D53=8),D55="DC"),LOOKUP(D84,T!$AA56:$AA68,T!$U56:$U68),IF(AND(D51="4D3",OR(D53=2,D53=4),D55="AC"),LOOKUP(D84,T!$AA56:$AA68,T!$V56:$V68),IF(AND(D51="4D3",OR(D53=9,D53=10),D55="AC"),LOOKUP(D84,T!$AA56:$AA$68,T!$W56:$W68),IF(AND(D51="4D3",D53=6,D55="AC"),LOOKUP(D84,T!$AA56:$AA68,T!$X56:$X68),IF(AND(D51="4D3",OR(D53=3,D53=5),D55="AC"),LOOKUP(D84,T!$AA56:$AA68,T!$Y56:$Y68),IF(AND(D51="4D3",OR(D53=11,D53=12),D55="AC"),LOOKUP(D84,T!$AA56:$AA68,T!$Z56:$Z68),IF(AND(D51="4D4",OR(D53=2,D53=4,D53=6),D55="DC"),LOOKUP(D84,T!$X74:$X90,T!$U74:$U90),IF(AND(D51="4D4",OR(D53=2,D53=4,D53=6),D55="AC"),LOOKUP(D84,T!$X74:$X90,T!$V74:$V90),IF(AND(D51="4D4",OR(D53=3,D53=5,D53=7),D55="AC"),LOOKUP(D84,T!$X74:$X90,T!$W74:$W90),IF(AND(D51="4D5",AND(D53&gt;=2,D53&lt;=7)),LOOKUP(D84,T!$I96:$I102,T!$H96:$H102),0))))))))))))))))))))),IF(ISNUMBER(SEARCH("4E",D51)),IF(AND(D51="4E1",OR(D53=2,D53=4,D53=6,D53=8,D53=11),D55="DC"),LOOKUP(D84,T!$AC108:$AC129,T!$U108:$U129),IF(AND(D51="4E1",OR(D53=2,D53=4),D55="AC"),LOOKUP(D84,T!$AC108:$AC129,T!$V108:$V129),IF(AND(D51="4E1",OR(D53=6,D53=8),D55="AC"),LOOKUP(D84,T!$AC108:$AC129,T!$W108:$W129),IF(AND(D51="4E1",OR(D53=11,D53=12),D55="AC",D57=1),LOOKUP(D84,T!$AC108:$AC127,T!$X108:$X129),IF(AND(D51="4E1",OR(D53=3,D53=5),D55="AC"),LOOKUP(D84,T!$AC108:$AC129,T!$Y108:$Y129),IF(AND(D51="4E1",OR(D53=7,D53=10),D55="AC"),LOOKUP(D84,T!$AC108:$AC129,T!$Z108:$Z129),IF(AND(D51="4E1",D53=9,D55="AC"),LOOKUP(D84,T!$AC115:$AC129,T!$AA115:$AA129),IF(AND(D51="4E1",OR(D53=11,D53=12),D55="AC",D57=3),LOOKUP(D84,T!$AC115:$AC129,T!$AB115:$AB129),IF(AND(D51="4E2",OR(D53=2,D53=4,D53=6,D53=8),D55="DC"),LOOKUP(D84,T!$X134:$X152,T!$U134:$U152),IF(AND(D51="4E2",OR(D53=2,D53=4,D53=6,D53=8),D55="AC"),LOOKUP(D84,T!$X134:$X152,T!$V134:$V152),IF(AND(D51="4E2",OR(D53=3,D53=5,D53=7,D53=9),D55="AC"),LOOKUP(D84,T!$X134:$X152,T!$W134:$W152),IF(AND(D51="4E3",OR(D53=2,D53=4,D53=7,D53=8),D55="DC"),LOOKUP(D84,T!$AA158:$AA170,T!$U158:$U170),IF(AND(D51="4E3",OR(D53=2,D53=4),D55="AC"),LOOKUP(D84,T!$AA158:$AA170,T!$V158:$V170),IF(AND(D51="4E3",OR(D53=9,D53=10),D55="AC"),LOOKUP(D84,T!$AA158:$AA170,T!$W158:$W170),IF(AND(D51="4E3",D53=6,D55="AC"),LOOKUP(D84,T!$AA158:$AA170,T!$X158:$X170),IF(AND(D51="4E3",OR(D53=3,D53=5),D55="AC"),LOOKUP(D84,T!$AA158:$AA170,T!$Y158:$Y170),IF(AND(D51="4E3",OR(D53=11,D53=12),D55="AC"),LOOKUP(D84,T!$AA158:$AA170,T!$Z158:$Z170),IF(AND(D51="4E4",OR(D53=2,D53=4,D53=6),D55="DC"),LOOKUP(D84,T!$X176:$X192,T!$U176:$U192),IF(AND(D51="4E4",OR(D53=2,D53=4,D53=6),D55="AC"),LOOKUP(D84,T!$X176:$X192,T!$V176:$V192),IF(AND(D51="4E4",OR(D53=3,D53=5,D53=7),D55="AC"),LOOKUP(D84,T!$X176:$X192,T!$W176:$W192),0)))))))))))))))))))),IF(ISNUMBER(SEARCH("4F",D51)),IF(AND(D51="4F1",D53=2,D55="DC"),LOOKUP(D84,T!$Z198:$Z214,T!$U198:$U214),IF(AND(D51="4F1",D53=2,D55="AC"),LOOKUP(D84,T!$Z198:$Z214,T!$V198:$V214),IF(AND(D51="4F1",D53=3,D55="AC"),LOOKUP(D84,T!$Z198:$Z214,T!$W198:$W214),IF(AND(D51="4F1",D53=4,D55="DC"),LOOKUP(D84,T!$Z198:$Z214,T!$X198:$X214),IF(AND(D51="4F1",D53=4,D55="AC"),LOOKUP(D84,T!$Z198:$Z214,T!$Y198:$Y214),IF(AND(D51="4F2",D53=2,D55="DC"),LOOKUP(D84,T!$Y220:$Y236,T!$U220:$U236),IF(AND(D51="4F2",D53=2,D55="AC"),LOOKUP(D84,T!$Y220:$Y236,T!$V220:$V236),IF(AND(D51="4F2",D53=3,D55="AC"),LOOKUP(D84,T!$Y220:$Y236,T!$W220:$W236),IF(AND(D51="4F2",D53=4,D55="DC"),LOOKUP(D84,T!$Y220:$Y236,T!$X220:$X236),IF(AND(D51="4F3",D53=2),LOOKUP(D84,T!$W242:$W248,T!$U242:$U248),IF(AND(D51="4F3",D53=3,D55="AC"),LOOKUP(D84,T!$W242:$W248,T!$V242:$V248),0))))))))))),IF(ISNUMBER(SEARCH("4G",D51)),IF(AND(D51="4G1",OR(D53=2,D53=5)),LOOKUP(D84,T!$AA254:$AA269,T!$U254:$U269),IF(AND(D51="4G1",OR(D53=3,D53=6)),LOOKUP(D84,T!$AA254:$AA269,T!$X254:$X269),IF(AND(D51="4G1",OR(D53=4,D53=7)),LOOKUP(D84,T!$AA254:$AA269,T!$Y254:$Y269),IF(AND(D51="4G1",OR(D53=8,D53=9)),LOOKUP(D84,T!$AA254:$AA269,T!$Z254:$Z269),IF(AND(D51="4G2",OR(D53=2,D53=5)),LOOKUP(D84,T!$AA281:$AA296,T!$U281:$U296),IF(AND(D51="4G2",OR(D53=3,D53=6)),LOOKUP(D84,T!$AA281:$AA296,T!$X281:$X296),IF(AND(D51="4G2",OR(D53=4,D53=7)),LOOKUP(D84,T!$AA281:$AA296,T!$Y281:$Y296),IF(AND(D51="4G2",OR(D53=8,D53=9)),LOOKUP(D84,T!$AA281:$AA296,T!$Z281:$Z296),0)))))))),0)))))*D23*D69)/1000))</f>
        <v>2.8645833333333339</v>
      </c>
      <c r="E102" s="156">
        <f ca="1">IF(E29="","",IF(OR(COUNT(E19:E21)=3,COUNT(E19:E21)=1),(IF(E29="",0,IF(ISNUMBER(SEARCH("4D",E51)),IF(AND(E51="4D1",OR(E53=2,E53=4,E53=6,E53=8,E53=11),E55="DC"),LOOKUP(E84,T!$AC6:$AC27,T!$U6:$U27),IF(AND(E51="4D1",OR(E53=2,E53=4),E55="AC"),LOOKUP(E84,T!$AC6:$AC27,T!$V6:$V27),IF(AND(E51="4D1",OR(E53=6,E53=8),E55="AC"),LOOKUP(E84,T!$AC6:$AC27,T!$W6:$W27),IF(AND(E51="4D1",OR(E53=11,E53=12),E55="AC",E57=1),LOOKUP(E84,T!$AC6:$AC27,T!$X6:$X27),IF(AND(E51="4D1",OR(E53=3,E53=5),E55="AC"),LOOKUP(E84,T!$AC6:$AC27,T!$Y6:$Y27),IF(AND(E51="4D1",OR(E53=7,E53=10),E55="AC"),LOOKUP(E84,T!$AC6:$AC27,T!$Z6:$Z27),IF(AND(E51="4D1",E53=9,E55="AC"),LOOKUP(E84,T!$AC6:$AC27,T!$AA6:$AA27),IF(AND(E51="4D1",OR(E53=11,E53=12),E55="AC",E57=3),LOOKUP(E84,T!$AC13:$AC27,T!$AB13:$AB27),IF(AND(E51="4D2",OR(E53=2,E53=4,E53=6,E53=8),E55="DC"),LOOKUP(E84,T!$X33:$X50,T!$U33:$U50),IF(AND(E51="4D2",OR(E53=2,E53=4,E53=6,E53=8),E55="AC"),LOOKUP(E84,T!$X33:$X50,T!$V33:$V50),IF(AND(E51="4D2",OR(E53=3,E53=5,E53=7,E53=9),E55="AC"),LOOKUP(E84,T!$X33:$X50,T!$W33:$W50),IF(AND(E51="4D3",OR(E53=2,E53=4,E53=7,E53=8),E55="DC"),LOOKUP(E84,T!$AA56:$AA68,T!$U56:$U68),IF(AND(E51="4D3",OR(E53=2,E53=4),E55="AC"),LOOKUP(E84,T!$AA56:$AA68,T!$V56:$V68),IF(AND(E51="4D3",OR(E53=9,E53=10),E55="AC"),LOOKUP(E84,T!$AA56:$AA$68,T!$W56:$W68),IF(AND(E51="4D3",E53=6,E55="AC"),LOOKUP(E84,T!$AA56:$AA68,T!$X56:$X68),IF(AND(E51="4D3",OR(E53=3,E53=5),E55="AC"),LOOKUP(E84,T!$AA56:$AA68,T!$Y56:$Y68),IF(AND(E51="4D3",OR(E53=11,E53=12),E55="AC"),LOOKUP(E84,T!$AA56:$AA68,T!$Z56:$Z68),IF(AND(E51="4D4",OR(E53=2,E53=4,E53=6),E55="DC"),LOOKUP(E84,T!$X74:$X90,T!$U74:$U90),IF(AND(E51="4D4",OR(E53=2,E53=4,E53=6),E55="AC"),LOOKUP(E84,T!$X74:$X90,T!$V74:$V90),IF(AND(E51="4D4",OR(E53=3,E53=5,E53=7),E55="AC"),LOOKUP(E84,T!$X74:$X90,T!$W74:$W90),IF(AND(E51="4D5",AND(E53&gt;=2,E53&lt;=7)),LOOKUP(E84,T!$I96:$I102,T!$H96:$H102),0))))))))))))))))))))),IF(ISNUMBER(SEARCH("4E",E51)),IF(AND(E51="4E1",OR(E53=2,E53=4,E53=6,E53=8,E53=11),E55="DC"),LOOKUP(E84,T!$AC108:$AC129,T!$U108:$U129),IF(AND(E51="4E1",OR(E53=2,E53=4),E55="AC"),LOOKUP(E84,T!$AC108:$AC129,T!$V108:$V129),IF(AND(E51="4E1",OR(E53=6,E53=8),E55="AC"),LOOKUP(E84,T!$AC108:$AC129,T!$W108:$W129),IF(AND(E51="4E1",OR(E53=11,E53=12),E55="AC",E57=1),LOOKUP(E84,T!$AC108:$AC127,T!$X108:$X129),IF(AND(E51="4E1",OR(E53=3,E53=5),E55="AC"),LOOKUP(E84,T!$AC108:$AC129,T!$Y108:$Y129),IF(AND(E51="4E1",OR(E53=7,E53=10),E55="AC"),LOOKUP(E84,T!$AC108:$AC129,T!$Z108:$Z129),IF(AND(E51="4E1",E53=9,E55="AC"),LOOKUP(E84,T!$AC115:$AC129,T!$AA115:$AA129),IF(AND(E51="4E1",OR(E53=11,E53=12),E55="AC",E57=3),LOOKUP(E84,T!$AC115:$AC129,T!$AB115:$AB129),IF(AND(E51="4E2",OR(E53=2,E53=4,E53=6,E53=8),E55="DC"),LOOKUP(E84,T!$X134:$X152,T!$U134:$U152),IF(AND(E51="4E2",OR(E53=2,E53=4,E53=6,E53=8),E55="AC"),LOOKUP(E84,T!$X134:$X152,T!$V134:$V152),IF(AND(E51="4E2",OR(E53=3,E53=5,E53=7,E53=9),E55="AC"),LOOKUP(E84,T!$X134:$X152,T!$W134:$W152),IF(AND(E51="4E3",OR(E53=2,E53=4,E53=7,E53=8),E55="DC"),LOOKUP(E84,T!$AA158:$AA170,T!$U158:$U170),IF(AND(E51="4E3",OR(E53=2,E53=4),E55="AC"),LOOKUP(E84,T!$AA158:$AA170,T!$V158:$V170),IF(AND(E51="4E3",OR(E53=9,E53=10),E55="AC"),LOOKUP(E84,T!$AA158:$AA170,T!$W158:$W170),IF(AND(E51="4E3",E53=6,E55="AC"),LOOKUP(E84,T!$AA158:$AA170,T!$X158:$X170),IF(AND(E51="4E3",OR(E53=3,E53=5),E55="AC"),LOOKUP(E84,T!$AA158:$AA170,T!$Y158:$Y170),IF(AND(E51="4E3",OR(E53=11,E53=12),E55="AC"),LOOKUP(E84,T!$AA158:$AA170,T!$Z158:$Z170),IF(AND(E51="4E4",OR(E53=2,E53=4,E53=6),E55="DC"),LOOKUP(E84,T!$X176:$X192,T!$U176:$U192),IF(AND(E51="4E4",OR(E53=2,E53=4,E53=6),E55="AC"),LOOKUP(E84,T!$X176:$X192,T!$V176:$V192),IF(AND(E51="4E4",OR(E53=3,E53=5,E53=7),E55="AC"),LOOKUP(E84,T!$X176:$X192,T!$W176:$W192),0)))))))))))))))))))),IF(ISNUMBER(SEARCH("4F",E51)),IF(AND(E51="4F1",E53=2,E55="DC"),LOOKUP(E84,T!$Z198:$Z214,T!$U198:$U214),IF(AND(E51="4F1",E53=2,E55="AC"),LOOKUP(E84,T!$Z198:$Z214,T!$V198:$V214),IF(AND(E51="4F1",E53=3,E55="AC"),LOOKUP(E84,T!$Z198:$Z214,T!$W198:$W214),IF(AND(E51="4F1",E53=4,E55="DC"),LOOKUP(E84,T!$Z198:$Z214,T!$X198:$X214),IF(AND(E51="4F1",E53=4,E55="AC"),LOOKUP(E84,T!$Z198:$Z214,T!$Y198:$Y214),IF(AND(E51="4F2",E53=2,E55="DC"),LOOKUP(E84,T!$Y220:$Y236,T!$U220:$U236),IF(AND(E51="4F2",E53=2,E55="AC"),LOOKUP(E84,T!$Y220:$Y236,T!$V220:$V236),IF(AND(E51="4F2",E53=3,E55="AC"),LOOKUP(E84,T!$Y220:$Y236,T!$W220:$W236),IF(AND(E51="4F2",E53=4,E55="DC"),LOOKUP(E84,T!$Y220:$Y236,T!$X220:$X236),IF(AND(E51="4F3",E53=2),LOOKUP(E84,T!$W242:$W248,T!$U242:$U248),IF(AND(E51="4F3",E53=3,E55="AC"),LOOKUP(E84,T!$W242:$W248,T!$V242:$V248),0))))))))))),IF(ISNUMBER(SEARCH("4G",E51)),IF(AND(E51="4G1",OR(E53=2,E53=5)),LOOKUP(E84,T!$AA254:$AA269,T!$U254:$U269),IF(AND(E51="4G1",OR(E53=3,E53=6)),LOOKUP(E84,T!$AA254:$AA269,T!$X254:$X269),IF(AND(E51="4G1",OR(E53=4,E53=7)),LOOKUP(E84,T!$AA254:$AA269,T!$Y254:$Y269),IF(AND(E51="4G1",OR(E53=8,E53=9)),LOOKUP(E84,T!$AA254:$AA269,T!$Z254:$Z269),IF(AND(E51="4G2",OR(E53=2,E53=5)),LOOKUP(E84,T!$AA281:$AA296,T!$U281:$U296),IF(AND(E51="4G2",OR(E53=3,E53=6)),LOOKUP(E84,T!$AA281:$AA296,T!$X281:$X296),IF(AND(E51="4G2",OR(E53=4,E53=7)),LOOKUP(E84,T!$AA281:$AA296,T!$Y281:$Y296),IF(AND(E51="4G2",OR(E53=8,E53=9)),LOOKUP(E84,T!$AA281:$AA296,T!$Z281:$Z296),0)))))))),0)))))*E23*E69)/1000))</f>
        <v>6.2963999999999993</v>
      </c>
      <c r="F102" s="156">
        <f ca="1">IF(F29="","",IF(OR(COUNT(F19:F21)=3,COUNT(F19:F21)=1),(IF(F29="",0,IF(ISNUMBER(SEARCH("4D",F51)),IF(AND(F51="4D1",OR(F53=2,F53=4,F53=6,F53=8,F53=11),F55="DC"),LOOKUP(F84,T!$AC6:$AC27,T!$U6:$U27),IF(AND(F51="4D1",OR(F53=2,F53=4),F55="AC"),LOOKUP(F84,T!$AC6:$AC27,T!$V6:$V27),IF(AND(F51="4D1",OR(F53=6,F53=8),F55="AC"),LOOKUP(F84,T!$AC6:$AC27,T!$W6:$W27),IF(AND(F51="4D1",OR(F53=11,F53=12),F55="AC",F57=1),LOOKUP(F84,T!$AC6:$AC27,T!$X6:$X27),IF(AND(F51="4D1",OR(F53=3,F53=5),F55="AC"),LOOKUP(F84,T!$AC6:$AC27,T!$Y6:$Y27),IF(AND(F51="4D1",OR(F53=7,F53=10),F55="AC"),LOOKUP(F84,T!$AC6:$AC27,T!$Z6:$Z27),IF(AND(F51="4D1",F53=9,F55="AC"),LOOKUP(F84,T!$AC6:$AC27,T!$AA6:$AA27),IF(AND(F51="4D1",OR(F53=11,F53=12),F55="AC",F57=3),LOOKUP(F84,T!$AC13:$AC27,T!$AB13:$AB27),IF(AND(F51="4D2",OR(F53=2,F53=4,F53=6,F53=8),F55="DC"),LOOKUP(F84,T!$X33:$X50,T!$U33:$U50),IF(AND(F51="4D2",OR(F53=2,F53=4,F53=6,F53=8),F55="AC"),LOOKUP(F84,T!$X33:$X50,T!$V33:$V50),IF(AND(F51="4D2",OR(F53=3,F53=5,F53=7,F53=9),F55="AC"),LOOKUP(F84,T!$X33:$X50,T!$W33:$W50),IF(AND(F51="4D3",OR(F53=2,F53=4,F53=7,F53=8),F55="DC"),LOOKUP(F84,T!$AA56:$AA68,T!$U56:$U68),IF(AND(F51="4D3",OR(F53=2,F53=4),F55="AC"),LOOKUP(F84,T!$AA56:$AA68,T!$V56:$V68),IF(AND(F51="4D3",OR(F53=9,F53=10),F55="AC"),LOOKUP(F84,T!$AA56:$AA$68,T!$W56:$W68),IF(AND(F51="4D3",F53=6,F55="AC"),LOOKUP(F84,T!$AA56:$AA68,T!$X56:$X68),IF(AND(F51="4D3",OR(F53=3,F53=5),F55="AC"),LOOKUP(F84,T!$AA56:$AA68,T!$Y56:$Y68),IF(AND(F51="4D3",OR(F53=11,F53=12),F55="AC"),LOOKUP(F84,T!$AA56:$AA68,T!$Z56:$Z68),IF(AND(F51="4D4",OR(F53=2,F53=4,F53=6),F55="DC"),LOOKUP(F84,T!$X74:$X90,T!$U74:$U90),IF(AND(F51="4D4",OR(F53=2,F53=4,F53=6),F55="AC"),LOOKUP(F84,T!$X74:$X90,T!$V74:$V90),IF(AND(F51="4D4",OR(F53=3,F53=5,F53=7),F55="AC"),LOOKUP(F84,T!$X74:$X90,T!$W74:$W90),IF(AND(F51="4D5",AND(F53&gt;=2,F53&lt;=7)),LOOKUP(F84,T!$I96:$I102,T!$H96:$H102),0))))))))))))))))))))),IF(ISNUMBER(SEARCH("4E",F51)),IF(AND(F51="4E1",OR(F53=2,F53=4,F53=6,F53=8,F53=11),F55="DC"),LOOKUP(F84,T!$AC108:$AC129,T!$U108:$U129),IF(AND(F51="4E1",OR(F53=2,F53=4),F55="AC"),LOOKUP(F84,T!$AC108:$AC129,T!$V108:$V129),IF(AND(F51="4E1",OR(F53=6,F53=8),F55="AC"),LOOKUP(F84,T!$AC108:$AC129,T!$W108:$W129),IF(AND(F51="4E1",OR(F53=11,F53=12),F55="AC",F57=1),LOOKUP(F84,T!$AC108:$AC127,T!$X108:$X129),IF(AND(F51="4E1",OR(F53=3,F53=5),F55="AC"),LOOKUP(F84,T!$AC108:$AC129,T!$Y108:$Y129),IF(AND(F51="4E1",OR(F53=7,F53=10),F55="AC"),LOOKUP(F84,T!$AC108:$AC129,T!$Z108:$Z129),IF(AND(F51="4E1",F53=9,F55="AC"),LOOKUP(F84,T!$AC115:$AC129,T!$AA115:$AA129),IF(AND(F51="4E1",OR(F53=11,F53=12),F55="AC",F57=3),LOOKUP(F84,T!$AC115:$AC129,T!$AB115:$AB129),IF(AND(F51="4E2",OR(F53=2,F53=4,F53=6,F53=8),F55="DC"),LOOKUP(F84,T!$X134:$X152,T!$U134:$U152),IF(AND(F51="4E2",OR(F53=2,F53=4,F53=6,F53=8),F55="AC"),LOOKUP(F84,T!$X134:$X152,T!$V134:$V152),IF(AND(F51="4E2",OR(F53=3,F53=5,F53=7,F53=9),F55="AC"),LOOKUP(F84,T!$X134:$X152,T!$W134:$W152),IF(AND(F51="4E3",OR(F53=2,F53=4,F53=7,F53=8),F55="DC"),LOOKUP(F84,T!$AA158:$AA170,T!$U158:$U170),IF(AND(F51="4E3",OR(F53=2,F53=4),F55="AC"),LOOKUP(F84,T!$AA158:$AA170,T!$V158:$V170),IF(AND(F51="4E3",OR(F53=9,F53=10),F55="AC"),LOOKUP(F84,T!$AA158:$AA170,T!$W158:$W170),IF(AND(F51="4E3",F53=6,F55="AC"),LOOKUP(F84,T!$AA158:$AA170,T!$X158:$X170),IF(AND(F51="4E3",OR(F53=3,F53=5),F55="AC"),LOOKUP(F84,T!$AA158:$AA170,T!$Y158:$Y170),IF(AND(F51="4E3",OR(F53=11,F53=12),F55="AC"),LOOKUP(F84,T!$AA158:$AA170,T!$Z158:$Z170),IF(AND(F51="4E4",OR(F53=2,F53=4,F53=6),F55="DC"),LOOKUP(F84,T!$X176:$X192,T!$U176:$U192),IF(AND(F51="4E4",OR(F53=2,F53=4,F53=6),F55="AC"),LOOKUP(F84,T!$X176:$X192,T!$V176:$V192),IF(AND(F51="4E4",OR(F53=3,F53=5,F53=7),F55="AC"),LOOKUP(F84,T!$X176:$X192,T!$W176:$W192),0)))))))))))))))))))),IF(ISNUMBER(SEARCH("4F",F51)),IF(AND(F51="4F1",F53=2,F55="DC"),LOOKUP(F84,T!$Z198:$Z214,T!$U198:$U214),IF(AND(F51="4F1",F53=2,F55="AC"),LOOKUP(F84,T!$Z198:$Z214,T!$V198:$V214),IF(AND(F51="4F1",F53=3,F55="AC"),LOOKUP(F84,T!$Z198:$Z214,T!$W198:$W214),IF(AND(F51="4F1",F53=4,F55="DC"),LOOKUP(F84,T!$Z198:$Z214,T!$X198:$X214),IF(AND(F51="4F1",F53=4,F55="AC"),LOOKUP(F84,T!$Z198:$Z214,T!$Y198:$Y214),IF(AND(F51="4F2",F53=2,F55="DC"),LOOKUP(F84,T!$Y220:$Y236,T!$U220:$U236),IF(AND(F51="4F2",F53=2,F55="AC"),LOOKUP(F84,T!$Y220:$Y236,T!$V220:$V236),IF(AND(F51="4F2",F53=3,F55="AC"),LOOKUP(F84,T!$Y220:$Y236,T!$W220:$W236),IF(AND(F51="4F2",F53=4,F55="DC"),LOOKUP(F84,T!$Y220:$Y236,T!$X220:$X236),IF(AND(F51="4F3",F53=2),LOOKUP(F84,T!$W242:$W248,T!$U242:$U248),IF(AND(F51="4F3",F53=3,F55="AC"),LOOKUP(F84,T!$W242:$W248,T!$V242:$V248),0))))))))))),IF(ISNUMBER(SEARCH("4G",F51)),IF(AND(F51="4G1",OR(F53=2,F53=5)),LOOKUP(F84,T!$AA254:$AA269,T!$U254:$U269),IF(AND(F51="4G1",OR(F53=3,F53=6)),LOOKUP(F84,T!$AA254:$AA269,T!$X254:$X269),IF(AND(F51="4G1",OR(F53=4,F53=7)),LOOKUP(F84,T!$AA254:$AA269,T!$Y254:$Y269),IF(AND(F51="4G1",OR(F53=8,F53=9)),LOOKUP(F84,T!$AA254:$AA269,T!$Z254:$Z269),IF(AND(F51="4G2",OR(F53=2,F53=5)),LOOKUP(F84,T!$AA281:$AA296,T!$U281:$U296),IF(AND(F51="4G2",OR(F53=3,F53=6)),LOOKUP(F84,T!$AA281:$AA296,T!$X281:$X296),IF(AND(F51="4G2",OR(F53=4,F53=7)),LOOKUP(F84,T!$AA281:$AA296,T!$Y281:$Y296),IF(AND(F51="4G2",OR(F53=8,F53=9)),LOOKUP(F84,T!$AA281:$AA296,T!$Z281:$Z296),0)))))))),0)))))*F23*F69)/1000))</f>
        <v>4.1785199999999998</v>
      </c>
      <c r="G102" s="156">
        <f ca="1">IF(G29="","",IF(OR(COUNT(G19:G21)=3,COUNT(G19:G21)=1),(IF(G29="",0,IF(ISNUMBER(SEARCH("4D",G51)),IF(AND(G51="4D1",OR(G53=2,G53=4,G53=6,G53=8,G53=11),G55="DC"),LOOKUP(G84,T!$AC6:$AC27,T!$U6:$U27),IF(AND(G51="4D1",OR(G53=2,G53=4),G55="AC"),LOOKUP(G84,T!$AC6:$AC27,T!$V6:$V27),IF(AND(G51="4D1",OR(G53=6,G53=8),G55="AC"),LOOKUP(G84,T!$AC6:$AC27,T!$W6:$W27),IF(AND(G51="4D1",OR(G53=11,G53=12),G55="AC",G57=1),LOOKUP(G84,T!$AC6:$AC27,T!$X6:$X27),IF(AND(G51="4D1",OR(G53=3,G53=5),G55="AC"),LOOKUP(G84,T!$AC6:$AC27,T!$Y6:$Y27),IF(AND(G51="4D1",OR(G53=7,G53=10),G55="AC"),LOOKUP(G84,T!$AC6:$AC27,T!$Z6:$Z27),IF(AND(G51="4D1",G53=9,G55="AC"),LOOKUP(G84,T!$AC6:$AC27,T!$AA6:$AA27),IF(AND(G51="4D1",OR(G53=11,G53=12),G55="AC",G57=3),LOOKUP(G84,T!$AC13:$AC27,T!$AB13:$AB27),IF(AND(G51="4D2",OR(G53=2,G53=4,G53=6,G53=8),G55="DC"),LOOKUP(G84,T!$X33:$X50,T!$U33:$U50),IF(AND(G51="4D2",OR(G53=2,G53=4,G53=6,G53=8),G55="AC"),LOOKUP(G84,T!$X33:$X50,T!$V33:$V50),IF(AND(G51="4D2",OR(G53=3,G53=5,G53=7,G53=9),G55="AC"),LOOKUP(G84,T!$X33:$X50,T!$W33:$W50),IF(AND(G51="4D3",OR(G53=2,G53=4,G53=7,G53=8),G55="DC"),LOOKUP(G84,T!$AA56:$AA68,T!$U56:$U68),IF(AND(G51="4D3",OR(G53=2,G53=4),G55="AC"),LOOKUP(G84,T!$AA56:$AA68,T!$V56:$V68),IF(AND(G51="4D3",OR(G53=9,G53=10),G55="AC"),LOOKUP(G84,T!$AA56:$AA$68,T!$W56:$W68),IF(AND(G51="4D3",G53=6,G55="AC"),LOOKUP(G84,T!$AA56:$AA68,T!$X56:$X68),IF(AND(G51="4D3",OR(G53=3,G53=5),G55="AC"),LOOKUP(G84,T!$AA56:$AA68,T!$Y56:$Y68),IF(AND(G51="4D3",OR(G53=11,G53=12),G55="AC"),LOOKUP(G84,T!$AA56:$AA68,T!$Z56:$Z68),IF(AND(G51="4D4",OR(G53=2,G53=4,G53=6),G55="DC"),LOOKUP(G84,T!$X74:$X90,T!$U74:$U90),IF(AND(G51="4D4",OR(G53=2,G53=4,G53=6),G55="AC"),LOOKUP(G84,T!$X74:$X90,T!$V74:$V90),IF(AND(G51="4D4",OR(G53=3,G53=5,G53=7),G55="AC"),LOOKUP(G84,T!$X74:$X90,T!$W74:$W90),IF(AND(G51="4D5",AND(G53&gt;=2,G53&lt;=7)),LOOKUP(G84,T!$I96:$I102,T!$H96:$H102),0))))))))))))))))))))),IF(ISNUMBER(SEARCH("4E",G51)),IF(AND(G51="4E1",OR(G53=2,G53=4,G53=6,G53=8,G53=11),G55="DC"),LOOKUP(G84,T!$AC108:$AC129,T!$U108:$U129),IF(AND(G51="4E1",OR(G53=2,G53=4),G55="AC"),LOOKUP(G84,T!$AC108:$AC129,T!$V108:$V129),IF(AND(G51="4E1",OR(G53=6,G53=8),G55="AC"),LOOKUP(G84,T!$AC108:$AC129,T!$W108:$W129),IF(AND(G51="4E1",OR(G53=11,G53=12),G55="AC",G57=1),LOOKUP(G84,T!$AC108:$AC127,T!$X108:$X129),IF(AND(G51="4E1",OR(G53=3,G53=5),G55="AC"),LOOKUP(G84,T!$AC108:$AC129,T!$Y108:$Y129),IF(AND(G51="4E1",OR(G53=7,G53=10),G55="AC"),LOOKUP(G84,T!$AC108:$AC129,T!$Z108:$Z129),IF(AND(G51="4E1",G53=9,G55="AC"),LOOKUP(G84,T!$AC115:$AC129,T!$AA115:$AA129),IF(AND(G51="4E1",OR(G53=11,G53=12),G55="AC",G57=3),LOOKUP(G84,T!$AC115:$AC129,T!$AB115:$AB129),IF(AND(G51="4E2",OR(G53=2,G53=4,G53=6,G53=8),G55="DC"),LOOKUP(G84,T!$X134:$X152,T!$U134:$U152),IF(AND(G51="4E2",OR(G53=2,G53=4,G53=6,G53=8),G55="AC"),LOOKUP(G84,T!$X134:$X152,T!$V134:$V152),IF(AND(G51="4E2",OR(G53=3,G53=5,G53=7,G53=9),G55="AC"),LOOKUP(G84,T!$X134:$X152,T!$W134:$W152),IF(AND(G51="4E3",OR(G53=2,G53=4,G53=7,G53=8),G55="DC"),LOOKUP(G84,T!$AA158:$AA170,T!$U158:$U170),IF(AND(G51="4E3",OR(G53=2,G53=4),G55="AC"),LOOKUP(G84,T!$AA158:$AA170,T!$V158:$V170),IF(AND(G51="4E3",OR(G53=9,G53=10),G55="AC"),LOOKUP(G84,T!$AA158:$AA170,T!$W158:$W170),IF(AND(G51="4E3",G53=6,G55="AC"),LOOKUP(G84,T!$AA158:$AA170,T!$X158:$X170),IF(AND(G51="4E3",OR(G53=3,G53=5),G55="AC"),LOOKUP(G84,T!$AA158:$AA170,T!$Y158:$Y170),IF(AND(G51="4E3",OR(G53=11,G53=12),G55="AC"),LOOKUP(G84,T!$AA158:$AA170,T!$Z158:$Z170),IF(AND(G51="4E4",OR(G53=2,G53=4,G53=6),G55="DC"),LOOKUP(G84,T!$X176:$X192,T!$U176:$U192),IF(AND(G51="4E4",OR(G53=2,G53=4,G53=6),G55="AC"),LOOKUP(G84,T!$X176:$X192,T!$V176:$V192),IF(AND(G51="4E4",OR(G53=3,G53=5,G53=7),G55="AC"),LOOKUP(G84,T!$X176:$X192,T!$W176:$W192),0)))))))))))))))))))),IF(ISNUMBER(SEARCH("4F",G51)),IF(AND(G51="4F1",G53=2,G55="DC"),LOOKUP(G84,T!$Z198:$Z214,T!$U198:$U214),IF(AND(G51="4F1",G53=2,G55="AC"),LOOKUP(G84,T!$Z198:$Z214,T!$V198:$V214),IF(AND(G51="4F1",G53=3,G55="AC"),LOOKUP(G84,T!$Z198:$Z214,T!$W198:$W214),IF(AND(G51="4F1",G53=4,G55="DC"),LOOKUP(G84,T!$Z198:$Z214,T!$X198:$X214),IF(AND(G51="4F1",G53=4,G55="AC"),LOOKUP(G84,T!$Z198:$Z214,T!$Y198:$Y214),IF(AND(G51="4F2",G53=2,G55="DC"),LOOKUP(G84,T!$Y220:$Y236,T!$U220:$U236),IF(AND(G51="4F2",G53=2,G55="AC"),LOOKUP(G84,T!$Y220:$Y236,T!$V220:$V236),IF(AND(G51="4F2",G53=3,G55="AC"),LOOKUP(G84,T!$Y220:$Y236,T!$W220:$W236),IF(AND(G51="4F2",G53=4,G55="DC"),LOOKUP(G84,T!$Y220:$Y236,T!$X220:$X236),IF(AND(G51="4F3",G53=2),LOOKUP(G84,T!$W242:$W248,T!$U242:$U248),IF(AND(G51="4F3",G53=3,G55="AC"),LOOKUP(G84,T!$W242:$W248,T!$V242:$V248),0))))))))))),IF(ISNUMBER(SEARCH("4G",G51)),IF(AND(G51="4G1",OR(G53=2,G53=5)),LOOKUP(G84,T!$AA254:$AA269,T!$U254:$U269),IF(AND(G51="4G1",OR(G53=3,G53=6)),LOOKUP(G84,T!$AA254:$AA269,T!$X254:$X269),IF(AND(G51="4G1",OR(G53=4,G53=7)),LOOKUP(G84,T!$AA254:$AA269,T!$Y254:$Y269),IF(AND(G51="4G1",OR(G53=8,G53=9)),LOOKUP(G84,T!$AA254:$AA269,T!$Z254:$Z269),IF(AND(G51="4G2",OR(G53=2,G53=5)),LOOKUP(G84,T!$AA281:$AA296,T!$U281:$U296),IF(AND(G51="4G2",OR(G53=3,G53=6)),LOOKUP(G84,T!$AA281:$AA296,T!$X281:$X296),IF(AND(G51="4G2",OR(G53=4,G53=7)),LOOKUP(G84,T!$AA281:$AA296,T!$Y281:$Y296),IF(AND(G51="4G2",OR(G53=8,G53=9)),LOOKUP(G84,T!$AA281:$AA296,T!$Z281:$Z296),0)))))))),0)))))*G23*G69)/1000))</f>
        <v>2.5185599999999999</v>
      </c>
      <c r="H102" s="156">
        <f ca="1">IF(H29="","",IF(OR(COUNT(H19:H21)=3,COUNT(H19:H21)=1),(IF(H29="",0,IF(ISNUMBER(SEARCH("4D",H51)),IF(AND(H51="4D1",OR(H53=2,H53=4,H53=6,H53=8,H53=11),H55="DC"),LOOKUP(H84,T!$AC6:$AC27,T!$U6:$U27),IF(AND(H51="4D1",OR(H53=2,H53=4),H55="AC"),LOOKUP(H84,T!$AC6:$AC27,T!$V6:$V27),IF(AND(H51="4D1",OR(H53=6,H53=8),H55="AC"),LOOKUP(H84,T!$AC6:$AC27,T!$W6:$W27),IF(AND(H51="4D1",OR(H53=11,H53=12),H55="AC",H57=1),LOOKUP(H84,T!$AC6:$AC27,T!$X6:$X27),IF(AND(H51="4D1",OR(H53=3,H53=5),H55="AC"),LOOKUP(H84,T!$AC6:$AC27,T!$Y6:$Y27),IF(AND(H51="4D1",OR(H53=7,H53=10),H55="AC"),LOOKUP(H84,T!$AC6:$AC27,T!$Z6:$Z27),IF(AND(H51="4D1",H53=9,H55="AC"),LOOKUP(H84,T!$AC6:$AC27,T!$AA6:$AA27),IF(AND(H51="4D1",OR(H53=11,H53=12),H55="AC",H57=3),LOOKUP(H84,T!$AC13:$AC27,T!$AB13:$AB27),IF(AND(H51="4D2",OR(H53=2,H53=4,H53=6,H53=8),H55="DC"),LOOKUP(H84,T!$X33:$X50,T!$U33:$U50),IF(AND(H51="4D2",OR(H53=2,H53=4,H53=6,H53=8),H55="AC"),LOOKUP(H84,T!$X33:$X50,T!$V33:$V50),IF(AND(H51="4D2",OR(H53=3,H53=5,H53=7,H53=9),H55="AC"),LOOKUP(H84,T!$X33:$X50,T!$W33:$W50),IF(AND(H51="4D3",OR(H53=2,H53=4,H53=7,H53=8),H55="DC"),LOOKUP(H84,T!$AA56:$AA68,T!$U56:$U68),IF(AND(H51="4D3",OR(H53=2,H53=4),H55="AC"),LOOKUP(H84,T!$AA56:$AA68,T!$V56:$V68),IF(AND(H51="4D3",OR(H53=9,H53=10),H55="AC"),LOOKUP(H84,T!$AA56:$AA$68,T!$W56:$W68),IF(AND(H51="4D3",H53=6,H55="AC"),LOOKUP(H84,T!$AA56:$AA68,T!$X56:$X68),IF(AND(H51="4D3",OR(H53=3,H53=5),H55="AC"),LOOKUP(H84,T!$AA56:$AA68,T!$Y56:$Y68),IF(AND(H51="4D3",OR(H53=11,H53=12),H55="AC"),LOOKUP(H84,T!$AA56:$AA68,T!$Z56:$Z68),IF(AND(H51="4D4",OR(H53=2,H53=4,H53=6),H55="DC"),LOOKUP(H84,T!$X74:$X90,T!$U74:$U90),IF(AND(H51="4D4",OR(H53=2,H53=4,H53=6),H55="AC"),LOOKUP(H84,T!$X74:$X90,T!$V74:$V90),IF(AND(H51="4D4",OR(H53=3,H53=5,H53=7),H55="AC"),LOOKUP(H84,T!$X74:$X90,T!$W74:$W90),IF(AND(H51="4D5",AND(H53&gt;=2,H53&lt;=7)),LOOKUP(H84,T!$I96:$I102,T!$H96:$H102),0))))))))))))))))))))),IF(ISNUMBER(SEARCH("4E",H51)),IF(AND(H51="4E1",OR(H53=2,H53=4,H53=6,H53=8,H53=11),H55="DC"),LOOKUP(H84,T!$AC108:$AC129,T!$U108:$U129),IF(AND(H51="4E1",OR(H53=2,H53=4),H55="AC"),LOOKUP(H84,T!$AC108:$AC129,T!$V108:$V129),IF(AND(H51="4E1",OR(H53=6,H53=8),H55="AC"),LOOKUP(H84,T!$AC108:$AC129,T!$W108:$W129),IF(AND(H51="4E1",OR(H53=11,H53=12),H55="AC",H57=1),LOOKUP(H84,T!$AC108:$AC127,T!$X108:$X129),IF(AND(H51="4E1",OR(H53=3,H53=5),H55="AC"),LOOKUP(H84,T!$AC108:$AC129,T!$Y108:$Y129),IF(AND(H51="4E1",OR(H53=7,H53=10),H55="AC"),LOOKUP(H84,T!$AC108:$AC129,T!$Z108:$Z129),IF(AND(H51="4E1",H53=9,H55="AC"),LOOKUP(H84,T!$AC115:$AC129,T!$AA115:$AA129),IF(AND(H51="4E1",OR(H53=11,H53=12),H55="AC",H57=3),LOOKUP(H84,T!$AC115:$AC129,T!$AB115:$AB129),IF(AND(H51="4E2",OR(H53=2,H53=4,H53=6,H53=8),H55="DC"),LOOKUP(H84,T!$X134:$X152,T!$U134:$U152),IF(AND(H51="4E2",OR(H53=2,H53=4,H53=6,H53=8),H55="AC"),LOOKUP(H84,T!$X134:$X152,T!$V134:$V152),IF(AND(H51="4E2",OR(H53=3,H53=5,H53=7,H53=9),H55="AC"),LOOKUP(H84,T!$X134:$X152,T!$W134:$W152),IF(AND(H51="4E3",OR(H53=2,H53=4,H53=7,H53=8),H55="DC"),LOOKUP(H84,T!$AA158:$AA170,T!$U158:$U170),IF(AND(H51="4E3",OR(H53=2,H53=4),H55="AC"),LOOKUP(H84,T!$AA158:$AA170,T!$V158:$V170),IF(AND(H51="4E3",OR(H53=9,H53=10),H55="AC"),LOOKUP(H84,T!$AA158:$AA170,T!$W158:$W170),IF(AND(H51="4E3",H53=6,H55="AC"),LOOKUP(H84,T!$AA158:$AA170,T!$X158:$X170),IF(AND(H51="4E3",OR(H53=3,H53=5),H55="AC"),LOOKUP(H84,T!$AA158:$AA170,T!$Y158:$Y170),IF(AND(H51="4E3",OR(H53=11,H53=12),H55="AC"),LOOKUP(H84,T!$AA158:$AA170,T!$Z158:$Z170),IF(AND(H51="4E4",OR(H53=2,H53=4,H53=6),H55="DC"),LOOKUP(H84,T!$X176:$X192,T!$U176:$U192),IF(AND(H51="4E4",OR(H53=2,H53=4,H53=6),H55="AC"),LOOKUP(H84,T!$X176:$X192,T!$V176:$V192),IF(AND(H51="4E4",OR(H53=3,H53=5,H53=7),H55="AC"),LOOKUP(H84,T!$X176:$X192,T!$W176:$W192),0)))))))))))))))))))),IF(ISNUMBER(SEARCH("4F",H51)),IF(AND(H51="4F1",H53=2,H55="DC"),LOOKUP(H84,T!$Z198:$Z214,T!$U198:$U214),IF(AND(H51="4F1",H53=2,H55="AC"),LOOKUP(H84,T!$Z198:$Z214,T!$V198:$V214),IF(AND(H51="4F1",H53=3,H55="AC"),LOOKUP(H84,T!$Z198:$Z214,T!$W198:$W214),IF(AND(H51="4F1",H53=4,H55="DC"),LOOKUP(H84,T!$Z198:$Z214,T!$X198:$X214),IF(AND(H51="4F1",H53=4,H55="AC"),LOOKUP(H84,T!$Z198:$Z214,T!$Y198:$Y214),IF(AND(H51="4F2",H53=2,H55="DC"),LOOKUP(H84,T!$Y220:$Y236,T!$U220:$U236),IF(AND(H51="4F2",H53=2,H55="AC"),LOOKUP(H84,T!$Y220:$Y236,T!$V220:$V236),IF(AND(H51="4F2",H53=3,H55="AC"),LOOKUP(H84,T!$Y220:$Y236,T!$W220:$W236),IF(AND(H51="4F2",H53=4,H55="DC"),LOOKUP(H84,T!$Y220:$Y236,T!$X220:$X236),IF(AND(H51="4F3",H53=2),LOOKUP(H84,T!$W242:$W248,T!$U242:$U248),IF(AND(H51="4F3",H53=3,H55="AC"),LOOKUP(H84,T!$W242:$W248,T!$V242:$V248),0))))))))))),IF(ISNUMBER(SEARCH("4G",H51)),IF(AND(H51="4G1",OR(H53=2,H53=5)),LOOKUP(H84,T!$AA254:$AA269,T!$U254:$U269),IF(AND(H51="4G1",OR(H53=3,H53=6)),LOOKUP(H84,T!$AA254:$AA269,T!$X254:$X269),IF(AND(H51="4G1",OR(H53=4,H53=7)),LOOKUP(H84,T!$AA254:$AA269,T!$Y254:$Y269),IF(AND(H51="4G1",OR(H53=8,H53=9)),LOOKUP(H84,T!$AA254:$AA269,T!$Z254:$Z269),IF(AND(H51="4G2",OR(H53=2,H53=5)),LOOKUP(H84,T!$AA281:$AA296,T!$U281:$U296),IF(AND(H51="4G2",OR(H53=3,H53=6)),LOOKUP(H84,T!$AA281:$AA296,T!$X281:$X296),IF(AND(H51="4G2",OR(H53=4,H53=7)),LOOKUP(H84,T!$AA281:$AA296,T!$Y281:$Y296),IF(AND(H51="4G2",OR(H53=8,H53=9)),LOOKUP(H84,T!$AA281:$AA296,T!$Z281:$Z296),0)))))))),0)))))*H23*H69)/1000))</f>
        <v>1.6027199999999995</v>
      </c>
      <c r="I102" s="156">
        <f>IF(I29="","",IF(OR(COUNT(I19:I21)=3,COUNT(I19:I21)=1),(IF(I29="",0,IF(ISNUMBER(SEARCH("4D",I51)),IF(AND(I51="4D1",OR(I53=2,I53=4,I53=6,I53=8,I53=11),I55="DC"),LOOKUP(I84,T!$AC6:$AC27,T!$U6:$U27),IF(AND(I51="4D1",OR(I53=2,I53=4),I55="AC"),LOOKUP(I84,T!$AC6:$AC27,T!$V6:$V27),IF(AND(I51="4D1",OR(I53=6,I53=8),I55="AC"),LOOKUP(I84,T!$AC6:$AC27,T!$W6:$W27),IF(AND(I51="4D1",OR(I53=11,I53=12),I55="AC",I57=1),LOOKUP(I84,T!$AC6:$AC27,T!$X6:$X27),IF(AND(I51="4D1",OR(I53=3,I53=5),I55="AC"),LOOKUP(I84,T!$AC6:$AC27,T!$Y6:$Y27),IF(AND(I51="4D1",OR(I53=7,I53=10),I55="AC"),LOOKUP(I84,T!$AC6:$AC27,T!$Z6:$Z27),IF(AND(I51="4D1",I53=9,I55="AC"),LOOKUP(I84,T!$AC6:$AC27,T!$AA6:$AA27),IF(AND(I51="4D1",OR(I53=11,I53=12),I55="AC",I57=3),LOOKUP(I84,T!$AC13:$AC27,T!$AB13:$AB27),IF(AND(I51="4D2",OR(I53=2,I53=4,I53=6,I53=8),I55="DC"),LOOKUP(I84,T!$X33:$X50,T!$U33:$U50),IF(AND(I51="4D2",OR(I53=2,I53=4,I53=6,I53=8),I55="AC"),LOOKUP(I84,T!$X33:$X50,T!$V33:$V50),IF(AND(I51="4D2",OR(I53=3,I53=5,I53=7,I53=9),I55="AC"),LOOKUP(I84,T!$X33:$X50,T!$W33:$W50),IF(AND(I51="4D3",OR(I53=2,I53=4,I53=7,I53=8),I55="DC"),LOOKUP(I84,T!$AA56:$AA68,T!$U56:$U68),IF(AND(I51="4D3",OR(I53=2,I53=4),I55="AC"),LOOKUP(I84,T!$AA56:$AA68,T!$V56:$V68),IF(AND(I51="4D3",OR(I53=9,I53=10),I55="AC"),LOOKUP(I84,T!$AA56:$AA$68,T!$W56:$W68),IF(AND(I51="4D3",I53=6,I55="AC"),LOOKUP(I84,T!$AA56:$AA68,T!$X56:$X68),IF(AND(I51="4D3",OR(I53=3,I53=5),I55="AC"),LOOKUP(I84,T!$AA56:$AA68,T!$Y56:$Y68),IF(AND(I51="4D3",OR(I53=11,I53=12),I55="AC"),LOOKUP(I84,T!$AA56:$AA68,T!$Z56:$Z68),IF(AND(I51="4D4",OR(I53=2,I53=4,I53=6),I55="DC"),LOOKUP(I84,T!$X74:$X90,T!$U74:$U90),IF(AND(I51="4D4",OR(I53=2,I53=4,I53=6),I55="AC"),LOOKUP(I84,T!$X74:$X90,T!$V74:$V90),IF(AND(I51="4D4",OR(I53=3,I53=5,I53=7),I55="AC"),LOOKUP(I84,T!$X74:$X90,T!$W74:$W90),IF(AND(I51="4D5",AND(I53&gt;=2,I53&lt;=7)),LOOKUP(I84,T!$I96:$I102,T!$H96:$H102),0))))))))))))))))))))),IF(ISNUMBER(SEARCH("4E",I51)),IF(AND(I51="4E1",OR(I53=2,I53=4,I53=6,I53=8,I53=11),I55="DC"),LOOKUP(I84,T!$AC108:$AC129,T!$U108:$U129),IF(AND(I51="4E1",OR(I53=2,I53=4),I55="AC"),LOOKUP(I84,T!$AC108:$AC129,T!$V108:$V129),IF(AND(I51="4E1",OR(I53=6,I53=8),I55="AC"),LOOKUP(I84,T!$AC108:$AC129,T!$W108:$W129),IF(AND(I51="4E1",OR(I53=11,I53=12),I55="AC",I57=1),LOOKUP(I84,T!$AC108:$AC127,T!$X108:$X129),IF(AND(I51="4E1",OR(I53=3,I53=5),I55="AC"),LOOKUP(I84,T!$AC108:$AC129,T!$Y108:$Y129),IF(AND(I51="4E1",OR(I53=7,I53=10),I55="AC"),LOOKUP(I84,T!$AC108:$AC129,T!$Z108:$Z129),IF(AND(I51="4E1",I53=9,I55="AC"),LOOKUP(I84,T!$AC115:$AC129,T!$AA115:$AA129),IF(AND(I51="4E1",OR(I53=11,I53=12),I55="AC",I57=3),LOOKUP(I84,T!$AC115:$AC129,T!$AB115:$AB129),IF(AND(I51="4E2",OR(I53=2,I53=4,I53=6,I53=8),I55="DC"),LOOKUP(I84,T!$X134:$X152,T!$U134:$U152),IF(AND(I51="4E2",OR(I53=2,I53=4,I53=6,I53=8),I55="AC"),LOOKUP(I84,T!$X134:$X152,T!$V134:$V152),IF(AND(I51="4E2",OR(I53=3,I53=5,I53=7,I53=9),I55="AC"),LOOKUP(I84,T!$X134:$X152,T!$W134:$W152),IF(AND(I51="4E3",OR(I53=2,I53=4,I53=7,I53=8),I55="DC"),LOOKUP(I84,T!$AA158:$AA170,T!$U158:$U170),IF(AND(I51="4E3",OR(I53=2,I53=4),I55="AC"),LOOKUP(I84,T!$AA158:$AA170,T!$V158:$V170),IF(AND(I51="4E3",OR(I53=9,I53=10),I55="AC"),LOOKUP(I84,T!$AA158:$AA170,T!$W158:$W170),IF(AND(I51="4E3",I53=6,I55="AC"),LOOKUP(I84,T!$AA158:$AA170,T!$X158:$X170),IF(AND(I51="4E3",OR(I53=3,I53=5),I55="AC"),LOOKUP(I84,T!$AA158:$AA170,T!$Y158:$Y170),IF(AND(I51="4E3",OR(I53=11,I53=12),I55="AC"),LOOKUP(I84,T!$AA158:$AA170,T!$Z158:$Z170),IF(AND(I51="4E4",OR(I53=2,I53=4,I53=6),I55="DC"),LOOKUP(I84,T!$X176:$X192,T!$U176:$U192),IF(AND(I51="4E4",OR(I53=2,I53=4,I53=6),I55="AC"),LOOKUP(I84,T!$X176:$X192,T!$V176:$V192),IF(AND(I51="4E4",OR(I53=3,I53=5,I53=7),I55="AC"),LOOKUP(I84,T!$X176:$X192,T!$W176:$W192),0)))))))))))))))))))),IF(ISNUMBER(SEARCH("4F",I51)),IF(AND(I51="4F1",I53=2,I55="DC"),LOOKUP(I84,T!$Z198:$Z214,T!$U198:$U214),IF(AND(I51="4F1",I53=2,I55="AC"),LOOKUP(I84,T!$Z198:$Z214,T!$V198:$V214),IF(AND(I51="4F1",I53=3,I55="AC"),LOOKUP(I84,T!$Z198:$Z214,T!$W198:$W214),IF(AND(I51="4F1",I53=4,I55="DC"),LOOKUP(I84,T!$Z198:$Z214,T!$X198:$X214),IF(AND(I51="4F1",I53=4,I55="AC"),LOOKUP(I84,T!$Z198:$Z214,T!$Y198:$Y214),IF(AND(I51="4F2",I53=2,I55="DC"),LOOKUP(I84,T!$Y220:$Y236,T!$U220:$U236),IF(AND(I51="4F2",I53=2,I55="AC"),LOOKUP(I84,T!$Y220:$Y236,T!$V220:$V236),IF(AND(I51="4F2",I53=3,I55="AC"),LOOKUP(I84,T!$Y220:$Y236,T!$W220:$W236),IF(AND(I51="4F2",I53=4,I55="DC"),LOOKUP(I84,T!$Y220:$Y236,T!$X220:$X236),IF(AND(I51="4F3",I53=2),LOOKUP(I84,T!$W242:$W248,T!$U242:$U248),IF(AND(I51="4F3",I53=3,I55="AC"),LOOKUP(I84,T!$W242:$W248,T!$V242:$V248),0))))))))))),IF(ISNUMBER(SEARCH("4G",I51)),IF(AND(I51="4G1",OR(I53=2,I53=5)),LOOKUP(I84,T!$AA254:$AA269,T!$U254:$U269),IF(AND(I51="4G1",OR(I53=3,I53=6)),LOOKUP(I84,T!$AA254:$AA269,T!$X254:$X269),IF(AND(I51="4G1",OR(I53=4,I53=7)),LOOKUP(I84,T!$AA254:$AA269,T!$Y254:$Y269),IF(AND(I51="4G1",OR(I53=8,I53=9)),LOOKUP(I84,T!$AA254:$AA269,T!$Z254:$Z269),IF(AND(I51="4G2",OR(I53=2,I53=5)),LOOKUP(I84,T!$AA281:$AA296,T!$U281:$U296),IF(AND(I51="4G2",OR(I53=3,I53=6)),LOOKUP(I84,T!$AA281:$AA296,T!$X281:$X296),IF(AND(I51="4G2",OR(I53=4,I53=7)),LOOKUP(I84,T!$AA281:$AA296,T!$Y281:$Y296),IF(AND(I51="4G2",OR(I53=8,I53=9)),LOOKUP(I84,T!$AA281:$AA296,T!$Z281:$Z296),0)))))))),0)))))*I23*I69)/1000))</f>
        <v>0</v>
      </c>
      <c r="J102" s="156">
        <f>IF(J29="","",IF(OR(COUNT(J19:J21)=3,COUNT(J19:J21)=1),(IF(J29="",0,IF(ISNUMBER(SEARCH("4D",J51)),IF(AND(J51="4D1",OR(J53=2,J53=4,J53=6,J53=8,J53=11),J55="DC"),LOOKUP(J84,T!$AC6:$AC27,T!$U6:$U27),IF(AND(J51="4D1",OR(J53=2,J53=4),J55="AC"),LOOKUP(J84,T!$AC6:$AC27,T!$V6:$V27),IF(AND(J51="4D1",OR(J53=6,J53=8),J55="AC"),LOOKUP(J84,T!$AC6:$AC27,T!$W6:$W27),IF(AND(J51="4D1",OR(J53=11,J53=12),J55="AC",J57=1),LOOKUP(J84,T!$AC6:$AC27,T!$X6:$X27),IF(AND(J51="4D1",OR(J53=3,J53=5),J55="AC"),LOOKUP(J84,T!$AC6:$AC27,T!$Y6:$Y27),IF(AND(J51="4D1",OR(J53=7,J53=10),J55="AC"),LOOKUP(J84,T!$AC6:$AC27,T!$Z6:$Z27),IF(AND(J51="4D1",J53=9,J55="AC"),LOOKUP(J84,T!$AC6:$AC27,T!$AA6:$AA27),IF(AND(J51="4D1",OR(J53=11,J53=12),J55="AC",J57=3),LOOKUP(J84,T!$AC13:$AC27,T!$AB13:$AB27),IF(AND(J51="4D2",OR(J53=2,J53=4,J53=6,J53=8),J55="DC"),LOOKUP(J84,T!$X33:$X50,T!$U33:$U50),IF(AND(J51="4D2",OR(J53=2,J53=4,J53=6,J53=8),J55="AC"),LOOKUP(J84,T!$X33:$X50,T!$V33:$V50),IF(AND(J51="4D2",OR(J53=3,J53=5,J53=7,J53=9),J55="AC"),LOOKUP(J84,T!$X33:$X50,T!$W33:$W50),IF(AND(J51="4D3",OR(J53=2,J53=4,J53=7,J53=8),J55="DC"),LOOKUP(J84,T!$AA56:$AA68,T!$U56:$U68),IF(AND(J51="4D3",OR(J53=2,J53=4),J55="AC"),LOOKUP(J84,T!$AA56:$AA68,T!$V56:$V68),IF(AND(J51="4D3",OR(J53=9,J53=10),J55="AC"),LOOKUP(J84,T!$AA56:$AA$68,T!$W56:$W68),IF(AND(J51="4D3",J53=6,J55="AC"),LOOKUP(J84,T!$AA56:$AA68,T!$X56:$X68),IF(AND(J51="4D3",OR(J53=3,J53=5),J55="AC"),LOOKUP(J84,T!$AA56:$AA68,T!$Y56:$Y68),IF(AND(J51="4D3",OR(J53=11,J53=12),J55="AC"),LOOKUP(J84,T!$AA56:$AA68,T!$Z56:$Z68),IF(AND(J51="4D4",OR(J53=2,J53=4,J53=6),J55="DC"),LOOKUP(J84,T!$X74:$X90,T!$U74:$U90),IF(AND(J51="4D4",OR(J53=2,J53=4,J53=6),J55="AC"),LOOKUP(J84,T!$X74:$X90,T!$V74:$V90),IF(AND(J51="4D4",OR(J53=3,J53=5,J53=7),J55="AC"),LOOKUP(J84,T!$X74:$X90,T!$W74:$W90),IF(AND(J51="4D5",AND(J53&gt;=2,J53&lt;=7)),LOOKUP(J84,T!$I96:$I102,T!$H96:$H102),0))))))))))))))))))))),IF(ISNUMBER(SEARCH("4E",J51)),IF(AND(J51="4E1",OR(J53=2,J53=4,J53=6,J53=8,J53=11),J55="DC"),LOOKUP(J84,T!$AC108:$AC129,T!$U108:$U129),IF(AND(J51="4E1",OR(J53=2,J53=4),J55="AC"),LOOKUP(J84,T!$AC108:$AC129,T!$V108:$V129),IF(AND(J51="4E1",OR(J53=6,J53=8),J55="AC"),LOOKUP(J84,T!$AC108:$AC129,T!$W108:$W129),IF(AND(J51="4E1",OR(J53=11,J53=12),J55="AC",J57=1),LOOKUP(J84,T!$AC108:$AC127,T!$X108:$X129),IF(AND(J51="4E1",OR(J53=3,J53=5),J55="AC"),LOOKUP(J84,T!$AC108:$AC129,T!$Y108:$Y129),IF(AND(J51="4E1",OR(J53=7,J53=10),J55="AC"),LOOKUP(J84,T!$AC108:$AC129,T!$Z108:$Z129),IF(AND(J51="4E1",J53=9,J55="AC"),LOOKUP(J84,T!$AC115:$AC129,T!$AA115:$AA129),IF(AND(J51="4E1",OR(J53=11,J53=12),J55="AC",J57=3),LOOKUP(J84,T!$AC115:$AC129,T!$AB115:$AB129),IF(AND(J51="4E2",OR(J53=2,J53=4,J53=6,J53=8),J55="DC"),LOOKUP(J84,T!$X134:$X152,T!$U134:$U152),IF(AND(J51="4E2",OR(J53=2,J53=4,J53=6,J53=8),J55="AC"),LOOKUP(J84,T!$X134:$X152,T!$V134:$V152),IF(AND(J51="4E2",OR(J53=3,J53=5,J53=7,J53=9),J55="AC"),LOOKUP(J84,T!$X134:$X152,T!$W134:$W152),IF(AND(J51="4E3",OR(J53=2,J53=4,J53=7,J53=8),J55="DC"),LOOKUP(J84,T!$AA158:$AA170,T!$U158:$U170),IF(AND(J51="4E3",OR(J53=2,J53=4),J55="AC"),LOOKUP(J84,T!$AA158:$AA170,T!$V158:$V170),IF(AND(J51="4E3",OR(J53=9,J53=10),J55="AC"),LOOKUP(J84,T!$AA158:$AA170,T!$W158:$W170),IF(AND(J51="4E3",J53=6,J55="AC"),LOOKUP(J84,T!$AA158:$AA170,T!$X158:$X170),IF(AND(J51="4E3",OR(J53=3,J53=5),J55="AC"),LOOKUP(J84,T!$AA158:$AA170,T!$Y158:$Y170),IF(AND(J51="4E3",OR(J53=11,J53=12),J55="AC"),LOOKUP(J84,T!$AA158:$AA170,T!$Z158:$Z170),IF(AND(J51="4E4",OR(J53=2,J53=4,J53=6),J55="DC"),LOOKUP(J84,T!$X176:$X192,T!$U176:$U192),IF(AND(J51="4E4",OR(J53=2,J53=4,J53=6),J55="AC"),LOOKUP(J84,T!$X176:$X192,T!$V176:$V192),IF(AND(J51="4E4",OR(J53=3,J53=5,J53=7),J55="AC"),LOOKUP(J84,T!$X176:$X192,T!$W176:$W192),0)))))))))))))))))))),IF(ISNUMBER(SEARCH("4F",J51)),IF(AND(J51="4F1",J53=2,J55="DC"),LOOKUP(J84,T!$Z198:$Z214,T!$U198:$U214),IF(AND(J51="4F1",J53=2,J55="AC"),LOOKUP(J84,T!$Z198:$Z214,T!$V198:$V214),IF(AND(J51="4F1",J53=3,J55="AC"),LOOKUP(J84,T!$Z198:$Z214,T!$W198:$W214),IF(AND(J51="4F1",J53=4,J55="DC"),LOOKUP(J84,T!$Z198:$Z214,T!$X198:$X214),IF(AND(J51="4F1",J53=4,J55="AC"),LOOKUP(J84,T!$Z198:$Z214,T!$Y198:$Y214),IF(AND(J51="4F2",J53=2,J55="DC"),LOOKUP(J84,T!$Y220:$Y236,T!$U220:$U236),IF(AND(J51="4F2",J53=2,J55="AC"),LOOKUP(J84,T!$Y220:$Y236,T!$V220:$V236),IF(AND(J51="4F2",J53=3,J55="AC"),LOOKUP(J84,T!$Y220:$Y236,T!$W220:$W236),IF(AND(J51="4F2",J53=4,J55="DC"),LOOKUP(J84,T!$Y220:$Y236,T!$X220:$X236),IF(AND(J51="4F3",J53=2),LOOKUP(J84,T!$W242:$W248,T!$U242:$U248),IF(AND(J51="4F3",J53=3,J55="AC"),LOOKUP(J84,T!$W242:$W248,T!$V242:$V248),0))))))))))),IF(ISNUMBER(SEARCH("4G",J51)),IF(AND(J51="4G1",OR(J53=2,J53=5)),LOOKUP(J84,T!$AA254:$AA269,T!$U254:$U269),IF(AND(J51="4G1",OR(J53=3,J53=6)),LOOKUP(J84,T!$AA254:$AA269,T!$X254:$X269),IF(AND(J51="4G1",OR(J53=4,J53=7)),LOOKUP(J84,T!$AA254:$AA269,T!$Y254:$Y269),IF(AND(J51="4G1",OR(J53=8,J53=9)),LOOKUP(J84,T!$AA254:$AA269,T!$Z254:$Z269),IF(AND(J51="4G2",OR(J53=2,J53=5)),LOOKUP(J84,T!$AA281:$AA296,T!$U281:$U296),IF(AND(J51="4G2",OR(J53=3,J53=6)),LOOKUP(J84,T!$AA281:$AA296,T!$X281:$X296),IF(AND(J51="4G2",OR(J53=4,J53=7)),LOOKUP(J84,T!$AA281:$AA296,T!$Y281:$Y296),IF(AND(J51="4G2",OR(J53=8,J53=9)),LOOKUP(J84,T!$AA281:$AA296,T!$Z281:$Z296),0)))))))),0)))))*J23*J69)/1000))</f>
        <v>14.322916666666668</v>
      </c>
      <c r="K102" s="156">
        <f>IF(K29="","",IF(OR(COUNT(K19:K21)=3,COUNT(K19:K21)=1),(IF(K29="",0,IF(ISNUMBER(SEARCH("4D",K51)),IF(AND(K51="4D1",OR(K53=2,K53=4,K53=6,K53=8,K53=11),K55="DC"),LOOKUP(K84,T!$AC6:$AC27,T!$U6:$U27),IF(AND(K51="4D1",OR(K53=2,K53=4),K55="AC"),LOOKUP(K84,T!$AC6:$AC27,T!$V6:$V27),IF(AND(K51="4D1",OR(K53=6,K53=8),K55="AC"),LOOKUP(K84,T!$AC6:$AC27,T!$W6:$W27),IF(AND(K51="4D1",OR(K53=11,K53=12),K55="AC",K57=1),LOOKUP(K84,T!$AC6:$AC27,T!$X6:$X27),IF(AND(K51="4D1",OR(K53=3,K53=5),K55="AC"),LOOKUP(K84,T!$AC6:$AC27,T!$Y6:$Y27),IF(AND(K51="4D1",OR(K53=7,K53=10),K55="AC"),LOOKUP(K84,T!$AC6:$AC27,T!$Z6:$Z27),IF(AND(K51="4D1",K53=9,K55="AC"),LOOKUP(K84,T!$AC6:$AC27,T!$AA6:$AA27),IF(AND(K51="4D1",OR(K53=11,K53=12),K55="AC",K57=3),LOOKUP(K84,T!$AC13:$AC27,T!$AB13:$AB27),IF(AND(K51="4D2",OR(K53=2,K53=4,K53=6,K53=8),K55="DC"),LOOKUP(K84,T!$X33:$X50,T!$U33:$U50),IF(AND(K51="4D2",OR(K53=2,K53=4,K53=6,K53=8),K55="AC"),LOOKUP(K84,T!$X33:$X50,T!$V33:$V50),IF(AND(K51="4D2",OR(K53=3,K53=5,K53=7,K53=9),K55="AC"),LOOKUP(K84,T!$X33:$X50,T!$W33:$W50),IF(AND(K51="4D3",OR(K53=2,K53=4,K53=7,K53=8),K55="DC"),LOOKUP(K84,T!$AA56:$AA68,T!$U56:$U68),IF(AND(K51="4D3",OR(K53=2,K53=4),K55="AC"),LOOKUP(K84,T!$AA56:$AA68,T!$V56:$V68),IF(AND(K51="4D3",OR(K53=9,K53=10),K55="AC"),LOOKUP(K84,T!$AA56:$AA$68,T!$W56:$W68),IF(AND(K51="4D3",K53=6,K55="AC"),LOOKUP(K84,T!$AA56:$AA68,T!$X56:$X68),IF(AND(K51="4D3",OR(K53=3,K53=5),K55="AC"),LOOKUP(K84,T!$AA56:$AA68,T!$Y56:$Y68),IF(AND(K51="4D3",OR(K53=11,K53=12),K55="AC"),LOOKUP(K84,T!$AA56:$AA68,T!$Z56:$Z68),IF(AND(K51="4D4",OR(K53=2,K53=4,K53=6),K55="DC"),LOOKUP(K84,T!$X74:$X90,T!$U74:$U90),IF(AND(K51="4D4",OR(K53=2,K53=4,K53=6),K55="AC"),LOOKUP(K84,T!$X74:$X90,T!$V74:$V90),IF(AND(K51="4D4",OR(K53=3,K53=5,K53=7),K55="AC"),LOOKUP(K84,T!$X74:$X90,T!$W74:$W90),IF(AND(K51="4D5",AND(K53&gt;=2,K53&lt;=7)),LOOKUP(K84,T!$I96:$I102,T!$H96:$H102),0))))))))))))))))))))),IF(ISNUMBER(SEARCH("4E",K51)),IF(AND(K51="4E1",OR(K53=2,K53=4,K53=6,K53=8,K53=11),K55="DC"),LOOKUP(K84,T!$AC108:$AC129,T!$U108:$U129),IF(AND(K51="4E1",OR(K53=2,K53=4),K55="AC"),LOOKUP(K84,T!$AC108:$AC129,T!$V108:$V129),IF(AND(K51="4E1",OR(K53=6,K53=8),K55="AC"),LOOKUP(K84,T!$AC108:$AC129,T!$W108:$W129),IF(AND(K51="4E1",OR(K53=11,K53=12),K55="AC",K57=1),LOOKUP(K84,T!$AC108:$AC127,T!$X108:$X129),IF(AND(K51="4E1",OR(K53=3,K53=5),K55="AC"),LOOKUP(K84,T!$AC108:$AC129,T!$Y108:$Y129),IF(AND(K51="4E1",OR(K53=7,K53=10),K55="AC"),LOOKUP(K84,T!$AC108:$AC129,T!$Z108:$Z129),IF(AND(K51="4E1",K53=9,K55="AC"),LOOKUP(K84,T!$AC115:$AC129,T!$AA115:$AA129),IF(AND(K51="4E1",OR(K53=11,K53=12),K55="AC",K57=3),LOOKUP(K84,T!$AC115:$AC129,T!$AB115:$AB129),IF(AND(K51="4E2",OR(K53=2,K53=4,K53=6,K53=8),K55="DC"),LOOKUP(K84,T!$X134:$X152,T!$U134:$U152),IF(AND(K51="4E2",OR(K53=2,K53=4,K53=6,K53=8),K55="AC"),LOOKUP(K84,T!$X134:$X152,T!$V134:$V152),IF(AND(K51="4E2",OR(K53=3,K53=5,K53=7,K53=9),K55="AC"),LOOKUP(K84,T!$X134:$X152,T!$W134:$W152),IF(AND(K51="4E3",OR(K53=2,K53=4,K53=7,K53=8),K55="DC"),LOOKUP(K84,T!$AA158:$AA170,T!$U158:$U170),IF(AND(K51="4E3",OR(K53=2,K53=4),K55="AC"),LOOKUP(K84,T!$AA158:$AA170,T!$V158:$V170),IF(AND(K51="4E3",OR(K53=9,K53=10),K55="AC"),LOOKUP(K84,T!$AA158:$AA170,T!$W158:$W170),IF(AND(K51="4E3",K53=6,K55="AC"),LOOKUP(K84,T!$AA158:$AA170,T!$X158:$X170),IF(AND(K51="4E3",OR(K53=3,K53=5),K55="AC"),LOOKUP(K84,T!$AA158:$AA170,T!$Y158:$Y170),IF(AND(K51="4E3",OR(K53=11,K53=12),K55="AC"),LOOKUP(K84,T!$AA158:$AA170,T!$Z158:$Z170),IF(AND(K51="4E4",OR(K53=2,K53=4,K53=6),K55="DC"),LOOKUP(K84,T!$X176:$X192,T!$U176:$U192),IF(AND(K51="4E4",OR(K53=2,K53=4,K53=6),K55="AC"),LOOKUP(K84,T!$X176:$X192,T!$V176:$V192),IF(AND(K51="4E4",OR(K53=3,K53=5,K53=7),K55="AC"),LOOKUP(K84,T!$X176:$X192,T!$W176:$W192),0)))))))))))))))))))),IF(ISNUMBER(SEARCH("4F",K51)),IF(AND(K51="4F1",K53=2,K55="DC"),LOOKUP(K84,T!$Z198:$Z214,T!$U198:$U214),IF(AND(K51="4F1",K53=2,K55="AC"),LOOKUP(K84,T!$Z198:$Z214,T!$V198:$V214),IF(AND(K51="4F1",K53=3,K55="AC"),LOOKUP(K84,T!$Z198:$Z214,T!$W198:$W214),IF(AND(K51="4F1",K53=4,K55="DC"),LOOKUP(K84,T!$Z198:$Z214,T!$X198:$X214),IF(AND(K51="4F1",K53=4,K55="AC"),LOOKUP(K84,T!$Z198:$Z214,T!$Y198:$Y214),IF(AND(K51="4F2",K53=2,K55="DC"),LOOKUP(K84,T!$Y220:$Y236,T!$U220:$U236),IF(AND(K51="4F2",K53=2,K55="AC"),LOOKUP(K84,T!$Y220:$Y236,T!$V220:$V236),IF(AND(K51="4F2",K53=3,K55="AC"),LOOKUP(K84,T!$Y220:$Y236,T!$W220:$W236),IF(AND(K51="4F2",K53=4,K55="DC"),LOOKUP(K84,T!$Y220:$Y236,T!$X220:$X236),IF(AND(K51="4F3",K53=2),LOOKUP(K84,T!$W242:$W248,T!$U242:$U248),IF(AND(K51="4F3",K53=3,K55="AC"),LOOKUP(K84,T!$W242:$W248,T!$V242:$V248),0))))))))))),IF(ISNUMBER(SEARCH("4G",K51)),IF(AND(K51="4G1",OR(K53=2,K53=5)),LOOKUP(K84,T!$AA254:$AA269,T!$U254:$U269),IF(AND(K51="4G1",OR(K53=3,K53=6)),LOOKUP(K84,T!$AA254:$AA269,T!$X254:$X269),IF(AND(K51="4G1",OR(K53=4,K53=7)),LOOKUP(K84,T!$AA254:$AA269,T!$Y254:$Y269),IF(AND(K51="4G1",OR(K53=8,K53=9)),LOOKUP(K84,T!$AA254:$AA269,T!$Z254:$Z269),IF(AND(K51="4G2",OR(K53=2,K53=5)),LOOKUP(K84,T!$AA281:$AA296,T!$U281:$U296),IF(AND(K51="4G2",OR(K53=3,K53=6)),LOOKUP(K84,T!$AA281:$AA296,T!$X281:$X296),IF(AND(K51="4G2",OR(K53=4,K53=7)),LOOKUP(K84,T!$AA281:$AA296,T!$Y281:$Y296),IF(AND(K51="4G2",OR(K53=8,K53=9)),LOOKUP(K84,T!$AA281:$AA296,T!$Z281:$Z296),0)))))))),0)))))*K23*K69)/1000))</f>
        <v>3.1481999999999997</v>
      </c>
      <c r="L102" s="156">
        <f>IF(L29="","",IF(OR(COUNT(L19:L21)=3,COUNT(L19:L21)=1),(IF(L29="",0,IF(ISNUMBER(SEARCH("4D",L51)),IF(AND(L51="4D1",OR(L53=2,L53=4,L53=6,L53=8,L53=11),L55="DC"),LOOKUP(L84,T!$AC6:$AC27,T!$U6:$U27),IF(AND(L51="4D1",OR(L53=2,L53=4),L55="AC"),LOOKUP(L84,T!$AC6:$AC27,T!$V6:$V27),IF(AND(L51="4D1",OR(L53=6,L53=8),L55="AC"),LOOKUP(L84,T!$AC6:$AC27,T!$W6:$W27),IF(AND(L51="4D1",OR(L53=11,L53=12),L55="AC",L57=1),LOOKUP(L84,T!$AC6:$AC27,T!$X6:$X27),IF(AND(L51="4D1",OR(L53=3,L53=5),L55="AC"),LOOKUP(L84,T!$AC6:$AC27,T!$Y6:$Y27),IF(AND(L51="4D1",OR(L53=7,L53=10),L55="AC"),LOOKUP(L84,T!$AC6:$AC27,T!$Z6:$Z27),IF(AND(L51="4D1",L53=9,L55="AC"),LOOKUP(L84,T!$AC6:$AC27,T!$AA6:$AA27),IF(AND(L51="4D1",OR(L53=11,L53=12),L55="AC",L57=3),LOOKUP(L84,T!$AC13:$AC27,T!$AB13:$AB27),IF(AND(L51="4D2",OR(L53=2,L53=4,L53=6,L53=8),L55="DC"),LOOKUP(L84,T!$X33:$X50,T!$U33:$U50),IF(AND(L51="4D2",OR(L53=2,L53=4,L53=6,L53=8),L55="AC"),LOOKUP(L84,T!$X33:$X50,T!$V33:$V50),IF(AND(L51="4D2",OR(L53=3,L53=5,L53=7,L53=9),L55="AC"),LOOKUP(L84,T!$X33:$X50,T!$W33:$W50),IF(AND(L51="4D3",OR(L53=2,L53=4,L53=7,L53=8),L55="DC"),LOOKUP(L84,T!$AA56:$AA68,T!$U56:$U68),IF(AND(L51="4D3",OR(L53=2,L53=4),L55="AC"),LOOKUP(L84,T!$AA56:$AA68,T!$V56:$V68),IF(AND(L51="4D3",OR(L53=9,L53=10),L55="AC"),LOOKUP(L84,T!$AA56:$AA$68,T!$W56:$W68),IF(AND(L51="4D3",L53=6,L55="AC"),LOOKUP(L84,T!$AA56:$AA68,T!$X56:$X68),IF(AND(L51="4D3",OR(L53=3,L53=5),L55="AC"),LOOKUP(L84,T!$AA56:$AA68,T!$Y56:$Y68),IF(AND(L51="4D3",OR(L53=11,L53=12),L55="AC"),LOOKUP(L84,T!$AA56:$AA68,T!$Z56:$Z68),IF(AND(L51="4D4",OR(L53=2,L53=4,L53=6),L55="DC"),LOOKUP(L84,T!$X74:$X90,T!$U74:$U90),IF(AND(L51="4D4",OR(L53=2,L53=4,L53=6),L55="AC"),LOOKUP(L84,T!$X74:$X90,T!$V74:$V90),IF(AND(L51="4D4",OR(L53=3,L53=5,L53=7),L55="AC"),LOOKUP(L84,T!$X74:$X90,T!$W74:$W90),IF(AND(L51="4D5",AND(L53&gt;=2,L53&lt;=7)),LOOKUP(L84,T!$I96:$I102,T!$H96:$H102),0))))))))))))))))))))),IF(ISNUMBER(SEARCH("4E",L51)),IF(AND(L51="4E1",OR(L53=2,L53=4,L53=6,L53=8,L53=11),L55="DC"),LOOKUP(L84,T!$AC108:$AC129,T!$U108:$U129),IF(AND(L51="4E1",OR(L53=2,L53=4),L55="AC"),LOOKUP(L84,T!$AC108:$AC129,T!$V108:$V129),IF(AND(L51="4E1",OR(L53=6,L53=8),L55="AC"),LOOKUP(L84,T!$AC108:$AC129,T!$W108:$W129),IF(AND(L51="4E1",OR(L53=11,L53=12),L55="AC",L57=1),LOOKUP(L84,T!$AC108:$AC127,T!$X108:$X129),IF(AND(L51="4E1",OR(L53=3,L53=5),L55="AC"),LOOKUP(L84,T!$AC108:$AC129,T!$Y108:$Y129),IF(AND(L51="4E1",OR(L53=7,L53=10),L55="AC"),LOOKUP(L84,T!$AC108:$AC129,T!$Z108:$Z129),IF(AND(L51="4E1",L53=9,L55="AC"),LOOKUP(L84,T!$AC115:$AC129,T!$AA115:$AA129),IF(AND(L51="4E1",OR(L53=11,L53=12),L55="AC",L57=3),LOOKUP(L84,T!$AC115:$AC129,T!$AB115:$AB129),IF(AND(L51="4E2",OR(L53=2,L53=4,L53=6,L53=8),L55="DC"),LOOKUP(L84,T!$X134:$X152,T!$U134:$U152),IF(AND(L51="4E2",OR(L53=2,L53=4,L53=6,L53=8),L55="AC"),LOOKUP(L84,T!$X134:$X152,T!$V134:$V152),IF(AND(L51="4E2",OR(L53=3,L53=5,L53=7,L53=9),L55="AC"),LOOKUP(L84,T!$X134:$X152,T!$W134:$W152),IF(AND(L51="4E3",OR(L53=2,L53=4,L53=7,L53=8),L55="DC"),LOOKUP(L84,T!$AA158:$AA170,T!$U158:$U170),IF(AND(L51="4E3",OR(L53=2,L53=4),L55="AC"),LOOKUP(L84,T!$AA158:$AA170,T!$V158:$V170),IF(AND(L51="4E3",OR(L53=9,L53=10),L55="AC"),LOOKUP(L84,T!$AA158:$AA170,T!$W158:$W170),IF(AND(L51="4E3",L53=6,L55="AC"),LOOKUP(L84,T!$AA158:$AA170,T!$X158:$X170),IF(AND(L51="4E3",OR(L53=3,L53=5),L55="AC"),LOOKUP(L84,T!$AA158:$AA170,T!$Y158:$Y170),IF(AND(L51="4E3",OR(L53=11,L53=12),L55="AC"),LOOKUP(L84,T!$AA158:$AA170,T!$Z158:$Z170),IF(AND(L51="4E4",OR(L53=2,L53=4,L53=6),L55="DC"),LOOKUP(L84,T!$X176:$X192,T!$U176:$U192),IF(AND(L51="4E4",OR(L53=2,L53=4,L53=6),L55="AC"),LOOKUP(L84,T!$X176:$X192,T!$V176:$V192),IF(AND(L51="4E4",OR(L53=3,L53=5,L53=7),L55="AC"),LOOKUP(L84,T!$X176:$X192,T!$W176:$W192),0)))))))))))))))))))),IF(ISNUMBER(SEARCH("4F",L51)),IF(AND(L51="4F1",L53=2,L55="DC"),LOOKUP(L84,T!$Z198:$Z214,T!$U198:$U214),IF(AND(L51="4F1",L53=2,L55="AC"),LOOKUP(L84,T!$Z198:$Z214,T!$V198:$V214),IF(AND(L51="4F1",L53=3,L55="AC"),LOOKUP(L84,T!$Z198:$Z214,T!$W198:$W214),IF(AND(L51="4F1",L53=4,L55="DC"),LOOKUP(L84,T!$Z198:$Z214,T!$X198:$X214),IF(AND(L51="4F1",L53=4,L55="AC"),LOOKUP(L84,T!$Z198:$Z214,T!$Y198:$Y214),IF(AND(L51="4F2",L53=2,L55="DC"),LOOKUP(L84,T!$Y220:$Y236,T!$U220:$U236),IF(AND(L51="4F2",L53=2,L55="AC"),LOOKUP(L84,T!$Y220:$Y236,T!$V220:$V236),IF(AND(L51="4F2",L53=3,L55="AC"),LOOKUP(L84,T!$Y220:$Y236,T!$W220:$W236),IF(AND(L51="4F2",L53=4,L55="DC"),LOOKUP(L84,T!$Y220:$Y236,T!$X220:$X236),IF(AND(L51="4F3",L53=2),LOOKUP(L84,T!$W242:$W248,T!$U242:$U248),IF(AND(L51="4F3",L53=3,L55="AC"),LOOKUP(L84,T!$W242:$W248,T!$V242:$V248),0))))))))))),IF(ISNUMBER(SEARCH("4G",L51)),IF(AND(L51="4G1",OR(L53=2,L53=5)),LOOKUP(L84,T!$AA254:$AA269,T!$U254:$U269),IF(AND(L51="4G1",OR(L53=3,L53=6)),LOOKUP(L84,T!$AA254:$AA269,T!$X254:$X269),IF(AND(L51="4G1",OR(L53=4,L53=7)),LOOKUP(L84,T!$AA254:$AA269,T!$Y254:$Y269),IF(AND(L51="4G1",OR(L53=8,L53=9)),LOOKUP(L84,T!$AA254:$AA269,T!$Z254:$Z269),IF(AND(L51="4G2",OR(L53=2,L53=5)),LOOKUP(L84,T!$AA281:$AA296,T!$U281:$U296),IF(AND(L51="4G2",OR(L53=3,L53=6)),LOOKUP(L84,T!$AA281:$AA296,T!$X281:$X296),IF(AND(L51="4G2",OR(L53=4,L53=7)),LOOKUP(L84,T!$AA281:$AA296,T!$Y281:$Y296),IF(AND(L51="4G2",OR(L53=8,L53=9)),LOOKUP(L84,T!$AA281:$AA296,T!$Z281:$Z296),0)))))))),0)))))*L23*L69)/1000))</f>
        <v>2.0892599999999999</v>
      </c>
      <c r="M102" s="156" t="str">
        <f>IF(M29="","",IF(OR(COUNT(M19:M21)=3,COUNT(M19:M21)=1),(IF(M29="",0,IF(ISNUMBER(SEARCH("4D",M51)),IF(AND(M51="4D1",OR(M53=2,M53=4,M53=6,M53=8,M53=11),M55="DC"),LOOKUP(M84,T!$AC6:$AC27,T!$U6:$U27),IF(AND(M51="4D1",OR(M53=2,M53=4),M55="AC"),LOOKUP(M84,T!$AC6:$AC27,T!$V6:$V27),IF(AND(M51="4D1",OR(M53=6,M53=8),M55="AC"),LOOKUP(M84,T!$AC6:$AC27,T!$W6:$W27),IF(AND(M51="4D1",OR(M53=11,M53=12),M55="AC",M57=1),LOOKUP(M84,T!$AC6:$AC27,T!$X6:$X27),IF(AND(M51="4D1",OR(M53=3,M53=5),M55="AC"),LOOKUP(M84,T!$AC6:$AC27,T!$Y6:$Y27),IF(AND(M51="4D1",OR(M53=7,M53=10),M55="AC"),LOOKUP(M84,T!$AC6:$AC27,T!$Z6:$Z27),IF(AND(M51="4D1",M53=9,M55="AC"),LOOKUP(M84,T!$AC6:$AC27,T!$AA6:$AA27),IF(AND(M51="4D1",OR(M53=11,M53=12),M55="AC",M57=3),LOOKUP(M84,T!$AC13:$AC27,T!$AB13:$AB27),IF(AND(M51="4D2",OR(M53=2,M53=4,M53=6,M53=8),M55="DC"),LOOKUP(M84,T!$X33:$X50,T!$U33:$U50),IF(AND(M51="4D2",OR(M53=2,M53=4,M53=6,M53=8),M55="AC"),LOOKUP(M84,T!$X33:$X50,T!$V33:$V50),IF(AND(M51="4D2",OR(M53=3,M53=5,M53=7,M53=9),M55="AC"),LOOKUP(M84,T!$X33:$X50,T!$W33:$W50),IF(AND(M51="4D3",OR(M53=2,M53=4,M53=7,M53=8),M55="DC"),LOOKUP(M84,T!$AA56:$AA68,T!$U56:$U68),IF(AND(M51="4D3",OR(M53=2,M53=4),M55="AC"),LOOKUP(M84,T!$AA56:$AA68,T!$V56:$V68),IF(AND(M51="4D3",OR(M53=9,M53=10),M55="AC"),LOOKUP(M84,T!$AA56:$AA$68,T!$W56:$W68),IF(AND(M51="4D3",M53=6,M55="AC"),LOOKUP(M84,T!$AA56:$AA68,T!$X56:$X68),IF(AND(M51="4D3",OR(M53=3,M53=5),M55="AC"),LOOKUP(M84,T!$AA56:$AA68,T!$Y56:$Y68),IF(AND(M51="4D3",OR(M53=11,M53=12),M55="AC"),LOOKUP(M84,T!$AA56:$AA68,T!$Z56:$Z68),IF(AND(M51="4D4",OR(M53=2,M53=4,M53=6),M55="DC"),LOOKUP(M84,T!$X74:$X90,T!$U74:$U90),IF(AND(M51="4D4",OR(M53=2,M53=4,M53=6),M55="AC"),LOOKUP(M84,T!$X74:$X90,T!$V74:$V90),IF(AND(M51="4D4",OR(M53=3,M53=5,M53=7),M55="AC"),LOOKUP(M84,T!$X74:$X90,T!$W74:$W90),IF(AND(M51="4D5",AND(M53&gt;=2,M53&lt;=7)),LOOKUP(M84,T!$I96:$I102,T!$H96:$H102),0))))))))))))))))))))),IF(ISNUMBER(SEARCH("4E",M51)),IF(AND(M51="4E1",OR(M53=2,M53=4,M53=6,M53=8,M53=11),M55="DC"),LOOKUP(M84,T!$AC108:$AC129,T!$U108:$U129),IF(AND(M51="4E1",OR(M53=2,M53=4),M55="AC"),LOOKUP(M84,T!$AC108:$AC129,T!$V108:$V129),IF(AND(M51="4E1",OR(M53=6,M53=8),M55="AC"),LOOKUP(M84,T!$AC108:$AC129,T!$W108:$W129),IF(AND(M51="4E1",OR(M53=11,M53=12),M55="AC",M57=1),LOOKUP(M84,T!$AC108:$AC127,T!$X108:$X129),IF(AND(M51="4E1",OR(M53=3,M53=5),M55="AC"),LOOKUP(M84,T!$AC108:$AC129,T!$Y108:$Y129),IF(AND(M51="4E1",OR(M53=7,M53=10),M55="AC"),LOOKUP(M84,T!$AC108:$AC129,T!$Z108:$Z129),IF(AND(M51="4E1",M53=9,M55="AC"),LOOKUP(M84,T!$AC115:$AC129,T!$AA115:$AA129),IF(AND(M51="4E1",OR(M53=11,M53=12),M55="AC",M57=3),LOOKUP(M84,T!$AC115:$AC129,T!$AB115:$AB129),IF(AND(M51="4E2",OR(M53=2,M53=4,M53=6,M53=8),M55="DC"),LOOKUP(M84,T!$X134:$X152,T!$U134:$U152),IF(AND(M51="4E2",OR(M53=2,M53=4,M53=6,M53=8),M55="AC"),LOOKUP(M84,T!$X134:$X152,T!$V134:$V152),IF(AND(M51="4E2",OR(M53=3,M53=5,M53=7,M53=9),M55="AC"),LOOKUP(M84,T!$X134:$X152,T!$W134:$W152),IF(AND(M51="4E3",OR(M53=2,M53=4,M53=7,M53=8),M55="DC"),LOOKUP(M84,T!$AA158:$AA170,T!$U158:$U170),IF(AND(M51="4E3",OR(M53=2,M53=4),M55="AC"),LOOKUP(M84,T!$AA158:$AA170,T!$V158:$V170),IF(AND(M51="4E3",OR(M53=9,M53=10),M55="AC"),LOOKUP(M84,T!$AA158:$AA170,T!$W158:$W170),IF(AND(M51="4E3",M53=6,M55="AC"),LOOKUP(M84,T!$AA158:$AA170,T!$X158:$X170),IF(AND(M51="4E3",OR(M53=3,M53=5),M55="AC"),LOOKUP(M84,T!$AA158:$AA170,T!$Y158:$Y170),IF(AND(M51="4E3",OR(M53=11,M53=12),M55="AC"),LOOKUP(M84,T!$AA158:$AA170,T!$Z158:$Z170),IF(AND(M51="4E4",OR(M53=2,M53=4,M53=6),M55="DC"),LOOKUP(M84,T!$X176:$X192,T!$U176:$U192),IF(AND(M51="4E4",OR(M53=2,M53=4,M53=6),M55="AC"),LOOKUP(M84,T!$X176:$X192,T!$V176:$V192),IF(AND(M51="4E4",OR(M53=3,M53=5,M53=7),M55="AC"),LOOKUP(M84,T!$X176:$X192,T!$W176:$W192),0)))))))))))))))))))),IF(ISNUMBER(SEARCH("4F",M51)),IF(AND(M51="4F1",M53=2,M55="DC"),LOOKUP(M84,T!$Z198:$Z214,T!$U198:$U214),IF(AND(M51="4F1",M53=2,M55="AC"),LOOKUP(M84,T!$Z198:$Z214,T!$V198:$V214),IF(AND(M51="4F1",M53=3,M55="AC"),LOOKUP(M84,T!$Z198:$Z214,T!$W198:$W214),IF(AND(M51="4F1",M53=4,M55="DC"),LOOKUP(M84,T!$Z198:$Z214,T!$X198:$X214),IF(AND(M51="4F1",M53=4,M55="AC"),LOOKUP(M84,T!$Z198:$Z214,T!$Y198:$Y214),IF(AND(M51="4F2",M53=2,M55="DC"),LOOKUP(M84,T!$Y220:$Y236,T!$U220:$U236),IF(AND(M51="4F2",M53=2,M55="AC"),LOOKUP(M84,T!$Y220:$Y236,T!$V220:$V236),IF(AND(M51="4F2",M53=3,M55="AC"),LOOKUP(M84,T!$Y220:$Y236,T!$W220:$W236),IF(AND(M51="4F2",M53=4,M55="DC"),LOOKUP(M84,T!$Y220:$Y236,T!$X220:$X236),IF(AND(M51="4F3",M53=2),LOOKUP(M84,T!$W242:$W248,T!$U242:$U248),IF(AND(M51="4F3",M53=3,M55="AC"),LOOKUP(M84,T!$W242:$W248,T!$V242:$V248),0))))))))))),IF(ISNUMBER(SEARCH("4G",M51)),IF(AND(M51="4G1",OR(M53=2,M53=5)),LOOKUP(M84,T!$AA254:$AA269,T!$U254:$U269),IF(AND(M51="4G1",OR(M53=3,M53=6)),LOOKUP(M84,T!$AA254:$AA269,T!$X254:$X269),IF(AND(M51="4G1",OR(M53=4,M53=7)),LOOKUP(M84,T!$AA254:$AA269,T!$Y254:$Y269),IF(AND(M51="4G1",OR(M53=8,M53=9)),LOOKUP(M84,T!$AA254:$AA269,T!$Z254:$Z269),IF(AND(M51="4G2",OR(M53=2,M53=5)),LOOKUP(M84,T!$AA281:$AA296,T!$U281:$U296),IF(AND(M51="4G2",OR(M53=3,M53=6)),LOOKUP(M84,T!$AA281:$AA296,T!$X281:$X296),IF(AND(M51="4G2",OR(M53=4,M53=7)),LOOKUP(M84,T!$AA281:$AA296,T!$Y281:$Y296),IF(AND(M51="4G2",OR(M53=8,M53=9)),LOOKUP(M84,T!$AA281:$AA296,T!$Z281:$Z296),0)))))))),0)))))*M23*M69)/1000))</f>
        <v/>
      </c>
      <c r="N102" s="156">
        <f>IF(N29="","",IF(OR(COUNT(N19:N21)=3,COUNT(N19:N21)=1),(IF(N29="",0,IF(ISNUMBER(SEARCH("4D",N51)),IF(AND(N51="4D1",OR(N53=2,N53=4,N53=6,N53=8,N53=11),N55="DC"),LOOKUP(N84,T!$AC6:$AC27,T!$U6:$U27),IF(AND(N51="4D1",OR(N53=2,N53=4),N55="AC"),LOOKUP(N84,T!$AC6:$AC27,T!$V6:$V27),IF(AND(N51="4D1",OR(N53=6,N53=8),N55="AC"),LOOKUP(N84,T!$AC6:$AC27,T!$W6:$W27),IF(AND(N51="4D1",OR(N53=11,N53=12),N55="AC",N57=1),LOOKUP(N84,T!$AC6:$AC27,T!$X6:$X27),IF(AND(N51="4D1",OR(N53=3,N53=5),N55="AC"),LOOKUP(N84,T!$AC6:$AC27,T!$Y6:$Y27),IF(AND(N51="4D1",OR(N53=7,N53=10),N55="AC"),LOOKUP(N84,T!$AC6:$AC27,T!$Z6:$Z27),IF(AND(N51="4D1",N53=9,N55="AC"),LOOKUP(N84,T!$AC6:$AC27,T!$AA6:$AA27),IF(AND(N51="4D1",OR(N53=11,N53=12),N55="AC",N57=3),LOOKUP(N84,T!$AC13:$AC27,T!$AB13:$AB27),IF(AND(N51="4D2",OR(N53=2,N53=4,N53=6,N53=8),N55="DC"),LOOKUP(N84,T!$X33:$X50,T!$U33:$U50),IF(AND(N51="4D2",OR(N53=2,N53=4,N53=6,N53=8),N55="AC"),LOOKUP(N84,T!$X33:$X50,T!$V33:$V50),IF(AND(N51="4D2",OR(N53=3,N53=5,N53=7,N53=9),N55="AC"),LOOKUP(N84,T!$X33:$X50,T!$W33:$W50),IF(AND(N51="4D3",OR(N53=2,N53=4,N53=7,N53=8),N55="DC"),LOOKUP(N84,T!$AA56:$AA68,T!$U56:$U68),IF(AND(N51="4D3",OR(N53=2,N53=4),N55="AC"),LOOKUP(N84,T!$AA56:$AA68,T!$V56:$V68),IF(AND(N51="4D3",OR(N53=9,N53=10),N55="AC"),LOOKUP(N84,T!$AA56:$AA$68,T!$W56:$W68),IF(AND(N51="4D3",N53=6,N55="AC"),LOOKUP(N84,T!$AA56:$AA68,T!$X56:$X68),IF(AND(N51="4D3",OR(N53=3,N53=5),N55="AC"),LOOKUP(N84,T!$AA56:$AA68,T!$Y56:$Y68),IF(AND(N51="4D3",OR(N53=11,N53=12),N55="AC"),LOOKUP(N84,T!$AA56:$AA68,T!$Z56:$Z68),IF(AND(N51="4D4",OR(N53=2,N53=4,N53=6),N55="DC"),LOOKUP(N84,T!$X74:$X90,T!$U74:$U90),IF(AND(N51="4D4",OR(N53=2,N53=4,N53=6),N55="AC"),LOOKUP(N84,T!$X74:$X90,T!$V74:$V90),IF(AND(N51="4D4",OR(N53=3,N53=5,N53=7),N55="AC"),LOOKUP(N84,T!$X74:$X90,T!$W74:$W90),IF(AND(N51="4D5",AND(N53&gt;=2,N53&lt;=7)),LOOKUP(N84,T!$I96:$I102,T!$H96:$H102),0))))))))))))))))))))),IF(ISNUMBER(SEARCH("4E",N51)),IF(AND(N51="4E1",OR(N53=2,N53=4,N53=6,N53=8,N53=11),N55="DC"),LOOKUP(N84,T!$AC108:$AC129,T!$U108:$U129),IF(AND(N51="4E1",OR(N53=2,N53=4),N55="AC"),LOOKUP(N84,T!$AC108:$AC129,T!$V108:$V129),IF(AND(N51="4E1",OR(N53=6,N53=8),N55="AC"),LOOKUP(N84,T!$AC108:$AC129,T!$W108:$W129),IF(AND(N51="4E1",OR(N53=11,N53=12),N55="AC",N57=1),LOOKUP(N84,T!$AC108:$AC127,T!$X108:$X129),IF(AND(N51="4E1",OR(N53=3,N53=5),N55="AC"),LOOKUP(N84,T!$AC108:$AC129,T!$Y108:$Y129),IF(AND(N51="4E1",OR(N53=7,N53=10),N55="AC"),LOOKUP(N84,T!$AC108:$AC129,T!$Z108:$Z129),IF(AND(N51="4E1",N53=9,N55="AC"),LOOKUP(N84,T!$AC115:$AC129,T!$AA115:$AA129),IF(AND(N51="4E1",OR(N53=11,N53=12),N55="AC",N57=3),LOOKUP(N84,T!$AC115:$AC129,T!$AB115:$AB129),IF(AND(N51="4E2",OR(N53=2,N53=4,N53=6,N53=8),N55="DC"),LOOKUP(N84,T!$X134:$X152,T!$U134:$U152),IF(AND(N51="4E2",OR(N53=2,N53=4,N53=6,N53=8),N55="AC"),LOOKUP(N84,T!$X134:$X152,T!$V134:$V152),IF(AND(N51="4E2",OR(N53=3,N53=5,N53=7,N53=9),N55="AC"),LOOKUP(N84,T!$X134:$X152,T!$W134:$W152),IF(AND(N51="4E3",OR(N53=2,N53=4,N53=7,N53=8),N55="DC"),LOOKUP(N84,T!$AA158:$AA170,T!$U158:$U170),IF(AND(N51="4E3",OR(N53=2,N53=4),N55="AC"),LOOKUP(N84,T!$AA158:$AA170,T!$V158:$V170),IF(AND(N51="4E3",OR(N53=9,N53=10),N55="AC"),LOOKUP(N84,T!$AA158:$AA170,T!$W158:$W170),IF(AND(N51="4E3",N53=6,N55="AC"),LOOKUP(N84,T!$AA158:$AA170,T!$X158:$X170),IF(AND(N51="4E3",OR(N53=3,N53=5),N55="AC"),LOOKUP(N84,T!$AA158:$AA170,T!$Y158:$Y170),IF(AND(N51="4E3",OR(N53=11,N53=12),N55="AC"),LOOKUP(N84,T!$AA158:$AA170,T!$Z158:$Z170),IF(AND(N51="4E4",OR(N53=2,N53=4,N53=6),N55="DC"),LOOKUP(N84,T!$X176:$X192,T!$U176:$U192),IF(AND(N51="4E4",OR(N53=2,N53=4,N53=6),N55="AC"),LOOKUP(N84,T!$X176:$X192,T!$V176:$V192),IF(AND(N51="4E4",OR(N53=3,N53=5,N53=7),N55="AC"),LOOKUP(N84,T!$X176:$X192,T!$W176:$W192),0)))))))))))))))))))),IF(ISNUMBER(SEARCH("4F",N51)),IF(AND(N51="4F1",N53=2,N55="DC"),LOOKUP(N84,T!$Z198:$Z214,T!$U198:$U214),IF(AND(N51="4F1",N53=2,N55="AC"),LOOKUP(N84,T!$Z198:$Z214,T!$V198:$V214),IF(AND(N51="4F1",N53=3,N55="AC"),LOOKUP(N84,T!$Z198:$Z214,T!$W198:$W214),IF(AND(N51="4F1",N53=4,N55="DC"),LOOKUP(N84,T!$Z198:$Z214,T!$X198:$X214),IF(AND(N51="4F1",N53=4,N55="AC"),LOOKUP(N84,T!$Z198:$Z214,T!$Y198:$Y214),IF(AND(N51="4F2",N53=2,N55="DC"),LOOKUP(N84,T!$Y220:$Y236,T!$U220:$U236),IF(AND(N51="4F2",N53=2,N55="AC"),LOOKUP(N84,T!$Y220:$Y236,T!$V220:$V236),IF(AND(N51="4F2",N53=3,N55="AC"),LOOKUP(N84,T!$Y220:$Y236,T!$W220:$W236),IF(AND(N51="4F2",N53=4,N55="DC"),LOOKUP(N84,T!$Y220:$Y236,T!$X220:$X236),IF(AND(N51="4F3",N53=2),LOOKUP(N84,T!$W242:$W248,T!$U242:$U248),IF(AND(N51="4F3",N53=3,N55="AC"),LOOKUP(N84,T!$W242:$W248,T!$V242:$V248),0))))))))))),IF(ISNUMBER(SEARCH("4G",N51)),IF(AND(N51="4G1",OR(N53=2,N53=5)),LOOKUP(N84,T!$AA254:$AA269,T!$U254:$U269),IF(AND(N51="4G1",OR(N53=3,N53=6)),LOOKUP(N84,T!$AA254:$AA269,T!$X254:$X269),IF(AND(N51="4G1",OR(N53=4,N53=7)),LOOKUP(N84,T!$AA254:$AA269,T!$Y254:$Y269),IF(AND(N51="4G1",OR(N53=8,N53=9)),LOOKUP(N84,T!$AA254:$AA269,T!$Z254:$Z269),IF(AND(N51="4G2",OR(N53=2,N53=5)),LOOKUP(N84,T!$AA281:$AA296,T!$U281:$U296),IF(AND(N51="4G2",OR(N53=3,N53=6)),LOOKUP(N84,T!$AA281:$AA296,T!$X281:$X296),IF(AND(N51="4G2",OR(N53=4,N53=7)),LOOKUP(N84,T!$AA281:$AA296,T!$Y281:$Y296),IF(AND(N51="4G2",OR(N53=8,N53=9)),LOOKUP(N84,T!$AA281:$AA296,T!$Z281:$Z296),0)))))))),0)))))*N23*N69)/1000))</f>
        <v>5.0083396845365131</v>
      </c>
      <c r="O102" s="143" t="str">
        <f>IF(O$9="","",IF(L102&lt;&gt;0,"mV/A/m",""))</f>
        <v>mV/A/m</v>
      </c>
    </row>
    <row r="103" spans="1:58" s="168" customFormat="1" ht="17">
      <c r="A103" s="136" t="s">
        <v>2124</v>
      </c>
      <c r="B103" s="396"/>
      <c r="C103" s="393"/>
      <c r="D103" s="159">
        <f>IF(D29="","",IF(OR(COUNT(D19:D21)=3,COUNT(D19:D21)=1),(IF(D29="",0,IF(ISNUMBER(SEARCH("4H",D51)),IF(AND(D51="4H1",OR(D53=2,D53=4,D53=6,D53=8,D53=11),D55="DC"),LOOKUP(D84,T!$AC308:$AC321,T!$U308:$U321),IF(AND(D51="4H1",OR(D53=2,D53=4),D55="AC"),LOOKUP(D84,T!$AC308:$AC321,T!$V308:$V321),IF(AND(D51="4H1",OR(D53=6,D53=8),D55="AC"),LOOKUP(D84,T!$AC308:$AC321,T!$W308:$W321),IF(AND(D51="4H1",OR(D53=11,D53=12),D55="AC",D57=1),LOOKUP(D84,T!$AC308:$AC321,T!$X308:$X321),IF(AND(D51="4H1",OR(D53=3,D53=5),D55="AC"),LOOKUP(D84,T!$AC308:$AC321,T!$Y308:$Y321),IF(AND(D51="4H1",OR(D53=7,D53=10),D55="AC"),LOOKUP(D84,T!$AC308:$AC321,T!$Z308:$Z321),IF(AND(D51="4H1",D53=9,D55="AC"),LOOKUP(D84,T!$AC308:$AC321,T!$AA308:$AA321),IF(AND(D51="4H1",OR(D53=11,D53=12),D55="AC",D57=3),LOOKUP(D84,T!$AC308:$AC321,T!$AB308:$AB321),IF(AND(D51="4H2",OR(D53=2,D53=4,D53=6,D53=8),D55="DC"),LOOKUP(D84,T!$X327:$X337,T!$U327:$U337),IF(AND(D51="4H2",OR(D53=2,D53=4,D53=6,D53=8),D55="AC"),LOOKUP(D84,T!$X327:$X337,T!$V327:$V337),IF(AND(D51="4H2",OR(D53=3,D53=5,D53=7,D53=9),D55="AC"),LOOKUP(D84,T!$X327:$X337,T!$W327:$W337),IF(AND(D51="4H3",OR(D53=2,D53=4,D53=7,D53=8),D55="DC"),LOOKUP(D84,T!$AA343:$AA356,T!$U343:$U356),IF(AND(D51="4H3",OR(D53=2,D53=4),D55="AC"),LOOKUP(D84,T!$AA343:$AA356,T!$V343:$V356),IF(AND(D51="4H3",OR(D53=9,D53=10),D55="AC"),LOOKUP(D84,T!$AA343:$AA$356,T!$W343:$W356),IF(AND(D51="4H3",D53=6,D55="AC"),LOOKUP(D84,T!$AA343:$AA356,T!$X343:$X356),IF(AND(D51="4H3",OR(D53=3,D53=5),D55="AC"),LOOKUP(D84,T!$AA343:$AA356,T!$Y343:$Y356),IF(AND(D51="4H3",OR(D53=11,D53=12),D55="AC"),LOOKUP(D84,T!$AA343:$AA356,T!$Z343:$Z356),IF(AND(D51="4H4",OR(D53=2,D53=4,D53=6),D55="DC"),LOOKUP(D84,T!$X362:$X372,T!$U362:$U372),IF(AND(D51="4H4",OR(D53=2,D53=4,D53=6),D55="AC"),LOOKUP(D84,T!$X362:$X372,T!$V362:$V372),IF(AND(D51="4H4",OR(D53=3,D53=5,D53=7),D55="AC"),LOOKUP(D84,T!$X362:$X372,T!$W362:$W372),0)))))))))))))))))))),IF(ISNUMBER(SEARCH("4J",D51)),IF(AND(D51="4J1",OR(D53=2,D53=4,D53=6,D53=8,D53=11),D55="DC"),LOOKUP(D84,T!$AC378:$AC391,T!$U378:$U391),IF(AND(D51="4J1",OR(D53=2,D53=4),D55="AC"),LOOKUP(D84,T!$AC378:$AC391,T!$V378:$V391),IF(AND(D51="4J1",OR(D53=6,D53=8),D55="AC"),LOOKUP(D84,T!$AC378:$AC391,T!$W378:$W391),IF(AND(D51="4J1",OR(D53=11,D53=12),D55="AC",D57=1),LOOKUP(D84,T!$AC378:$AC391,T!$X378:$X391),IF(AND(D51="4J1",OR(D53=3,D53=5),D55="AC"),LOOKUP(D84,T!$AC378:$AC391,T!$Y378:$Y391),IF(AND(D51="4J1",OR(D53=7,D53=10),D55="AC"),LOOKUP(D84,T!$AC378:$AC391,T!$Z378:$Z391),IF(AND(D51="4J1",D53=9,D55="AC"),LOOKUP(D84,T!$AC378:$AC391,T!$AA378:$AA391),IF(AND(D51="4J1",OR(D53=11,D53=12),D55="AC",D57=3),LOOKUP(D84,T!$AC378:$AC391,T!$AB378:$AB391),IF(AND(D51="4J2",OR(D53=2,D53=4,D53=6,D53=8),D55="DC"),LOOKUP(D84,T!$X397:$X407,T!$U397:$U407),IF(AND(D51="4J2",OR(D53=2,D53=4,D53=6,D53=8),D55="AC"),LOOKUP(D84,T!$X397:$X407,T!$V397:$V407),IF(AND(D51="4J2",OR(D53=3,D53=5,D53=7,D53=9),D55="AC"),LOOKUP(D84,T!$X397:$X407,T!$W397:$W407),IF(AND(D51="4J3",OR(D53=2,D53=4,D53=7,D53=8),D55="DC"),LOOKUP(D84,T!$AA413:$AA426,T!$U413:$U426),IF(AND(D51="4J3",OR(D53=2,D53=4),D55="AC"),LOOKUP(D84,T!$AA413:$AA426,T!$V413:$V426),IF(AND(D51="4J3",OR(D53=9,D53=10),D55="AC"),LOOKUP(D84,T!$AA413:$AA426,T!$W413:$W426),IF(AND(D51="4J3",D53=6,D55="AC"),LOOKUP(D84,T!$AA413:$AA426,T!$X413:$X426),IF(AND(D51="4J3",OR(D53=3,D53=5),D55="AC"),LOOKUP(D84,T!$AA413:$AA426,T!$Y413:$Y426),IF(AND(D51="4J3",OR(D53=11,D53=12),D55="AC"),LOOKUP(D84,T!$AA413:$AA426,T!$Z413:$Z426),IF(AND(D51="4J4",OR(D53=2,D53=4,D53=6),D55="DC"),LOOKUP(D84,T!$X432:$X442,T!$U432:$U442),IF(AND(D51="4J4",OR(D53=2,D53=4,D53=6),D55="AC"),LOOKUP(D84,T!$X432:$X442,T!$V432:$V442),IF(AND(D51="4J4",OR(D53=3,D53=5,D53=7),D55="AC"),LOOKUP(D84,T!$X432:$X442,T!$W432:$W442),0)))))))))))))))))))),0)))*D23*D69)/1000))</f>
        <v>0</v>
      </c>
      <c r="E103" s="159">
        <f ca="1">IF(E29="","",IF(OR(COUNT(E19:E21)=3,COUNT(E19:E21)=1),(IF(E29="",0,IF(ISNUMBER(SEARCH("4H",E51)),IF(AND(E51="4H1",OR(E53=2,E53=4,E53=6,E53=8,E53=11),E55="DC"),LOOKUP(E84,T!$AC308:$AC321,T!$U308:$U321),IF(AND(E51="4H1",OR(E53=2,E53=4),E55="AC"),LOOKUP(E84,T!$AC308:$AC321,T!$V308:$V321),IF(AND(E51="4H1",OR(E53=6,E53=8),E55="AC"),LOOKUP(E84,T!$AC308:$AC321,T!$W308:$W321),IF(AND(E51="4H1",OR(E53=11,E53=12),E55="AC",E57=1),LOOKUP(E84,T!$AC308:$AC321,T!$X308:$X321),IF(AND(E51="4H1",OR(E53=3,E53=5),E55="AC"),LOOKUP(E84,T!$AC308:$AC321,T!$Y308:$Y321),IF(AND(E51="4H1",OR(E53=7,E53=10),E55="AC"),LOOKUP(E84,T!$AC308:$AC321,T!$Z308:$Z321),IF(AND(E51="4H1",E53=9,E55="AC"),LOOKUP(E84,T!$AC308:$AC321,T!$AA308:$AA321),IF(AND(E51="4H1",OR(E53=11,E53=12),E55="AC",E57=3),LOOKUP(E84,T!$AC308:$AC321,T!$AB308:$AB321),IF(AND(E51="4H2",OR(E53=2,E53=4,E53=6,E53=8),E55="DC"),LOOKUP(E84,T!$X327:$X337,T!$U327:$U337),IF(AND(E51="4H2",OR(E53=2,E53=4,E53=6,E53=8),E55="AC"),LOOKUP(E84,T!$X327:$X337,T!$V327:$V337),IF(AND(E51="4H2",OR(E53=3,E53=5,E53=7,E53=9),E55="AC"),LOOKUP(E84,T!$X327:$X337,T!$W327:$W337),IF(AND(E51="4H3",OR(E53=2,E53=4,E53=7,E53=8),E55="DC"),LOOKUP(E84,T!$AA343:$AA356,T!$U343:$U356),IF(AND(E51="4H3",OR(E53=2,E53=4),E55="AC"),LOOKUP(E84,T!$AA343:$AA356,T!$V343:$V356),IF(AND(E51="4H3",OR(E53=9,E53=10),E55="AC"),LOOKUP(E84,T!$AA343:$AA$356,T!$W343:$W356),IF(AND(E51="4H3",E53=6,E55="AC"),LOOKUP(E84,T!$AA343:$AA356,T!$X343:$X356),IF(AND(E51="4H3",OR(E53=3,E53=5),E55="AC"),LOOKUP(E84,T!$AA343:$AA356,T!$Y343:$Y356),IF(AND(E51="4H3",OR(E53=11,E53=12),E55="AC"),LOOKUP(E84,T!$AA343:$AA356,T!$Z343:$Z356),IF(AND(E51="4H4",OR(E53=2,E53=4,E53=6),E55="DC"),LOOKUP(E84,T!$X362:$X372,T!$U362:$U372),IF(AND(E51="4H4",OR(E53=2,E53=4,E53=6),E55="AC"),LOOKUP(E84,T!$X362:$X372,T!$V362:$V372),IF(AND(E51="4H4",OR(E53=3,E53=5,E53=7),E55="AC"),LOOKUP(E84,T!$X362:$X372,T!$W362:$W372),0)))))))))))))))))))),IF(ISNUMBER(SEARCH("4J",E51)),IF(AND(E51="4J1",OR(E53=2,E53=4,E53=6,E53=8,E53=11),E55="DC"),LOOKUP(E84,T!$AC378:$AC391,T!$U378:$U391),IF(AND(E51="4J1",OR(E53=2,E53=4),E55="AC"),LOOKUP(E84,T!$AC378:$AC391,T!$V378:$V391),IF(AND(E51="4J1",OR(E53=6,E53=8),E55="AC"),LOOKUP(E84,T!$AC378:$AC391,T!$W378:$W391),IF(AND(E51="4J1",OR(E53=11,E53=12),E55="AC",E57=1),LOOKUP(E84,T!$AC378:$AC391,T!$X378:$X391),IF(AND(E51="4J1",OR(E53=3,E53=5),E55="AC"),LOOKUP(E84,T!$AC378:$AC391,T!$Y378:$Y391),IF(AND(E51="4J1",OR(E53=7,E53=10),E55="AC"),LOOKUP(E84,T!$AC378:$AC391,T!$Z378:$Z391),IF(AND(E51="4J1",E53=9,E55="AC"),LOOKUP(E84,T!$AC378:$AC391,T!$AA378:$AA391),IF(AND(E51="4J1",OR(E53=11,E53=12),E55="AC",E57=3),LOOKUP(E84,T!$AC378:$AC391,T!$AB378:$AB391),IF(AND(E51="4J2",OR(E53=2,E53=4,E53=6,E53=8),E55="DC"),LOOKUP(E84,T!$X397:$X407,T!$U397:$U407),IF(AND(E51="4J2",OR(E53=2,E53=4,E53=6,E53=8),E55="AC"),LOOKUP(E84,T!$X397:$X407,T!$V397:$V407),IF(AND(E51="4J2",OR(E53=3,E53=5,E53=7,E53=9),E55="AC"),LOOKUP(E84,T!$X397:$X407,T!$W397:$W407),IF(AND(E51="4J3",OR(E53=2,E53=4,E53=7,E53=8),E55="DC"),LOOKUP(E84,T!$AA413:$AA426,T!$U413:$U426),IF(AND(E51="4J3",OR(E53=2,E53=4),E55="AC"),LOOKUP(E84,T!$AA413:$AA426,T!$V413:$V426),IF(AND(E51="4J3",OR(E53=9,E53=10),E55="AC"),LOOKUP(E84,T!$AA413:$AA426,T!$W413:$W426),IF(AND(E51="4J3",E53=6,E55="AC"),LOOKUP(E84,T!$AA413:$AA426,T!$X413:$X426),IF(AND(E51="4J3",OR(E53=3,E53=5),E55="AC"),LOOKUP(E84,T!$AA413:$AA426,T!$Y413:$Y426),IF(AND(E51="4J3",OR(E53=11,E53=12),E55="AC"),LOOKUP(E84,T!$AA413:$AA426,T!$Z413:$Z426),IF(AND(E51="4J4",OR(E53=2,E53=4,E53=6),E55="DC"),LOOKUP(E84,T!$X432:$X442,T!$U432:$U442),IF(AND(E51="4J4",OR(E53=2,E53=4,E53=6),E55="AC"),LOOKUP(E84,T!$X432:$X442,T!$V432:$V442),IF(AND(E51="4J4",OR(E53=3,E53=5,E53=7),E55="AC"),LOOKUP(E84,T!$X432:$X442,T!$W432:$W442),0)))))))))))))))))))),0)))*E23*E69)/1000))</f>
        <v>0</v>
      </c>
      <c r="F103" s="159">
        <f ca="1">IF(F29="","",IF(OR(COUNT(F19:F21)=3,COUNT(F19:F21)=1),(IF(F29="",0,IF(ISNUMBER(SEARCH("4H",F51)),IF(AND(F51="4H1",OR(F53=2,F53=4,F53=6,F53=8,F53=11),F55="DC"),LOOKUP(F84,T!$AC308:$AC321,T!$U308:$U321),IF(AND(F51="4H1",OR(F53=2,F53=4),F55="AC"),LOOKUP(F84,T!$AC308:$AC321,T!$V308:$V321),IF(AND(F51="4H1",OR(F53=6,F53=8),F55="AC"),LOOKUP(F84,T!$AC308:$AC321,T!$W308:$W321),IF(AND(F51="4H1",OR(F53=11,F53=12),F55="AC",F57=1),LOOKUP(F84,T!$AC308:$AC321,T!$X308:$X321),IF(AND(F51="4H1",OR(F53=3,F53=5),F55="AC"),LOOKUP(F84,T!$AC308:$AC321,T!$Y308:$Y321),IF(AND(F51="4H1",OR(F53=7,F53=10),F55="AC"),LOOKUP(F84,T!$AC308:$AC321,T!$Z308:$Z321),IF(AND(F51="4H1",F53=9,F55="AC"),LOOKUP(F84,T!$AC308:$AC321,T!$AA308:$AA321),IF(AND(F51="4H1",OR(F53=11,F53=12),F55="AC",F57=3),LOOKUP(F84,T!$AC308:$AC321,T!$AB308:$AB321),IF(AND(F51="4H2",OR(F53=2,F53=4,F53=6,F53=8),F55="DC"),LOOKUP(F84,T!$X327:$X337,T!$U327:$U337),IF(AND(F51="4H2",OR(F53=2,F53=4,F53=6,F53=8),F55="AC"),LOOKUP(F84,T!$X327:$X337,T!$V327:$V337),IF(AND(F51="4H2",OR(F53=3,F53=5,F53=7,F53=9),F55="AC"),LOOKUP(F84,T!$X327:$X337,T!$W327:$W337),IF(AND(F51="4H3",OR(F53=2,F53=4,F53=7,F53=8),F55="DC"),LOOKUP(F84,T!$AA343:$AA356,T!$U343:$U356),IF(AND(F51="4H3",OR(F53=2,F53=4),F55="AC"),LOOKUP(F84,T!$AA343:$AA356,T!$V343:$V356),IF(AND(F51="4H3",OR(F53=9,F53=10),F55="AC"),LOOKUP(F84,T!$AA343:$AA$356,T!$W343:$W356),IF(AND(F51="4H3",F53=6,F55="AC"),LOOKUP(F84,T!$AA343:$AA356,T!$X343:$X356),IF(AND(F51="4H3",OR(F53=3,F53=5),F55="AC"),LOOKUP(F84,T!$AA343:$AA356,T!$Y343:$Y356),IF(AND(F51="4H3",OR(F53=11,F53=12),F55="AC"),LOOKUP(F84,T!$AA343:$AA356,T!$Z343:$Z356),IF(AND(F51="4H4",OR(F53=2,F53=4,F53=6),F55="DC"),LOOKUP(F84,T!$X362:$X372,T!$U362:$U372),IF(AND(F51="4H4",OR(F53=2,F53=4,F53=6),F55="AC"),LOOKUP(F84,T!$X362:$X372,T!$V362:$V372),IF(AND(F51="4H4",OR(F53=3,F53=5,F53=7),F55="AC"),LOOKUP(F84,T!$X362:$X372,T!$W362:$W372),0)))))))))))))))))))),IF(ISNUMBER(SEARCH("4J",F51)),IF(AND(F51="4J1",OR(F53=2,F53=4,F53=6,F53=8,F53=11),F55="DC"),LOOKUP(F84,T!$AC378:$AC391,T!$U378:$U391),IF(AND(F51="4J1",OR(F53=2,F53=4),F55="AC"),LOOKUP(F84,T!$AC378:$AC391,T!$V378:$V391),IF(AND(F51="4J1",OR(F53=6,F53=8),F55="AC"),LOOKUP(F84,T!$AC378:$AC391,T!$W378:$W391),IF(AND(F51="4J1",OR(F53=11,F53=12),F55="AC",F57=1),LOOKUP(F84,T!$AC378:$AC391,T!$X378:$X391),IF(AND(F51="4J1",OR(F53=3,F53=5),F55="AC"),LOOKUP(F84,T!$AC378:$AC391,T!$Y378:$Y391),IF(AND(F51="4J1",OR(F53=7,F53=10),F55="AC"),LOOKUP(F84,T!$AC378:$AC391,T!$Z378:$Z391),IF(AND(F51="4J1",F53=9,F55="AC"),LOOKUP(F84,T!$AC378:$AC391,T!$AA378:$AA391),IF(AND(F51="4J1",OR(F53=11,F53=12),F55="AC",F57=3),LOOKUP(F84,T!$AC378:$AC391,T!$AB378:$AB391),IF(AND(F51="4J2",OR(F53=2,F53=4,F53=6,F53=8),F55="DC"),LOOKUP(F84,T!$X397:$X407,T!$U397:$U407),IF(AND(F51="4J2",OR(F53=2,F53=4,F53=6,F53=8),F55="AC"),LOOKUP(F84,T!$X397:$X407,T!$V397:$V407),IF(AND(F51="4J2",OR(F53=3,F53=5,F53=7,F53=9),F55="AC"),LOOKUP(F84,T!$X397:$X407,T!$W397:$W407),IF(AND(F51="4J3",OR(F53=2,F53=4,F53=7,F53=8),F55="DC"),LOOKUP(F84,T!$AA413:$AA426,T!$U413:$U426),IF(AND(F51="4J3",OR(F53=2,F53=4),F55="AC"),LOOKUP(F84,T!$AA413:$AA426,T!$V413:$V426),IF(AND(F51="4J3",OR(F53=9,F53=10),F55="AC"),LOOKUP(F84,T!$AA413:$AA426,T!$W413:$W426),IF(AND(F51="4J3",F53=6,F55="AC"),LOOKUP(F84,T!$AA413:$AA426,T!$X413:$X426),IF(AND(F51="4J3",OR(F53=3,F53=5),F55="AC"),LOOKUP(F84,T!$AA413:$AA426,T!$Y413:$Y426),IF(AND(F51="4J3",OR(F53=11,F53=12),F55="AC"),LOOKUP(F84,T!$AA413:$AA426,T!$Z413:$Z426),IF(AND(F51="4J4",OR(F53=2,F53=4,F53=6),F55="DC"),LOOKUP(F84,T!$X432:$X442,T!$U432:$U442),IF(AND(F51="4J4",OR(F53=2,F53=4,F53=6),F55="AC"),LOOKUP(F84,T!$X432:$X442,T!$V432:$V442),IF(AND(F51="4J4",OR(F53=3,F53=5,F53=7),F55="AC"),LOOKUP(F84,T!$X432:$X442,T!$W432:$W442),0)))))))))))))))))))),0)))*F23*F69)/1000))</f>
        <v>0</v>
      </c>
      <c r="G103" s="159">
        <f ca="1">IF(G29="","",IF(OR(COUNT(G19:G21)=3,COUNT(G19:G21)=1),(IF(G29="",0,IF(ISNUMBER(SEARCH("4H",G51)),IF(AND(G51="4H1",OR(G53=2,G53=4,G53=6,G53=8,G53=11),G55="DC"),LOOKUP(G84,T!$AC308:$AC321,T!$U308:$U321),IF(AND(G51="4H1",OR(G53=2,G53=4),G55="AC"),LOOKUP(G84,T!$AC308:$AC321,T!$V308:$V321),IF(AND(G51="4H1",OR(G53=6,G53=8),G55="AC"),LOOKUP(G84,T!$AC308:$AC321,T!$W308:$W321),IF(AND(G51="4H1",OR(G53=11,G53=12),G55="AC",G57=1),LOOKUP(G84,T!$AC308:$AC321,T!$X308:$X321),IF(AND(G51="4H1",OR(G53=3,G53=5),G55="AC"),LOOKUP(G84,T!$AC308:$AC321,T!$Y308:$Y321),IF(AND(G51="4H1",OR(G53=7,G53=10),G55="AC"),LOOKUP(G84,T!$AC308:$AC321,T!$Z308:$Z321),IF(AND(G51="4H1",G53=9,G55="AC"),LOOKUP(G84,T!$AC308:$AC321,T!$AA308:$AA321),IF(AND(G51="4H1",OR(G53=11,G53=12),G55="AC",G57=3),LOOKUP(G84,T!$AC308:$AC321,T!$AB308:$AB321),IF(AND(G51="4H2",OR(G53=2,G53=4,G53=6,G53=8),G55="DC"),LOOKUP(G84,T!$X327:$X337,T!$U327:$U337),IF(AND(G51="4H2",OR(G53=2,G53=4,G53=6,G53=8),G55="AC"),LOOKUP(G84,T!$X327:$X337,T!$V327:$V337),IF(AND(G51="4H2",OR(G53=3,G53=5,G53=7,G53=9),G55="AC"),LOOKUP(G84,T!$X327:$X337,T!$W327:$W337),IF(AND(G51="4H3",OR(G53=2,G53=4,G53=7,G53=8),G55="DC"),LOOKUP(G84,T!$AA343:$AA356,T!$U343:$U356),IF(AND(G51="4H3",OR(G53=2,G53=4),G55="AC"),LOOKUP(G84,T!$AA343:$AA356,T!$V343:$V356),IF(AND(G51="4H3",OR(G53=9,G53=10),G55="AC"),LOOKUP(G84,T!$AA343:$AA$356,T!$W343:$W356),IF(AND(G51="4H3",G53=6,G55="AC"),LOOKUP(G84,T!$AA343:$AA356,T!$X343:$X356),IF(AND(G51="4H3",OR(G53=3,G53=5),G55="AC"),LOOKUP(G84,T!$AA343:$AA356,T!$Y343:$Y356),IF(AND(G51="4H3",OR(G53=11,G53=12),G55="AC"),LOOKUP(G84,T!$AA343:$AA356,T!$Z343:$Z356),IF(AND(G51="4H4",OR(G53=2,G53=4,G53=6),G55="DC"),LOOKUP(G84,T!$X362:$X372,T!$U362:$U372),IF(AND(G51="4H4",OR(G53=2,G53=4,G53=6),G55="AC"),LOOKUP(G84,T!$X362:$X372,T!$V362:$V372),IF(AND(G51="4H4",OR(G53=3,G53=5,G53=7),G55="AC"),LOOKUP(G84,T!$X362:$X372,T!$W362:$W372),0)))))))))))))))))))),IF(ISNUMBER(SEARCH("4J",G51)),IF(AND(G51="4J1",OR(G53=2,G53=4,G53=6,G53=8,G53=11),G55="DC"),LOOKUP(G84,T!$AC378:$AC391,T!$U378:$U391),IF(AND(G51="4J1",OR(G53=2,G53=4),G55="AC"),LOOKUP(G84,T!$AC378:$AC391,T!$V378:$V391),IF(AND(G51="4J1",OR(G53=6,G53=8),G55="AC"),LOOKUP(G84,T!$AC378:$AC391,T!$W378:$W391),IF(AND(G51="4J1",OR(G53=11,G53=12),G55="AC",G57=1),LOOKUP(G84,T!$AC378:$AC391,T!$X378:$X391),IF(AND(G51="4J1",OR(G53=3,G53=5),G55="AC"),LOOKUP(G84,T!$AC378:$AC391,T!$Y378:$Y391),IF(AND(G51="4J1",OR(G53=7,G53=10),G55="AC"),LOOKUP(G84,T!$AC378:$AC391,T!$Z378:$Z391),IF(AND(G51="4J1",G53=9,G55="AC"),LOOKUP(G84,T!$AC378:$AC391,T!$AA378:$AA391),IF(AND(G51="4J1",OR(G53=11,G53=12),G55="AC",G57=3),LOOKUP(G84,T!$AC378:$AC391,T!$AB378:$AB391),IF(AND(G51="4J2",OR(G53=2,G53=4,G53=6,G53=8),G55="DC"),LOOKUP(G84,T!$X397:$X407,T!$U397:$U407),IF(AND(G51="4J2",OR(G53=2,G53=4,G53=6,G53=8),G55="AC"),LOOKUP(G84,T!$X397:$X407,T!$V397:$V407),IF(AND(G51="4J2",OR(G53=3,G53=5,G53=7,G53=9),G55="AC"),LOOKUP(G84,T!$X397:$X407,T!$W397:$W407),IF(AND(G51="4J3",OR(G53=2,G53=4,G53=7,G53=8),G55="DC"),LOOKUP(G84,T!$AA413:$AA426,T!$U413:$U426),IF(AND(G51="4J3",OR(G53=2,G53=4),G55="AC"),LOOKUP(G84,T!$AA413:$AA426,T!$V413:$V426),IF(AND(G51="4J3",OR(G53=9,G53=10),G55="AC"),LOOKUP(G84,T!$AA413:$AA426,T!$W413:$W426),IF(AND(G51="4J3",G53=6,G55="AC"),LOOKUP(G84,T!$AA413:$AA426,T!$X413:$X426),IF(AND(G51="4J3",OR(G53=3,G53=5),G55="AC"),LOOKUP(G84,T!$AA413:$AA426,T!$Y413:$Y426),IF(AND(G51="4J3",OR(G53=11,G53=12),G55="AC"),LOOKUP(G84,T!$AA413:$AA426,T!$Z413:$Z426),IF(AND(G51="4J4",OR(G53=2,G53=4,G53=6),G55="DC"),LOOKUP(G84,T!$X432:$X442,T!$U432:$U442),IF(AND(G51="4J4",OR(G53=2,G53=4,G53=6),G55="AC"),LOOKUP(G84,T!$X432:$X442,T!$V432:$V442),IF(AND(G51="4J4",OR(G53=3,G53=5,G53=7),G55="AC"),LOOKUP(G84,T!$X432:$X442,T!$W432:$W442),0)))))))))))))))))))),0)))*G23*G69)/1000))</f>
        <v>0</v>
      </c>
      <c r="H103" s="159">
        <f ca="1">IF(H29="","",IF(OR(COUNT(H19:H21)=3,COUNT(H19:H21)=1),(IF(H29="",0,IF(ISNUMBER(SEARCH("4H",H51)),IF(AND(H51="4H1",OR(H53=2,H53=4,H53=6,H53=8,H53=11),H55="DC"),LOOKUP(H84,T!$AC308:$AC321,T!$U308:$U321),IF(AND(H51="4H1",OR(H53=2,H53=4),H55="AC"),LOOKUP(H84,T!$AC308:$AC321,T!$V308:$V321),IF(AND(H51="4H1",OR(H53=6,H53=8),H55="AC"),LOOKUP(H84,T!$AC308:$AC321,T!$W308:$W321),IF(AND(H51="4H1",OR(H53=11,H53=12),H55="AC",H57=1),LOOKUP(H84,T!$AC308:$AC321,T!$X308:$X321),IF(AND(H51="4H1",OR(H53=3,H53=5),H55="AC"),LOOKUP(H84,T!$AC308:$AC321,T!$Y308:$Y321),IF(AND(H51="4H1",OR(H53=7,H53=10),H55="AC"),LOOKUP(H84,T!$AC308:$AC321,T!$Z308:$Z321),IF(AND(H51="4H1",H53=9,H55="AC"),LOOKUP(H84,T!$AC308:$AC321,T!$AA308:$AA321),IF(AND(H51="4H1",OR(H53=11,H53=12),H55="AC",H57=3),LOOKUP(H84,T!$AC308:$AC321,T!$AB308:$AB321),IF(AND(H51="4H2",OR(H53=2,H53=4,H53=6,H53=8),H55="DC"),LOOKUP(H84,T!$X327:$X337,T!$U327:$U337),IF(AND(H51="4H2",OR(H53=2,H53=4,H53=6,H53=8),H55="AC"),LOOKUP(H84,T!$X327:$X337,T!$V327:$V337),IF(AND(H51="4H2",OR(H53=3,H53=5,H53=7,H53=9),H55="AC"),LOOKUP(H84,T!$X327:$X337,T!$W327:$W337),IF(AND(H51="4H3",OR(H53=2,H53=4,H53=7,H53=8),H55="DC"),LOOKUP(H84,T!$AA343:$AA356,T!$U343:$U356),IF(AND(H51="4H3",OR(H53=2,H53=4),H55="AC"),LOOKUP(H84,T!$AA343:$AA356,T!$V343:$V356),IF(AND(H51="4H3",OR(H53=9,H53=10),H55="AC"),LOOKUP(H84,T!$AA343:$AA$356,T!$W343:$W356),IF(AND(H51="4H3",H53=6,H55="AC"),LOOKUP(H84,T!$AA343:$AA356,T!$X343:$X356),IF(AND(H51="4H3",OR(H53=3,H53=5),H55="AC"),LOOKUP(H84,T!$AA343:$AA356,T!$Y343:$Y356),IF(AND(H51="4H3",OR(H53=11,H53=12),H55="AC"),LOOKUP(H84,T!$AA343:$AA356,T!$Z343:$Z356),IF(AND(H51="4H4",OR(H53=2,H53=4,H53=6),H55="DC"),LOOKUP(H84,T!$X362:$X372,T!$U362:$U372),IF(AND(H51="4H4",OR(H53=2,H53=4,H53=6),H55="AC"),LOOKUP(H84,T!$X362:$X372,T!$V362:$V372),IF(AND(H51="4H4",OR(H53=3,H53=5,H53=7),H55="AC"),LOOKUP(H84,T!$X362:$X372,T!$W362:$W372),0)))))))))))))))))))),IF(ISNUMBER(SEARCH("4J",H51)),IF(AND(H51="4J1",OR(H53=2,H53=4,H53=6,H53=8,H53=11),H55="DC"),LOOKUP(H84,T!$AC378:$AC391,T!$U378:$U391),IF(AND(H51="4J1",OR(H53=2,H53=4),H55="AC"),LOOKUP(H84,T!$AC378:$AC391,T!$V378:$V391),IF(AND(H51="4J1",OR(H53=6,H53=8),H55="AC"),LOOKUP(H84,T!$AC378:$AC391,T!$W378:$W391),IF(AND(H51="4J1",OR(H53=11,H53=12),H55="AC",H57=1),LOOKUP(H84,T!$AC378:$AC391,T!$X378:$X391),IF(AND(H51="4J1",OR(H53=3,H53=5),H55="AC"),LOOKUP(H84,T!$AC378:$AC391,T!$Y378:$Y391),IF(AND(H51="4J1",OR(H53=7,H53=10),H55="AC"),LOOKUP(H84,T!$AC378:$AC391,T!$Z378:$Z391),IF(AND(H51="4J1",H53=9,H55="AC"),LOOKUP(H84,T!$AC378:$AC391,T!$AA378:$AA391),IF(AND(H51="4J1",OR(H53=11,H53=12),H55="AC",H57=3),LOOKUP(H84,T!$AC378:$AC391,T!$AB378:$AB391),IF(AND(H51="4J2",OR(H53=2,H53=4,H53=6,H53=8),H55="DC"),LOOKUP(H84,T!$X397:$X407,T!$U397:$U407),IF(AND(H51="4J2",OR(H53=2,H53=4,H53=6,H53=8),H55="AC"),LOOKUP(H84,T!$X397:$X407,T!$V397:$V407),IF(AND(H51="4J2",OR(H53=3,H53=5,H53=7,H53=9),H55="AC"),LOOKUP(H84,T!$X397:$X407,T!$W397:$W407),IF(AND(H51="4J3",OR(H53=2,H53=4,H53=7,H53=8),H55="DC"),LOOKUP(H84,T!$AA413:$AA426,T!$U413:$U426),IF(AND(H51="4J3",OR(H53=2,H53=4),H55="AC"),LOOKUP(H84,T!$AA413:$AA426,T!$V413:$V426),IF(AND(H51="4J3",OR(H53=9,H53=10),H55="AC"),LOOKUP(H84,T!$AA413:$AA426,T!$W413:$W426),IF(AND(H51="4J3",H53=6,H55="AC"),LOOKUP(H84,T!$AA413:$AA426,T!$X413:$X426),IF(AND(H51="4J3",OR(H53=3,H53=5),H55="AC"),LOOKUP(H84,T!$AA413:$AA426,T!$Y413:$Y426),IF(AND(H51="4J3",OR(H53=11,H53=12),H55="AC"),LOOKUP(H84,T!$AA413:$AA426,T!$Z413:$Z426),IF(AND(H51="4J4",OR(H53=2,H53=4,H53=6),H55="DC"),LOOKUP(H84,T!$X432:$X442,T!$U432:$U442),IF(AND(H51="4J4",OR(H53=2,H53=4,H53=6),H55="AC"),LOOKUP(H84,T!$X432:$X442,T!$V432:$V442),IF(AND(H51="4J4",OR(H53=3,H53=5,H53=7),H55="AC"),LOOKUP(H84,T!$X432:$X442,T!$W432:$W442),0)))))))))))))))))))),0)))*H23*H69)/1000))</f>
        <v>0</v>
      </c>
      <c r="I103" s="159">
        <f>IF(I29="","",IF(OR(COUNT(I19:I21)=3,COUNT(I19:I21)=1),(IF(I29="",0,IF(ISNUMBER(SEARCH("4H",I51)),IF(AND(I51="4H1",OR(I53=2,I53=4,I53=6,I53=8,I53=11),I55="DC"),LOOKUP(I84,T!$AC308:$AC321,T!$U308:$U321),IF(AND(I51="4H1",OR(I53=2,I53=4),I55="AC"),LOOKUP(I84,T!$AC308:$AC321,T!$V308:$V321),IF(AND(I51="4H1",OR(I53=6,I53=8),I55="AC"),LOOKUP(I84,T!$AC308:$AC321,T!$W308:$W321),IF(AND(I51="4H1",OR(I53=11,I53=12),I55="AC",I57=1),LOOKUP(I84,T!$AC308:$AC321,T!$X308:$X321),IF(AND(I51="4H1",OR(I53=3,I53=5),I55="AC"),LOOKUP(I84,T!$AC308:$AC321,T!$Y308:$Y321),IF(AND(I51="4H1",OR(I53=7,I53=10),I55="AC"),LOOKUP(I84,T!$AC308:$AC321,T!$Z308:$Z321),IF(AND(I51="4H1",I53=9,I55="AC"),LOOKUP(I84,T!$AC308:$AC321,T!$AA308:$AA321),IF(AND(I51="4H1",OR(I53=11,I53=12),I55="AC",I57=3),LOOKUP(I84,T!$AC308:$AC321,T!$AB308:$AB321),IF(AND(I51="4H2",OR(I53=2,I53=4,I53=6,I53=8),I55="DC"),LOOKUP(I84,T!$X327:$X337,T!$U327:$U337),IF(AND(I51="4H2",OR(I53=2,I53=4,I53=6,I53=8),I55="AC"),LOOKUP(I84,T!$X327:$X337,T!$V327:$V337),IF(AND(I51="4H2",OR(I53=3,I53=5,I53=7,I53=9),I55="AC"),LOOKUP(I84,T!$X327:$X337,T!$W327:$W337),IF(AND(I51="4H3",OR(I53=2,I53=4,I53=7,I53=8),I55="DC"),LOOKUP(I84,T!$AA343:$AA356,T!$U343:$U356),IF(AND(I51="4H3",OR(I53=2,I53=4),I55="AC"),LOOKUP(I84,T!$AA343:$AA356,T!$V343:$V356),IF(AND(I51="4H3",OR(I53=9,I53=10),I55="AC"),LOOKUP(I84,T!$AA343:$AA$356,T!$W343:$W356),IF(AND(I51="4H3",I53=6,I55="AC"),LOOKUP(I84,T!$AA343:$AA356,T!$X343:$X356),IF(AND(I51="4H3",OR(I53=3,I53=5),I55="AC"),LOOKUP(I84,T!$AA343:$AA356,T!$Y343:$Y356),IF(AND(I51="4H3",OR(I53=11,I53=12),I55="AC"),LOOKUP(I84,T!$AA343:$AA356,T!$Z343:$Z356),IF(AND(I51="4H4",OR(I53=2,I53=4,I53=6),I55="DC"),LOOKUP(I84,T!$X362:$X372,T!$U362:$U372),IF(AND(I51="4H4",OR(I53=2,I53=4,I53=6),I55="AC"),LOOKUP(I84,T!$X362:$X372,T!$V362:$V372),IF(AND(I51="4H4",OR(I53=3,I53=5,I53=7),I55="AC"),LOOKUP(I84,T!$X362:$X372,T!$W362:$W372),0)))))))))))))))))))),IF(ISNUMBER(SEARCH("4J",I51)),IF(AND(I51="4J1",OR(I53=2,I53=4,I53=6,I53=8,I53=11),I55="DC"),LOOKUP(I84,T!$AC378:$AC391,T!$U378:$U391),IF(AND(I51="4J1",OR(I53=2,I53=4),I55="AC"),LOOKUP(I84,T!$AC378:$AC391,T!$V378:$V391),IF(AND(I51="4J1",OR(I53=6,I53=8),I55="AC"),LOOKUP(I84,T!$AC378:$AC391,T!$W378:$W391),IF(AND(I51="4J1",OR(I53=11,I53=12),I55="AC",I57=1),LOOKUP(I84,T!$AC378:$AC391,T!$X378:$X391),IF(AND(I51="4J1",OR(I53=3,I53=5),I55="AC"),LOOKUP(I84,T!$AC378:$AC391,T!$Y378:$Y391),IF(AND(I51="4J1",OR(I53=7,I53=10),I55="AC"),LOOKUP(I84,T!$AC378:$AC391,T!$Z378:$Z391),IF(AND(I51="4J1",I53=9,I55="AC"),LOOKUP(I84,T!$AC378:$AC391,T!$AA378:$AA391),IF(AND(I51="4J1",OR(I53=11,I53=12),I55="AC",I57=3),LOOKUP(I84,T!$AC378:$AC391,T!$AB378:$AB391),IF(AND(I51="4J2",OR(I53=2,I53=4,I53=6,I53=8),I55="DC"),LOOKUP(I84,T!$X397:$X407,T!$U397:$U407),IF(AND(I51="4J2",OR(I53=2,I53=4,I53=6,I53=8),I55="AC"),LOOKUP(I84,T!$X397:$X407,T!$V397:$V407),IF(AND(I51="4J2",OR(I53=3,I53=5,I53=7,I53=9),I55="AC"),LOOKUP(I84,T!$X397:$X407,T!$W397:$W407),IF(AND(I51="4J3",OR(I53=2,I53=4,I53=7,I53=8),I55="DC"),LOOKUP(I84,T!$AA413:$AA426,T!$U413:$U426),IF(AND(I51="4J3",OR(I53=2,I53=4),I55="AC"),LOOKUP(I84,T!$AA413:$AA426,T!$V413:$V426),IF(AND(I51="4J3",OR(I53=9,I53=10),I55="AC"),LOOKUP(I84,T!$AA413:$AA426,T!$W413:$W426),IF(AND(I51="4J3",I53=6,I55="AC"),LOOKUP(I84,T!$AA413:$AA426,T!$X413:$X426),IF(AND(I51="4J3",OR(I53=3,I53=5),I55="AC"),LOOKUP(I84,T!$AA413:$AA426,T!$Y413:$Y426),IF(AND(I51="4J3",OR(I53=11,I53=12),I55="AC"),LOOKUP(I84,T!$AA413:$AA426,T!$Z413:$Z426),IF(AND(I51="4J4",OR(I53=2,I53=4,I53=6),I55="DC"),LOOKUP(I84,T!$X432:$X442,T!$U432:$U442),IF(AND(I51="4J4",OR(I53=2,I53=4,I53=6),I55="AC"),LOOKUP(I84,T!$X432:$X442,T!$V432:$V442),IF(AND(I51="4J4",OR(I53=3,I53=5,I53=7),I55="AC"),LOOKUP(I84,T!$X432:$X442,T!$W432:$W442),0)))))))))))))))))))),0)))*I23*I69)/1000))</f>
        <v>0</v>
      </c>
      <c r="J103" s="159">
        <f>IF(J29="","",IF(OR(COUNT(J19:J21)=3,COUNT(J19:J21)=1),(IF(J29="",0,IF(ISNUMBER(SEARCH("4H",J51)),IF(AND(J51="4H1",OR(J53=2,J53=4,J53=6,J53=8,J53=11),J55="DC"),LOOKUP(J84,T!$AC308:$AC321,T!$U308:$U321),IF(AND(J51="4H1",OR(J53=2,J53=4),J55="AC"),LOOKUP(J84,T!$AC308:$AC321,T!$V308:$V321),IF(AND(J51="4H1",OR(J53=6,J53=8),J55="AC"),LOOKUP(J84,T!$AC308:$AC321,T!$W308:$W321),IF(AND(J51="4H1",OR(J53=11,J53=12),J55="AC",J57=1),LOOKUP(J84,T!$AC308:$AC321,T!$X308:$X321),IF(AND(J51="4H1",OR(J53=3,J53=5),J55="AC"),LOOKUP(J84,T!$AC308:$AC321,T!$Y308:$Y321),IF(AND(J51="4H1",OR(J53=7,J53=10),J55="AC"),LOOKUP(J84,T!$AC308:$AC321,T!$Z308:$Z321),IF(AND(J51="4H1",J53=9,J55="AC"),LOOKUP(J84,T!$AC308:$AC321,T!$AA308:$AA321),IF(AND(J51="4H1",OR(J53=11,J53=12),J55="AC",J57=3),LOOKUP(J84,T!$AC308:$AC321,T!$AB308:$AB321),IF(AND(J51="4H2",OR(J53=2,J53=4,J53=6,J53=8),J55="DC"),LOOKUP(J84,T!$X327:$X337,T!$U327:$U337),IF(AND(J51="4H2",OR(J53=2,J53=4,J53=6,J53=8),J55="AC"),LOOKUP(J84,T!$X327:$X337,T!$V327:$V337),IF(AND(J51="4H2",OR(J53=3,J53=5,J53=7,J53=9),J55="AC"),LOOKUP(J84,T!$X327:$X337,T!$W327:$W337),IF(AND(J51="4H3",OR(J53=2,J53=4,J53=7,J53=8),J55="DC"),LOOKUP(J84,T!$AA343:$AA356,T!$U343:$U356),IF(AND(J51="4H3",OR(J53=2,J53=4),J55="AC"),LOOKUP(J84,T!$AA343:$AA356,T!$V343:$V356),IF(AND(J51="4H3",OR(J53=9,J53=10),J55="AC"),LOOKUP(J84,T!$AA343:$AA$356,T!$W343:$W356),IF(AND(J51="4H3",J53=6,J55="AC"),LOOKUP(J84,T!$AA343:$AA356,T!$X343:$X356),IF(AND(J51="4H3",OR(J53=3,J53=5),J55="AC"),LOOKUP(J84,T!$AA343:$AA356,T!$Y343:$Y356),IF(AND(J51="4H3",OR(J53=11,J53=12),J55="AC"),LOOKUP(J84,T!$AA343:$AA356,T!$Z343:$Z356),IF(AND(J51="4H4",OR(J53=2,J53=4,J53=6),J55="DC"),LOOKUP(J84,T!$X362:$X372,T!$U362:$U372),IF(AND(J51="4H4",OR(J53=2,J53=4,J53=6),J55="AC"),LOOKUP(J84,T!$X362:$X372,T!$V362:$V372),IF(AND(J51="4H4",OR(J53=3,J53=5,J53=7),J55="AC"),LOOKUP(J84,T!$X362:$X372,T!$W362:$W372),0)))))))))))))))))))),IF(ISNUMBER(SEARCH("4J",J51)),IF(AND(J51="4J1",OR(J53=2,J53=4,J53=6,J53=8,J53=11),J55="DC"),LOOKUP(J84,T!$AC378:$AC391,T!$U378:$U391),IF(AND(J51="4J1",OR(J53=2,J53=4),J55="AC"),LOOKUP(J84,T!$AC378:$AC391,T!$V378:$V391),IF(AND(J51="4J1",OR(J53=6,J53=8),J55="AC"),LOOKUP(J84,T!$AC378:$AC391,T!$W378:$W391),IF(AND(J51="4J1",OR(J53=11,J53=12),J55="AC",J57=1),LOOKUP(J84,T!$AC378:$AC391,T!$X378:$X391),IF(AND(J51="4J1",OR(J53=3,J53=5),J55="AC"),LOOKUP(J84,T!$AC378:$AC391,T!$Y378:$Y391),IF(AND(J51="4J1",OR(J53=7,J53=10),J55="AC"),LOOKUP(J84,T!$AC378:$AC391,T!$Z378:$Z391),IF(AND(J51="4J1",J53=9,J55="AC"),LOOKUP(J84,T!$AC378:$AC391,T!$AA378:$AA391),IF(AND(J51="4J1",OR(J53=11,J53=12),J55="AC",J57=3),LOOKUP(J84,T!$AC378:$AC391,T!$AB378:$AB391),IF(AND(J51="4J2",OR(J53=2,J53=4,J53=6,J53=8),J55="DC"),LOOKUP(J84,T!$X397:$X407,T!$U397:$U407),IF(AND(J51="4J2",OR(J53=2,J53=4,J53=6,J53=8),J55="AC"),LOOKUP(J84,T!$X397:$X407,T!$V397:$V407),IF(AND(J51="4J2",OR(J53=3,J53=5,J53=7,J53=9),J55="AC"),LOOKUP(J84,T!$X397:$X407,T!$W397:$W407),IF(AND(J51="4J3",OR(J53=2,J53=4,J53=7,J53=8),J55="DC"),LOOKUP(J84,T!$AA413:$AA426,T!$U413:$U426),IF(AND(J51="4J3",OR(J53=2,J53=4),J55="AC"),LOOKUP(J84,T!$AA413:$AA426,T!$V413:$V426),IF(AND(J51="4J3",OR(J53=9,J53=10),J55="AC"),LOOKUP(J84,T!$AA413:$AA426,T!$W413:$W426),IF(AND(J51="4J3",J53=6,J55="AC"),LOOKUP(J84,T!$AA413:$AA426,T!$X413:$X426),IF(AND(J51="4J3",OR(J53=3,J53=5),J55="AC"),LOOKUP(J84,T!$AA413:$AA426,T!$Y413:$Y426),IF(AND(J51="4J3",OR(J53=11,J53=12),J55="AC"),LOOKUP(J84,T!$AA413:$AA426,T!$Z413:$Z426),IF(AND(J51="4J4",OR(J53=2,J53=4,J53=6),J55="DC"),LOOKUP(J84,T!$X432:$X442,T!$U432:$U442),IF(AND(J51="4J4",OR(J53=2,J53=4,J53=6),J55="AC"),LOOKUP(J84,T!$X432:$X442,T!$V432:$V442),IF(AND(J51="4J4",OR(J53=3,J53=5,J53=7),J55="AC"),LOOKUP(J84,T!$X432:$X442,T!$W432:$W442),0)))))))))))))))))))),0)))*J23*J69)/1000))</f>
        <v>0</v>
      </c>
      <c r="K103" s="159">
        <f>IF(K29="","",IF(OR(COUNT(K19:K21)=3,COUNT(K19:K21)=1),(IF(K29="",0,IF(ISNUMBER(SEARCH("4H",K51)),IF(AND(K51="4H1",OR(K53=2,K53=4,K53=6,K53=8,K53=11),K55="DC"),LOOKUP(K84,T!$AC308:$AC321,T!$U308:$U321),IF(AND(K51="4H1",OR(K53=2,K53=4),K55="AC"),LOOKUP(K84,T!$AC308:$AC321,T!$V308:$V321),IF(AND(K51="4H1",OR(K53=6,K53=8),K55="AC"),LOOKUP(K84,T!$AC308:$AC321,T!$W308:$W321),IF(AND(K51="4H1",OR(K53=11,K53=12),K55="AC",K57=1),LOOKUP(K84,T!$AC308:$AC321,T!$X308:$X321),IF(AND(K51="4H1",OR(K53=3,K53=5),K55="AC"),LOOKUP(K84,T!$AC308:$AC321,T!$Y308:$Y321),IF(AND(K51="4H1",OR(K53=7,K53=10),K55="AC"),LOOKUP(K84,T!$AC308:$AC321,T!$Z308:$Z321),IF(AND(K51="4H1",K53=9,K55="AC"),LOOKUP(K84,T!$AC308:$AC321,T!$AA308:$AA321),IF(AND(K51="4H1",OR(K53=11,K53=12),K55="AC",K57=3),LOOKUP(K84,T!$AC308:$AC321,T!$AB308:$AB321),IF(AND(K51="4H2",OR(K53=2,K53=4,K53=6,K53=8),K55="DC"),LOOKUP(K84,T!$X327:$X337,T!$U327:$U337),IF(AND(K51="4H2",OR(K53=2,K53=4,K53=6,K53=8),K55="AC"),LOOKUP(K84,T!$X327:$X337,T!$V327:$V337),IF(AND(K51="4H2",OR(K53=3,K53=5,K53=7,K53=9),K55="AC"),LOOKUP(K84,T!$X327:$X337,T!$W327:$W337),IF(AND(K51="4H3",OR(K53=2,K53=4,K53=7,K53=8),K55="DC"),LOOKUP(K84,T!$AA343:$AA356,T!$U343:$U356),IF(AND(K51="4H3",OR(K53=2,K53=4),K55="AC"),LOOKUP(K84,T!$AA343:$AA356,T!$V343:$V356),IF(AND(K51="4H3",OR(K53=9,K53=10),K55="AC"),LOOKUP(K84,T!$AA343:$AA$356,T!$W343:$W356),IF(AND(K51="4H3",K53=6,K55="AC"),LOOKUP(K84,T!$AA343:$AA356,T!$X343:$X356),IF(AND(K51="4H3",OR(K53=3,K53=5),K55="AC"),LOOKUP(K84,T!$AA343:$AA356,T!$Y343:$Y356),IF(AND(K51="4H3",OR(K53=11,K53=12),K55="AC"),LOOKUP(K84,T!$AA343:$AA356,T!$Z343:$Z356),IF(AND(K51="4H4",OR(K53=2,K53=4,K53=6),K55="DC"),LOOKUP(K84,T!$X362:$X372,T!$U362:$U372),IF(AND(K51="4H4",OR(K53=2,K53=4,K53=6),K55="AC"),LOOKUP(K84,T!$X362:$X372,T!$V362:$V372),IF(AND(K51="4H4",OR(K53=3,K53=5,K53=7),K55="AC"),LOOKUP(K84,T!$X362:$X372,T!$W362:$W372),0)))))))))))))))))))),IF(ISNUMBER(SEARCH("4J",K51)),IF(AND(K51="4J1",OR(K53=2,K53=4,K53=6,K53=8,K53=11),K55="DC"),LOOKUP(K84,T!$AC378:$AC391,T!$U378:$U391),IF(AND(K51="4J1",OR(K53=2,K53=4),K55="AC"),LOOKUP(K84,T!$AC378:$AC391,T!$V378:$V391),IF(AND(K51="4J1",OR(K53=6,K53=8),K55="AC"),LOOKUP(K84,T!$AC378:$AC391,T!$W378:$W391),IF(AND(K51="4J1",OR(K53=11,K53=12),K55="AC",K57=1),LOOKUP(K84,T!$AC378:$AC391,T!$X378:$X391),IF(AND(K51="4J1",OR(K53=3,K53=5),K55="AC"),LOOKUP(K84,T!$AC378:$AC391,T!$Y378:$Y391),IF(AND(K51="4J1",OR(K53=7,K53=10),K55="AC"),LOOKUP(K84,T!$AC378:$AC391,T!$Z378:$Z391),IF(AND(K51="4J1",K53=9,K55="AC"),LOOKUP(K84,T!$AC378:$AC391,T!$AA378:$AA391),IF(AND(K51="4J1",OR(K53=11,K53=12),K55="AC",K57=3),LOOKUP(K84,T!$AC378:$AC391,T!$AB378:$AB391),IF(AND(K51="4J2",OR(K53=2,K53=4,K53=6,K53=8),K55="DC"),LOOKUP(K84,T!$X397:$X407,T!$U397:$U407),IF(AND(K51="4J2",OR(K53=2,K53=4,K53=6,K53=8),K55="AC"),LOOKUP(K84,T!$X397:$X407,T!$V397:$V407),IF(AND(K51="4J2",OR(K53=3,K53=5,K53=7,K53=9),K55="AC"),LOOKUP(K84,T!$X397:$X407,T!$W397:$W407),IF(AND(K51="4J3",OR(K53=2,K53=4,K53=7,K53=8),K55="DC"),LOOKUP(K84,T!$AA413:$AA426,T!$U413:$U426),IF(AND(K51="4J3",OR(K53=2,K53=4),K55="AC"),LOOKUP(K84,T!$AA413:$AA426,T!$V413:$V426),IF(AND(K51="4J3",OR(K53=9,K53=10),K55="AC"),LOOKUP(K84,T!$AA413:$AA426,T!$W413:$W426),IF(AND(K51="4J3",K53=6,K55="AC"),LOOKUP(K84,T!$AA413:$AA426,T!$X413:$X426),IF(AND(K51="4J3",OR(K53=3,K53=5),K55="AC"),LOOKUP(K84,T!$AA413:$AA426,T!$Y413:$Y426),IF(AND(K51="4J3",OR(K53=11,K53=12),K55="AC"),LOOKUP(K84,T!$AA413:$AA426,T!$Z413:$Z426),IF(AND(K51="4J4",OR(K53=2,K53=4,K53=6),K55="DC"),LOOKUP(K84,T!$X432:$X442,T!$U432:$U442),IF(AND(K51="4J4",OR(K53=2,K53=4,K53=6),K55="AC"),LOOKUP(K84,T!$X432:$X442,T!$V432:$V442),IF(AND(K51="4J4",OR(K53=3,K53=5,K53=7),K55="AC"),LOOKUP(K84,T!$X432:$X442,T!$W432:$W442),0)))))))))))))))))))),0)))*K23*K69)/1000))</f>
        <v>0</v>
      </c>
      <c r="L103" s="159">
        <f>IF(L29="","",IF(OR(COUNT(L19:L21)=3,COUNT(L19:L21)=1),(IF(L29="",0,IF(ISNUMBER(SEARCH("4H",L51)),IF(AND(L51="4H1",OR(L53=2,L53=4,L53=6,L53=8,L53=11),L55="DC"),LOOKUP(L84,T!$AC308:$AC321,T!$U308:$U321),IF(AND(L51="4H1",OR(L53=2,L53=4),L55="AC"),LOOKUP(L84,T!$AC308:$AC321,T!$V308:$V321),IF(AND(L51="4H1",OR(L53=6,L53=8),L55="AC"),LOOKUP(L84,T!$AC308:$AC321,T!$W308:$W321),IF(AND(L51="4H1",OR(L53=11,L53=12),L55="AC",L57=1),LOOKUP(L84,T!$AC308:$AC321,T!$X308:$X321),IF(AND(L51="4H1",OR(L53=3,L53=5),L55="AC"),LOOKUP(L84,T!$AC308:$AC321,T!$Y308:$Y321),IF(AND(L51="4H1",OR(L53=7,L53=10),L55="AC"),LOOKUP(L84,T!$AC308:$AC321,T!$Z308:$Z321),IF(AND(L51="4H1",L53=9,L55="AC"),LOOKUP(L84,T!$AC308:$AC321,T!$AA308:$AA321),IF(AND(L51="4H1",OR(L53=11,L53=12),L55="AC",L57=3),LOOKUP(L84,T!$AC308:$AC321,T!$AB308:$AB321),IF(AND(L51="4H2",OR(L53=2,L53=4,L53=6,L53=8),L55="DC"),LOOKUP(L84,T!$X327:$X337,T!$U327:$U337),IF(AND(L51="4H2",OR(L53=2,L53=4,L53=6,L53=8),L55="AC"),LOOKUP(L84,T!$X327:$X337,T!$V327:$V337),IF(AND(L51="4H2",OR(L53=3,L53=5,L53=7,L53=9),L55="AC"),LOOKUP(L84,T!$X327:$X337,T!$W327:$W337),IF(AND(L51="4H3",OR(L53=2,L53=4,L53=7,L53=8),L55="DC"),LOOKUP(L84,T!$AA343:$AA356,T!$U343:$U356),IF(AND(L51="4H3",OR(L53=2,L53=4),L55="AC"),LOOKUP(L84,T!$AA343:$AA356,T!$V343:$V356),IF(AND(L51="4H3",OR(L53=9,L53=10),L55="AC"),LOOKUP(L84,T!$AA343:$AA$356,T!$W343:$W356),IF(AND(L51="4H3",L53=6,L55="AC"),LOOKUP(L84,T!$AA343:$AA356,T!$X343:$X356),IF(AND(L51="4H3",OR(L53=3,L53=5),L55="AC"),LOOKUP(L84,T!$AA343:$AA356,T!$Y343:$Y356),IF(AND(L51="4H3",OR(L53=11,L53=12),L55="AC"),LOOKUP(L84,T!$AA343:$AA356,T!$Z343:$Z356),IF(AND(L51="4H4",OR(L53=2,L53=4,L53=6),L55="DC"),LOOKUP(L84,T!$X362:$X372,T!$U362:$U372),IF(AND(L51="4H4",OR(L53=2,L53=4,L53=6),L55="AC"),LOOKUP(L84,T!$X362:$X372,T!$V362:$V372),IF(AND(L51="4H4",OR(L53=3,L53=5,L53=7),L55="AC"),LOOKUP(L84,T!$X362:$X372,T!$W362:$W372),0)))))))))))))))))))),IF(ISNUMBER(SEARCH("4J",L51)),IF(AND(L51="4J1",OR(L53=2,L53=4,L53=6,L53=8,L53=11),L55="DC"),LOOKUP(L84,T!$AC378:$AC391,T!$U378:$U391),IF(AND(L51="4J1",OR(L53=2,L53=4),L55="AC"),LOOKUP(L84,T!$AC378:$AC391,T!$V378:$V391),IF(AND(L51="4J1",OR(L53=6,L53=8),L55="AC"),LOOKUP(L84,T!$AC378:$AC391,T!$W378:$W391),IF(AND(L51="4J1",OR(L53=11,L53=12),L55="AC",L57=1),LOOKUP(L84,T!$AC378:$AC391,T!$X378:$X391),IF(AND(L51="4J1",OR(L53=3,L53=5),L55="AC"),LOOKUP(L84,T!$AC378:$AC391,T!$Y378:$Y391),IF(AND(L51="4J1",OR(L53=7,L53=10),L55="AC"),LOOKUP(L84,T!$AC378:$AC391,T!$Z378:$Z391),IF(AND(L51="4J1",L53=9,L55="AC"),LOOKUP(L84,T!$AC378:$AC391,T!$AA378:$AA391),IF(AND(L51="4J1",OR(L53=11,L53=12),L55="AC",L57=3),LOOKUP(L84,T!$AC378:$AC391,T!$AB378:$AB391),IF(AND(L51="4J2",OR(L53=2,L53=4,L53=6,L53=8),L55="DC"),LOOKUP(L84,T!$X397:$X407,T!$U397:$U407),IF(AND(L51="4J2",OR(L53=2,L53=4,L53=6,L53=8),L55="AC"),LOOKUP(L84,T!$X397:$X407,T!$V397:$V407),IF(AND(L51="4J2",OR(L53=3,L53=5,L53=7,L53=9),L55="AC"),LOOKUP(L84,T!$X397:$X407,T!$W397:$W407),IF(AND(L51="4J3",OR(L53=2,L53=4,L53=7,L53=8),L55="DC"),LOOKUP(L84,T!$AA413:$AA426,T!$U413:$U426),IF(AND(L51="4J3",OR(L53=2,L53=4),L55="AC"),LOOKUP(L84,T!$AA413:$AA426,T!$V413:$V426),IF(AND(L51="4J3",OR(L53=9,L53=10),L55="AC"),LOOKUP(L84,T!$AA413:$AA426,T!$W413:$W426),IF(AND(L51="4J3",L53=6,L55="AC"),LOOKUP(L84,T!$AA413:$AA426,T!$X413:$X426),IF(AND(L51="4J3",OR(L53=3,L53=5),L55="AC"),LOOKUP(L84,T!$AA413:$AA426,T!$Y413:$Y426),IF(AND(L51="4J3",OR(L53=11,L53=12),L55="AC"),LOOKUP(L84,T!$AA413:$AA426,T!$Z413:$Z426),IF(AND(L51="4J4",OR(L53=2,L53=4,L53=6),L55="DC"),LOOKUP(L84,T!$X432:$X442,T!$U432:$U442),IF(AND(L51="4J4",OR(L53=2,L53=4,L53=6),L55="AC"),LOOKUP(L84,T!$X432:$X442,T!$V432:$V442),IF(AND(L51="4J4",OR(L53=3,L53=5,L53=7),L55="AC"),LOOKUP(L84,T!$X432:$X442,T!$W432:$W442),0)))))))))))))))))))),0)))*L23*L69)/1000))</f>
        <v>0</v>
      </c>
      <c r="M103" s="159" t="str">
        <f>IF(M29="","",IF(OR(COUNT(M19:M21)=3,COUNT(M19:M21)=1),(IF(M29="",0,IF(ISNUMBER(SEARCH("4H",M51)),IF(AND(M51="4H1",OR(M53=2,M53=4,M53=6,M53=8,M53=11),M55="DC"),LOOKUP(M84,T!$AC308:$AC321,T!$U308:$U321),IF(AND(M51="4H1",OR(M53=2,M53=4),M55="AC"),LOOKUP(M84,T!$AC308:$AC321,T!$V308:$V321),IF(AND(M51="4H1",OR(M53=6,M53=8),M55="AC"),LOOKUP(M84,T!$AC308:$AC321,T!$W308:$W321),IF(AND(M51="4H1",OR(M53=11,M53=12),M55="AC",M57=1),LOOKUP(M84,T!$AC308:$AC321,T!$X308:$X321),IF(AND(M51="4H1",OR(M53=3,M53=5),M55="AC"),LOOKUP(M84,T!$AC308:$AC321,T!$Y308:$Y321),IF(AND(M51="4H1",OR(M53=7,M53=10),M55="AC"),LOOKUP(M84,T!$AC308:$AC321,T!$Z308:$Z321),IF(AND(M51="4H1",M53=9,M55="AC"),LOOKUP(M84,T!$AC308:$AC321,T!$AA308:$AA321),IF(AND(M51="4H1",OR(M53=11,M53=12),M55="AC",M57=3),LOOKUP(M84,T!$AC308:$AC321,T!$AB308:$AB321),IF(AND(M51="4H2",OR(M53=2,M53=4,M53=6,M53=8),M55="DC"),LOOKUP(M84,T!$X327:$X337,T!$U327:$U337),IF(AND(M51="4H2",OR(M53=2,M53=4,M53=6,M53=8),M55="AC"),LOOKUP(M84,T!$X327:$X337,T!$V327:$V337),IF(AND(M51="4H2",OR(M53=3,M53=5,M53=7,M53=9),M55="AC"),LOOKUP(M84,T!$X327:$X337,T!$W327:$W337),IF(AND(M51="4H3",OR(M53=2,M53=4,M53=7,M53=8),M55="DC"),LOOKUP(M84,T!$AA343:$AA356,T!$U343:$U356),IF(AND(M51="4H3",OR(M53=2,M53=4),M55="AC"),LOOKUP(M84,T!$AA343:$AA356,T!$V343:$V356),IF(AND(M51="4H3",OR(M53=9,M53=10),M55="AC"),LOOKUP(M84,T!$AA343:$AA$356,T!$W343:$W356),IF(AND(M51="4H3",M53=6,M55="AC"),LOOKUP(M84,T!$AA343:$AA356,T!$X343:$X356),IF(AND(M51="4H3",OR(M53=3,M53=5),M55="AC"),LOOKUP(M84,T!$AA343:$AA356,T!$Y343:$Y356),IF(AND(M51="4H3",OR(M53=11,M53=12),M55="AC"),LOOKUP(M84,T!$AA343:$AA356,T!$Z343:$Z356),IF(AND(M51="4H4",OR(M53=2,M53=4,M53=6),M55="DC"),LOOKUP(M84,T!$X362:$X372,T!$U362:$U372),IF(AND(M51="4H4",OR(M53=2,M53=4,M53=6),M55="AC"),LOOKUP(M84,T!$X362:$X372,T!$V362:$V372),IF(AND(M51="4H4",OR(M53=3,M53=5,M53=7),M55="AC"),LOOKUP(M84,T!$X362:$X372,T!$W362:$W372),0)))))))))))))))))))),IF(ISNUMBER(SEARCH("4J",M51)),IF(AND(M51="4J1",OR(M53=2,M53=4,M53=6,M53=8,M53=11),M55="DC"),LOOKUP(M84,T!$AC378:$AC391,T!$U378:$U391),IF(AND(M51="4J1",OR(M53=2,M53=4),M55="AC"),LOOKUP(M84,T!$AC378:$AC391,T!$V378:$V391),IF(AND(M51="4J1",OR(M53=6,M53=8),M55="AC"),LOOKUP(M84,T!$AC378:$AC391,T!$W378:$W391),IF(AND(M51="4J1",OR(M53=11,M53=12),M55="AC",M57=1),LOOKUP(M84,T!$AC378:$AC391,T!$X378:$X391),IF(AND(M51="4J1",OR(M53=3,M53=5),M55="AC"),LOOKUP(M84,T!$AC378:$AC391,T!$Y378:$Y391),IF(AND(M51="4J1",OR(M53=7,M53=10),M55="AC"),LOOKUP(M84,T!$AC378:$AC391,T!$Z378:$Z391),IF(AND(M51="4J1",M53=9,M55="AC"),LOOKUP(M84,T!$AC378:$AC391,T!$AA378:$AA391),IF(AND(M51="4J1",OR(M53=11,M53=12),M55="AC",M57=3),LOOKUP(M84,T!$AC378:$AC391,T!$AB378:$AB391),IF(AND(M51="4J2",OR(M53=2,M53=4,M53=6,M53=8),M55="DC"),LOOKUP(M84,T!$X397:$X407,T!$U397:$U407),IF(AND(M51="4J2",OR(M53=2,M53=4,M53=6,M53=8),M55="AC"),LOOKUP(M84,T!$X397:$X407,T!$V397:$V407),IF(AND(M51="4J2",OR(M53=3,M53=5,M53=7,M53=9),M55="AC"),LOOKUP(M84,T!$X397:$X407,T!$W397:$W407),IF(AND(M51="4J3",OR(M53=2,M53=4,M53=7,M53=8),M55="DC"),LOOKUP(M84,T!$AA413:$AA426,T!$U413:$U426),IF(AND(M51="4J3",OR(M53=2,M53=4),M55="AC"),LOOKUP(M84,T!$AA413:$AA426,T!$V413:$V426),IF(AND(M51="4J3",OR(M53=9,M53=10),M55="AC"),LOOKUP(M84,T!$AA413:$AA426,T!$W413:$W426),IF(AND(M51="4J3",M53=6,M55="AC"),LOOKUP(M84,T!$AA413:$AA426,T!$X413:$X426),IF(AND(M51="4J3",OR(M53=3,M53=5),M55="AC"),LOOKUP(M84,T!$AA413:$AA426,T!$Y413:$Y426),IF(AND(M51="4J3",OR(M53=11,M53=12),M55="AC"),LOOKUP(M84,T!$AA413:$AA426,T!$Z413:$Z426),IF(AND(M51="4J4",OR(M53=2,M53=4,M53=6),M55="DC"),LOOKUP(M84,T!$X432:$X442,T!$U432:$U442),IF(AND(M51="4J4",OR(M53=2,M53=4,M53=6),M55="AC"),LOOKUP(M84,T!$X432:$X442,T!$V432:$V442),IF(AND(M51="4J4",OR(M53=3,M53=5,M53=7),M55="AC"),LOOKUP(M84,T!$X432:$X442,T!$W432:$W442),0)))))))))))))))))))),0)))*M23*M69)/1000))</f>
        <v/>
      </c>
      <c r="N103" s="159">
        <f>IF(N29="","",IF(OR(COUNT(N19:N21)=3,COUNT(N19:N21)=1),(IF(N29="",0,IF(ISNUMBER(SEARCH("4H",N51)),IF(AND(N51="4H1",OR(N53=2,N53=4,N53=6,N53=8,N53=11),N55="DC"),LOOKUP(N84,T!$AC308:$AC321,T!$U308:$U321),IF(AND(N51="4H1",OR(N53=2,N53=4),N55="AC"),LOOKUP(N84,T!$AC308:$AC321,T!$V308:$V321),IF(AND(N51="4H1",OR(N53=6,N53=8),N55="AC"),LOOKUP(N84,T!$AC308:$AC321,T!$W308:$W321),IF(AND(N51="4H1",OR(N53=11,N53=12),N55="AC",N57=1),LOOKUP(N84,T!$AC308:$AC321,T!$X308:$X321),IF(AND(N51="4H1",OR(N53=3,N53=5),N55="AC"),LOOKUP(N84,T!$AC308:$AC321,T!$Y308:$Y321),IF(AND(N51="4H1",OR(N53=7,N53=10),N55="AC"),LOOKUP(N84,T!$AC308:$AC321,T!$Z308:$Z321),IF(AND(N51="4H1",N53=9,N55="AC"),LOOKUP(N84,T!$AC308:$AC321,T!$AA308:$AA321),IF(AND(N51="4H1",OR(N53=11,N53=12),N55="AC",N57=3),LOOKUP(N84,T!$AC308:$AC321,T!$AB308:$AB321),IF(AND(N51="4H2",OR(N53=2,N53=4,N53=6,N53=8),N55="DC"),LOOKUP(N84,T!$X327:$X337,T!$U327:$U337),IF(AND(N51="4H2",OR(N53=2,N53=4,N53=6,N53=8),N55="AC"),LOOKUP(N84,T!$X327:$X337,T!$V327:$V337),IF(AND(N51="4H2",OR(N53=3,N53=5,N53=7,N53=9),N55="AC"),LOOKUP(N84,T!$X327:$X337,T!$W327:$W337),IF(AND(N51="4H3",OR(N53=2,N53=4,N53=7,N53=8),N55="DC"),LOOKUP(N84,T!$AA343:$AA356,T!$U343:$U356),IF(AND(N51="4H3",OR(N53=2,N53=4),N55="AC"),LOOKUP(N84,T!$AA343:$AA356,T!$V343:$V356),IF(AND(N51="4H3",OR(N53=9,N53=10),N55="AC"),LOOKUP(N84,T!$AA343:$AA$356,T!$W343:$W356),IF(AND(N51="4H3",N53=6,N55="AC"),LOOKUP(N84,T!$AA343:$AA356,T!$X343:$X356),IF(AND(N51="4H3",OR(N53=3,N53=5),N55="AC"),LOOKUP(N84,T!$AA343:$AA356,T!$Y343:$Y356),IF(AND(N51="4H3",OR(N53=11,N53=12),N55="AC"),LOOKUP(N84,T!$AA343:$AA356,T!$Z343:$Z356),IF(AND(N51="4H4",OR(N53=2,N53=4,N53=6),N55="DC"),LOOKUP(N84,T!$X362:$X372,T!$U362:$U372),IF(AND(N51="4H4",OR(N53=2,N53=4,N53=6),N55="AC"),LOOKUP(N84,T!$X362:$X372,T!$V362:$V372),IF(AND(N51="4H4",OR(N53=3,N53=5,N53=7),N55="AC"),LOOKUP(N84,T!$X362:$X372,T!$W362:$W372),0)))))))))))))))))))),IF(ISNUMBER(SEARCH("4J",N51)),IF(AND(N51="4J1",OR(N53=2,N53=4,N53=6,N53=8,N53=11),N55="DC"),LOOKUP(N84,T!$AC378:$AC391,T!$U378:$U391),IF(AND(N51="4J1",OR(N53=2,N53=4),N55="AC"),LOOKUP(N84,T!$AC378:$AC391,T!$V378:$V391),IF(AND(N51="4J1",OR(N53=6,N53=8),N55="AC"),LOOKUP(N84,T!$AC378:$AC391,T!$W378:$W391),IF(AND(N51="4J1",OR(N53=11,N53=12),N55="AC",N57=1),LOOKUP(N84,T!$AC378:$AC391,T!$X378:$X391),IF(AND(N51="4J1",OR(N53=3,N53=5),N55="AC"),LOOKUP(N84,T!$AC378:$AC391,T!$Y378:$Y391),IF(AND(N51="4J1",OR(N53=7,N53=10),N55="AC"),LOOKUP(N84,T!$AC378:$AC391,T!$Z378:$Z391),IF(AND(N51="4J1",N53=9,N55="AC"),LOOKUP(N84,T!$AC378:$AC391,T!$AA378:$AA391),IF(AND(N51="4J1",OR(N53=11,N53=12),N55="AC",N57=3),LOOKUP(N84,T!$AC378:$AC391,T!$AB378:$AB391),IF(AND(N51="4J2",OR(N53=2,N53=4,N53=6,N53=8),N55="DC"),LOOKUP(N84,T!$X397:$X407,T!$U397:$U407),IF(AND(N51="4J2",OR(N53=2,N53=4,N53=6,N53=8),N55="AC"),LOOKUP(N84,T!$X397:$X407,T!$V397:$V407),IF(AND(N51="4J2",OR(N53=3,N53=5,N53=7,N53=9),N55="AC"),LOOKUP(N84,T!$X397:$X407,T!$W397:$W407),IF(AND(N51="4J3",OR(N53=2,N53=4,N53=7,N53=8),N55="DC"),LOOKUP(N84,T!$AA413:$AA426,T!$U413:$U426),IF(AND(N51="4J3",OR(N53=2,N53=4),N55="AC"),LOOKUP(N84,T!$AA413:$AA426,T!$V413:$V426),IF(AND(N51="4J3",OR(N53=9,N53=10),N55="AC"),LOOKUP(N84,T!$AA413:$AA426,T!$W413:$W426),IF(AND(N51="4J3",N53=6,N55="AC"),LOOKUP(N84,T!$AA413:$AA426,T!$X413:$X426),IF(AND(N51="4J3",OR(N53=3,N53=5),N55="AC"),LOOKUP(N84,T!$AA413:$AA426,T!$Y413:$Y426),IF(AND(N51="4J3",OR(N53=11,N53=12),N55="AC"),LOOKUP(N84,T!$AA413:$AA426,T!$Z413:$Z426),IF(AND(N51="4J4",OR(N53=2,N53=4,N53=6),N55="DC"),LOOKUP(N84,T!$X432:$X442,T!$U432:$U442),IF(AND(N51="4J4",OR(N53=2,N53=4,N53=6),N55="AC"),LOOKUP(N84,T!$X432:$X442,T!$V432:$V442),IF(AND(N51="4J4",OR(N53=3,N53=5,N53=7),N55="AC"),LOOKUP(N84,T!$X432:$X442,T!$W432:$W442),0)))))))))))))))))))),0)))*N23*N69)/1000))</f>
        <v>0</v>
      </c>
      <c r="O103" s="135" t="str">
        <f>IF(O$9="","",IF(N103&lt;&gt;0,"mV/A/m",""))</f>
        <v/>
      </c>
      <c r="P103" s="190"/>
    </row>
    <row r="104" spans="1:58" s="168" customFormat="1" ht="16">
      <c r="A104" s="191" t="s">
        <v>2489</v>
      </c>
      <c r="B104" s="192"/>
      <c r="C104" s="193"/>
      <c r="D104" s="193"/>
      <c r="E104" s="194">
        <f ca="1">IFERROR((IF(E84&gt;=E83,E102,99999)/((SUMPRODUCT(Items!$A$242:$A$254,Items!$AQ$242:$AQ$254)/SUM(Items!$A$242:$A$254))*Items!$N$1)),"")</f>
        <v>3.1170297029702965E-2</v>
      </c>
      <c r="F104" s="194">
        <f ca="1">IFERROR((IF(F84&gt;=F83,F102,99999)/((SUMPRODUCT(Items!$A$242:$A$254,Items!$AQ$242:$AQ$254)/SUM(Items!$A$242:$A$254))*Items!$N$1)),"")</f>
        <v>2.0685742574257426E-2</v>
      </c>
      <c r="G104" s="194">
        <f ca="1">IFERROR((IF(G84&gt;=G83,G102,99999)/((SUMPRODUCT(Items!$A$242:$A$254,Items!$AQ$242:$AQ$254)/SUM(Items!$A$242:$A$254))*Items!$N$1)),"")</f>
        <v>1.2468118811881188E-2</v>
      </c>
      <c r="H104" s="194">
        <f ca="1">IFERROR((IF(H84&gt;=H83,H102,99999)/((SUMPRODUCT(Items!$A$242:$A$254,Items!$AQ$242:$AQ$254)/SUM(Items!$A$242:$A$254))*Items!$N$1)),"")</f>
        <v>7.9342574257425715E-3</v>
      </c>
      <c r="I104" s="193"/>
      <c r="J104" s="193"/>
      <c r="K104" s="194">
        <f ca="1">IFERROR((IF(K84&gt;=K83,K102,99999)/((SUMPRODUCT(Items!$A$242:$A$254,Items!$AQ$242:$AQ$254)/SUM(Items!$A$242:$A$254))*Items!$N$1)),"")</f>
        <v>1.5585148514851483E-2</v>
      </c>
      <c r="L104" s="194">
        <f ca="1">IFERROR((IF(L84&gt;=L83,L102,99999)/((SUMPRODUCT(Items!$A$242:$A$254,Items!$AQ$242:$AQ$254)/SUM(Items!$A$242:$A$254))*Items!$N$1)),"")</f>
        <v>1.0342871287128713E-2</v>
      </c>
      <c r="M104" s="193"/>
      <c r="N104" s="193"/>
      <c r="O104" s="193"/>
    </row>
    <row r="105" spans="1:58" s="124" customFormat="1" ht="16">
      <c r="A105" s="125"/>
      <c r="C105" s="123"/>
      <c r="D105" s="123"/>
      <c r="E105" s="123"/>
      <c r="F105" s="123"/>
      <c r="G105" s="123"/>
      <c r="H105" s="123"/>
      <c r="I105" s="123"/>
      <c r="O105" s="123"/>
      <c r="P105" s="123"/>
      <c r="Q105" s="123"/>
      <c r="R105" s="123"/>
      <c r="S105" s="123"/>
      <c r="T105" s="123"/>
      <c r="U105" s="123"/>
      <c r="V105" s="125"/>
      <c r="W105" s="125"/>
      <c r="X105" s="125"/>
      <c r="Y105" s="125"/>
      <c r="Z105" s="125"/>
      <c r="AA105" s="125"/>
      <c r="AB105" s="125"/>
      <c r="AC105" s="125"/>
      <c r="AD105" s="125"/>
      <c r="AE105" s="125"/>
      <c r="AF105" s="125"/>
      <c r="AG105" s="125"/>
      <c r="AH105" s="125"/>
      <c r="AI105" s="125"/>
      <c r="AJ105" s="125"/>
      <c r="AK105" s="125"/>
      <c r="AL105" s="125"/>
      <c r="AM105" s="125"/>
      <c r="AN105" s="125"/>
      <c r="AO105" s="125"/>
      <c r="AP105" s="125"/>
      <c r="AQ105" s="125"/>
      <c r="AR105" s="125"/>
      <c r="AS105" s="125"/>
      <c r="AT105" s="125"/>
      <c r="AU105" s="125"/>
      <c r="AV105" s="125"/>
      <c r="AW105" s="125"/>
      <c r="AX105" s="125"/>
      <c r="AY105" s="125"/>
      <c r="AZ105" s="125"/>
      <c r="BA105" s="125"/>
      <c r="BB105" s="125"/>
      <c r="BC105" s="125"/>
      <c r="BD105" s="125"/>
      <c r="BE105" s="125"/>
      <c r="BF105" s="125"/>
    </row>
    <row r="106" spans="1:58" s="124" customFormat="1" ht="55">
      <c r="A106" s="388" t="s">
        <v>2094</v>
      </c>
      <c r="B106" s="195" t="s">
        <v>2126</v>
      </c>
      <c r="C106" s="184">
        <v>2</v>
      </c>
      <c r="D106" s="184">
        <v>3</v>
      </c>
      <c r="E106" s="184">
        <v>4</v>
      </c>
      <c r="F106" s="184">
        <v>5</v>
      </c>
      <c r="G106" s="184">
        <v>6</v>
      </c>
      <c r="H106" s="184"/>
      <c r="I106" s="184">
        <v>7</v>
      </c>
      <c r="J106" s="184">
        <v>9</v>
      </c>
      <c r="K106" s="184"/>
      <c r="L106" s="184">
        <v>12</v>
      </c>
      <c r="M106" s="123"/>
      <c r="N106" s="196" t="s">
        <v>2127</v>
      </c>
      <c r="O106" s="196" t="s">
        <v>2128</v>
      </c>
      <c r="P106" s="196" t="s">
        <v>2083</v>
      </c>
      <c r="Q106" s="196" t="s">
        <v>2129</v>
      </c>
      <c r="R106" s="196" t="s">
        <v>2130</v>
      </c>
      <c r="S106" s="196" t="s">
        <v>2131</v>
      </c>
      <c r="T106" s="196" t="s">
        <v>2132</v>
      </c>
      <c r="U106" s="196">
        <v>100</v>
      </c>
      <c r="V106" s="196">
        <v>101</v>
      </c>
      <c r="W106" s="196">
        <v>102</v>
      </c>
      <c r="X106" s="196">
        <v>103</v>
      </c>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row>
    <row r="107" spans="1:58" s="124" customFormat="1" ht="16">
      <c r="A107" s="389"/>
      <c r="B107" s="151" t="s">
        <v>2133</v>
      </c>
      <c r="C107" s="152" t="s">
        <v>2127</v>
      </c>
      <c r="D107" s="152" t="s">
        <v>2127</v>
      </c>
      <c r="E107" s="152" t="s">
        <v>2128</v>
      </c>
      <c r="F107" s="152" t="s">
        <v>2128</v>
      </c>
      <c r="G107" s="152" t="s">
        <v>2083</v>
      </c>
      <c r="H107" s="152"/>
      <c r="I107" s="152" t="s">
        <v>2083</v>
      </c>
      <c r="J107" s="152" t="s">
        <v>2131</v>
      </c>
      <c r="K107" s="152"/>
      <c r="L107" s="152" t="s">
        <v>2131</v>
      </c>
      <c r="M107" s="123"/>
      <c r="N107" s="197"/>
      <c r="O107" s="198"/>
      <c r="P107" s="198"/>
      <c r="Q107" s="198"/>
      <c r="R107" s="199" t="s">
        <v>2134</v>
      </c>
      <c r="S107" s="199"/>
      <c r="T107" s="198"/>
      <c r="U107" s="198"/>
      <c r="V107" s="200"/>
      <c r="W107" s="200"/>
      <c r="X107" s="201"/>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row>
    <row r="108" spans="1:58" s="124" customFormat="1" ht="16">
      <c r="A108" s="389"/>
      <c r="B108" s="151" t="s">
        <v>2135</v>
      </c>
      <c r="C108" s="152">
        <v>2</v>
      </c>
      <c r="D108" s="152" t="s">
        <v>2136</v>
      </c>
      <c r="E108" s="152">
        <v>2</v>
      </c>
      <c r="F108" s="152" t="s">
        <v>2136</v>
      </c>
      <c r="G108" s="152">
        <v>2</v>
      </c>
      <c r="H108" s="152"/>
      <c r="I108" s="152" t="s">
        <v>2136</v>
      </c>
      <c r="J108" s="152">
        <v>3</v>
      </c>
      <c r="K108" s="152"/>
      <c r="L108" s="152" t="s">
        <v>2137</v>
      </c>
      <c r="M108" s="123"/>
      <c r="N108" s="123"/>
      <c r="O108" s="123"/>
      <c r="P108" s="123"/>
      <c r="Q108" s="123"/>
      <c r="R108" s="123"/>
      <c r="S108" s="123"/>
      <c r="T108" s="123"/>
      <c r="U108" s="123"/>
      <c r="V108" s="125"/>
      <c r="W108" s="125"/>
      <c r="X108" s="125"/>
      <c r="Y108" s="125"/>
      <c r="Z108" s="125"/>
      <c r="AA108" s="125"/>
      <c r="AB108" s="125"/>
      <c r="AC108" s="125"/>
      <c r="AD108" s="125"/>
      <c r="AE108" s="125"/>
      <c r="AF108" s="125"/>
      <c r="AG108" s="125"/>
      <c r="AH108" s="125"/>
      <c r="AI108" s="125"/>
      <c r="AJ108" s="125"/>
      <c r="AK108" s="125"/>
      <c r="AL108" s="125"/>
      <c r="AM108" s="125"/>
      <c r="AN108" s="125"/>
      <c r="AO108" s="125"/>
      <c r="AP108" s="125"/>
      <c r="AQ108" s="125"/>
      <c r="AR108" s="125"/>
      <c r="AS108" s="125"/>
      <c r="AT108" s="125"/>
      <c r="AU108" s="125"/>
      <c r="AV108" s="125"/>
      <c r="AW108" s="125"/>
      <c r="AX108" s="125"/>
      <c r="AY108" s="125"/>
      <c r="AZ108" s="125"/>
      <c r="BA108" s="125"/>
      <c r="BB108" s="125"/>
      <c r="BC108" s="125"/>
      <c r="BD108" s="125"/>
      <c r="BE108" s="125"/>
      <c r="BF108" s="125"/>
    </row>
    <row r="109" spans="1:58" s="124" customFormat="1" ht="16">
      <c r="A109" s="389"/>
      <c r="B109" s="151" t="s">
        <v>2138</v>
      </c>
      <c r="C109" s="152"/>
      <c r="D109" s="152"/>
      <c r="E109" s="152"/>
      <c r="F109" s="152"/>
      <c r="G109" s="152" t="s">
        <v>2139</v>
      </c>
      <c r="H109" s="152"/>
      <c r="I109" s="152" t="s">
        <v>2139</v>
      </c>
      <c r="J109" s="152" t="s">
        <v>2139</v>
      </c>
      <c r="K109" s="152"/>
      <c r="L109" s="152" t="s">
        <v>2140</v>
      </c>
      <c r="M109" s="123"/>
      <c r="N109" s="123"/>
      <c r="O109" s="123"/>
      <c r="P109" s="123"/>
      <c r="Q109" s="123"/>
      <c r="R109" s="123"/>
      <c r="S109" s="123"/>
      <c r="T109" s="123"/>
      <c r="U109" s="123"/>
      <c r="V109" s="125"/>
      <c r="W109" s="125"/>
      <c r="X109" s="125"/>
      <c r="Y109" s="125"/>
      <c r="Z109" s="125"/>
      <c r="AA109" s="125"/>
      <c r="AB109" s="125"/>
      <c r="AC109" s="125"/>
      <c r="AD109" s="125"/>
      <c r="AE109" s="125"/>
      <c r="AF109" s="125"/>
      <c r="AG109" s="125"/>
      <c r="AH109" s="125"/>
      <c r="AI109" s="125"/>
      <c r="AJ109" s="125"/>
      <c r="AK109" s="125"/>
      <c r="AL109" s="125"/>
      <c r="AM109" s="125"/>
      <c r="AN109" s="125"/>
      <c r="AO109" s="125"/>
      <c r="AP109" s="125"/>
      <c r="AQ109" s="125"/>
      <c r="AR109" s="125"/>
      <c r="AS109" s="125"/>
      <c r="AT109" s="125"/>
      <c r="AU109" s="125"/>
      <c r="AV109" s="125"/>
      <c r="AW109" s="125"/>
      <c r="AX109" s="125"/>
      <c r="AY109" s="125"/>
      <c r="AZ109" s="125"/>
      <c r="BA109" s="125"/>
      <c r="BB109" s="125"/>
      <c r="BC109" s="125"/>
      <c r="BD109" s="125"/>
      <c r="BE109" s="125"/>
      <c r="BF109" s="125"/>
    </row>
    <row r="110" spans="1:58" s="124" customFormat="1" ht="16">
      <c r="A110" s="389"/>
      <c r="B110" s="151" t="s">
        <v>2141</v>
      </c>
      <c r="C110" s="152"/>
      <c r="D110" s="152"/>
      <c r="E110" s="152"/>
      <c r="F110" s="152"/>
      <c r="G110" s="152" t="s">
        <v>2142</v>
      </c>
      <c r="H110" s="152"/>
      <c r="I110" s="152"/>
      <c r="J110" s="152" t="s">
        <v>2142</v>
      </c>
      <c r="K110" s="152"/>
      <c r="L110" s="152" t="s">
        <v>2142</v>
      </c>
      <c r="M110" s="123"/>
      <c r="N110" s="123"/>
      <c r="O110" s="123"/>
      <c r="P110" s="123"/>
      <c r="Q110" s="123"/>
      <c r="R110" s="123"/>
      <c r="S110" s="123"/>
      <c r="T110" s="123"/>
      <c r="U110" s="123"/>
      <c r="V110" s="125"/>
      <c r="W110" s="125"/>
      <c r="X110" s="125"/>
      <c r="Y110" s="125"/>
      <c r="Z110" s="125"/>
      <c r="AA110" s="125"/>
      <c r="AB110" s="125"/>
      <c r="AC110" s="125"/>
      <c r="AD110" s="125"/>
      <c r="AE110" s="125"/>
      <c r="AF110" s="125"/>
      <c r="AG110" s="125"/>
      <c r="AH110" s="125"/>
      <c r="AI110" s="125"/>
      <c r="AJ110" s="125"/>
      <c r="AK110" s="125"/>
      <c r="AL110" s="125"/>
      <c r="AM110" s="125"/>
      <c r="AN110" s="125"/>
      <c r="AO110" s="125"/>
      <c r="AP110" s="125"/>
      <c r="AQ110" s="125"/>
      <c r="AR110" s="125"/>
      <c r="AS110" s="125"/>
      <c r="AT110" s="125"/>
      <c r="AU110" s="125"/>
      <c r="AV110" s="125"/>
      <c r="AW110" s="125"/>
      <c r="AX110" s="125"/>
      <c r="AY110" s="125"/>
      <c r="AZ110" s="125"/>
      <c r="BA110" s="125"/>
      <c r="BB110" s="125"/>
      <c r="BC110" s="125"/>
      <c r="BD110" s="125"/>
      <c r="BE110" s="125"/>
      <c r="BF110" s="125"/>
    </row>
    <row r="111" spans="1:58" s="124" customFormat="1" ht="16">
      <c r="A111" s="389"/>
      <c r="B111" s="151" t="s">
        <v>2143</v>
      </c>
      <c r="C111" s="152"/>
      <c r="D111" s="152"/>
      <c r="E111" s="152"/>
      <c r="F111" s="152"/>
      <c r="G111" s="152"/>
      <c r="H111" s="152"/>
      <c r="I111" s="152"/>
      <c r="J111" s="152"/>
      <c r="K111" s="152"/>
      <c r="L111" s="152" t="s">
        <v>2144</v>
      </c>
      <c r="M111" s="123"/>
      <c r="N111" s="123"/>
      <c r="O111" s="123"/>
      <c r="P111" s="123"/>
      <c r="Q111" s="123"/>
      <c r="R111" s="123"/>
      <c r="S111" s="123"/>
      <c r="T111" s="123"/>
      <c r="U111" s="123"/>
      <c r="V111" s="125"/>
      <c r="W111" s="125"/>
      <c r="X111" s="125"/>
      <c r="Y111" s="125"/>
      <c r="Z111" s="125"/>
      <c r="AA111" s="125"/>
      <c r="AB111" s="125"/>
      <c r="AC111" s="125"/>
      <c r="AD111" s="125"/>
      <c r="AE111" s="125"/>
      <c r="AF111" s="125"/>
      <c r="AG111" s="125"/>
      <c r="AH111" s="125"/>
      <c r="AI111" s="125"/>
      <c r="AJ111" s="125"/>
      <c r="AK111" s="125"/>
      <c r="AL111" s="125"/>
      <c r="AM111" s="125"/>
      <c r="AN111" s="125"/>
      <c r="AO111" s="125"/>
      <c r="AP111" s="125"/>
      <c r="AQ111" s="125"/>
      <c r="AR111" s="125"/>
      <c r="AS111" s="125"/>
      <c r="AT111" s="125"/>
      <c r="AU111" s="125"/>
      <c r="AV111" s="125"/>
      <c r="AW111" s="125"/>
      <c r="AX111" s="125"/>
      <c r="AY111" s="125"/>
      <c r="AZ111" s="125"/>
      <c r="BA111" s="125"/>
      <c r="BB111" s="125"/>
      <c r="BC111" s="125"/>
      <c r="BD111" s="125"/>
      <c r="BE111" s="125"/>
      <c r="BF111" s="125"/>
    </row>
    <row r="112" spans="1:58" s="124" customFormat="1" ht="16">
      <c r="A112" s="390"/>
      <c r="B112" s="134" t="s">
        <v>2096</v>
      </c>
      <c r="C112" s="136"/>
      <c r="D112" s="136"/>
      <c r="E112" s="136"/>
      <c r="F112" s="136"/>
      <c r="G112" s="136"/>
      <c r="H112" s="136"/>
      <c r="I112" s="136"/>
      <c r="J112" s="136"/>
      <c r="K112" s="136"/>
      <c r="L112" s="136"/>
      <c r="M112" s="123"/>
      <c r="N112" s="123"/>
      <c r="O112" s="123"/>
      <c r="P112" s="123"/>
      <c r="Q112" s="123"/>
      <c r="R112" s="123"/>
      <c r="S112" s="123"/>
      <c r="T112" s="123"/>
      <c r="U112" s="123"/>
      <c r="V112" s="125"/>
      <c r="W112" s="125"/>
      <c r="X112" s="125"/>
      <c r="Y112" s="125"/>
      <c r="Z112" s="125"/>
      <c r="AA112" s="125"/>
      <c r="AB112" s="125"/>
      <c r="AC112" s="125"/>
      <c r="AD112" s="125"/>
      <c r="AE112" s="125"/>
      <c r="AF112" s="125"/>
      <c r="AG112" s="125"/>
      <c r="AH112" s="125"/>
      <c r="AI112" s="125"/>
      <c r="AJ112" s="125"/>
      <c r="AK112" s="125"/>
      <c r="AL112" s="125"/>
      <c r="AM112" s="125"/>
      <c r="AN112" s="125"/>
      <c r="AO112" s="125"/>
      <c r="AP112" s="125"/>
      <c r="AQ112" s="125"/>
      <c r="AR112" s="125"/>
      <c r="AS112" s="125"/>
      <c r="AT112" s="125"/>
      <c r="AU112" s="125"/>
      <c r="AV112" s="125"/>
      <c r="AW112" s="125"/>
      <c r="AX112" s="125"/>
      <c r="AY112" s="125"/>
      <c r="AZ112" s="125"/>
      <c r="BA112" s="125"/>
      <c r="BB112" s="125"/>
      <c r="BC112" s="125"/>
      <c r="BD112" s="125"/>
      <c r="BE112" s="125"/>
      <c r="BF112" s="125"/>
    </row>
    <row r="113" spans="1:58" s="124" customFormat="1" ht="16">
      <c r="A113" s="123"/>
      <c r="D113" s="123"/>
      <c r="E113" s="123"/>
      <c r="F113" s="123"/>
      <c r="G113" s="123"/>
      <c r="H113" s="123"/>
      <c r="I113" s="123"/>
      <c r="J113" s="123"/>
      <c r="K113" s="123"/>
      <c r="L113" s="123"/>
      <c r="M113" s="123"/>
      <c r="N113" s="123"/>
      <c r="O113" s="123"/>
      <c r="P113" s="123"/>
      <c r="Q113" s="123"/>
      <c r="R113" s="123"/>
      <c r="S113" s="123"/>
      <c r="T113" s="123"/>
      <c r="U113" s="123"/>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row>
    <row r="114" spans="1:58" s="124" customFormat="1" ht="55">
      <c r="A114" s="388" t="s">
        <v>2093</v>
      </c>
      <c r="B114" s="195" t="s">
        <v>2145</v>
      </c>
      <c r="C114" s="184">
        <v>2</v>
      </c>
      <c r="D114" s="184">
        <v>3</v>
      </c>
      <c r="E114" s="184">
        <v>4</v>
      </c>
      <c r="F114" s="184">
        <v>5</v>
      </c>
      <c r="G114" s="184">
        <v>6</v>
      </c>
      <c r="H114" s="184"/>
      <c r="I114" s="184">
        <v>7</v>
      </c>
      <c r="J114" s="184">
        <v>9</v>
      </c>
      <c r="K114" s="184"/>
      <c r="L114" s="184"/>
      <c r="M114" s="123"/>
      <c r="P114" s="123"/>
      <c r="Q114" s="123"/>
      <c r="R114" s="123"/>
      <c r="S114" s="123"/>
      <c r="T114" s="123"/>
      <c r="U114" s="123"/>
      <c r="V114" s="125"/>
      <c r="W114" s="125"/>
      <c r="X114" s="125"/>
      <c r="Y114" s="125"/>
      <c r="Z114" s="125"/>
      <c r="AA114" s="125"/>
      <c r="AB114" s="125"/>
      <c r="AC114" s="125"/>
      <c r="AD114" s="125"/>
      <c r="AE114" s="125"/>
      <c r="AF114" s="125"/>
      <c r="AG114" s="125"/>
      <c r="AH114" s="125"/>
      <c r="AI114" s="125"/>
      <c r="AJ114" s="125"/>
      <c r="AK114" s="125"/>
      <c r="AL114" s="125"/>
      <c r="AM114" s="125"/>
      <c r="AN114" s="125"/>
      <c r="AO114" s="125"/>
      <c r="AP114" s="125"/>
      <c r="AQ114" s="125"/>
      <c r="AR114" s="125"/>
      <c r="AS114" s="125"/>
      <c r="AT114" s="125"/>
      <c r="AU114" s="125"/>
      <c r="AV114" s="125"/>
      <c r="AW114" s="125"/>
      <c r="AX114" s="125"/>
      <c r="AY114" s="125"/>
      <c r="AZ114" s="125"/>
      <c r="BA114" s="125"/>
      <c r="BB114" s="125"/>
      <c r="BC114" s="125"/>
      <c r="BD114" s="125"/>
      <c r="BE114" s="125"/>
      <c r="BF114" s="125"/>
    </row>
    <row r="115" spans="1:58" s="124" customFormat="1" ht="16">
      <c r="A115" s="389"/>
      <c r="B115" s="151" t="s">
        <v>2133</v>
      </c>
      <c r="C115" s="152" t="s">
        <v>2127</v>
      </c>
      <c r="D115" s="152" t="s">
        <v>2127</v>
      </c>
      <c r="E115" s="152" t="s">
        <v>2128</v>
      </c>
      <c r="F115" s="152" t="s">
        <v>2128</v>
      </c>
      <c r="G115" s="152" t="s">
        <v>2083</v>
      </c>
      <c r="H115" s="152"/>
      <c r="I115" s="152" t="s">
        <v>2083</v>
      </c>
      <c r="J115" s="152" t="s">
        <v>2130</v>
      </c>
      <c r="K115" s="152"/>
      <c r="L115" s="152"/>
      <c r="P115" s="123"/>
      <c r="Q115" s="123"/>
      <c r="R115" s="123"/>
      <c r="S115" s="123"/>
      <c r="T115" s="123"/>
      <c r="U115" s="123"/>
      <c r="V115" s="125"/>
      <c r="W115" s="125"/>
      <c r="X115" s="125"/>
      <c r="Y115" s="125"/>
      <c r="Z115" s="125"/>
      <c r="AA115" s="125"/>
      <c r="AB115" s="125"/>
      <c r="AC115" s="125"/>
      <c r="AD115" s="125"/>
      <c r="AE115" s="125"/>
      <c r="AF115" s="125"/>
      <c r="AG115" s="125"/>
      <c r="AH115" s="125"/>
      <c r="AI115" s="125"/>
      <c r="AJ115" s="125"/>
      <c r="AK115" s="125"/>
      <c r="AL115" s="125"/>
      <c r="AM115" s="125"/>
      <c r="AN115" s="125"/>
      <c r="AO115" s="125"/>
      <c r="AP115" s="125"/>
      <c r="AQ115" s="125"/>
      <c r="AR115" s="125"/>
      <c r="AS115" s="125"/>
      <c r="AT115" s="125"/>
      <c r="AU115" s="125"/>
      <c r="AV115" s="125"/>
      <c r="AW115" s="125"/>
      <c r="AX115" s="125"/>
      <c r="AY115" s="125"/>
      <c r="AZ115" s="125"/>
      <c r="BA115" s="125"/>
      <c r="BB115" s="125"/>
      <c r="BC115" s="125"/>
      <c r="BD115" s="125"/>
      <c r="BE115" s="125"/>
      <c r="BF115" s="125"/>
    </row>
    <row r="116" spans="1:58" s="124" customFormat="1" ht="16">
      <c r="A116" s="389"/>
      <c r="B116" s="151" t="s">
        <v>2135</v>
      </c>
      <c r="C116" s="152">
        <v>2</v>
      </c>
      <c r="D116" s="152" t="s">
        <v>2136</v>
      </c>
      <c r="E116" s="152">
        <v>2</v>
      </c>
      <c r="F116" s="152" t="s">
        <v>2136</v>
      </c>
      <c r="G116" s="152">
        <v>2</v>
      </c>
      <c r="H116" s="152"/>
      <c r="I116" s="152" t="s">
        <v>2136</v>
      </c>
      <c r="J116" s="152" t="s">
        <v>2136</v>
      </c>
      <c r="K116" s="152"/>
      <c r="L116" s="152"/>
      <c r="P116" s="123"/>
      <c r="Q116" s="123"/>
      <c r="R116" s="123"/>
      <c r="S116" s="123"/>
      <c r="T116" s="123"/>
      <c r="U116" s="123"/>
      <c r="V116" s="125"/>
      <c r="W116" s="125"/>
      <c r="X116" s="125"/>
      <c r="Y116" s="125"/>
      <c r="Z116" s="125"/>
      <c r="AA116" s="125"/>
      <c r="AB116" s="125"/>
      <c r="AC116" s="125"/>
      <c r="AD116" s="125"/>
      <c r="AE116" s="125"/>
      <c r="AF116" s="125"/>
      <c r="AG116" s="125"/>
      <c r="AH116" s="125"/>
      <c r="AI116" s="125"/>
      <c r="AJ116" s="125"/>
      <c r="AK116" s="125"/>
      <c r="AL116" s="125"/>
      <c r="AM116" s="125"/>
      <c r="AN116" s="125"/>
      <c r="AO116" s="125"/>
      <c r="AP116" s="125"/>
      <c r="AQ116" s="125"/>
      <c r="AR116" s="125"/>
      <c r="AS116" s="125"/>
      <c r="AT116" s="125"/>
      <c r="AU116" s="125"/>
      <c r="AV116" s="125"/>
      <c r="AW116" s="125"/>
      <c r="AX116" s="125"/>
      <c r="AY116" s="125"/>
      <c r="AZ116" s="125"/>
      <c r="BA116" s="125"/>
      <c r="BB116" s="125"/>
      <c r="BC116" s="125"/>
      <c r="BD116" s="125"/>
      <c r="BE116" s="125"/>
      <c r="BF116" s="125"/>
    </row>
    <row r="117" spans="1:58" s="124" customFormat="1" ht="16">
      <c r="A117" s="389"/>
      <c r="B117" s="151" t="s">
        <v>2138</v>
      </c>
      <c r="C117" s="152"/>
      <c r="D117" s="152"/>
      <c r="E117" s="152"/>
      <c r="F117" s="152"/>
      <c r="G117" s="152"/>
      <c r="H117" s="152"/>
      <c r="I117" s="152"/>
      <c r="J117" s="152"/>
      <c r="K117" s="152"/>
      <c r="L117" s="152"/>
      <c r="P117" s="123"/>
      <c r="Q117" s="123"/>
      <c r="R117" s="123"/>
      <c r="S117" s="123"/>
      <c r="T117" s="123"/>
      <c r="U117" s="123"/>
      <c r="V117" s="125"/>
      <c r="W117" s="125"/>
      <c r="X117" s="125"/>
      <c r="Y117" s="125"/>
      <c r="Z117" s="125"/>
      <c r="AA117" s="125"/>
      <c r="AB117" s="125"/>
      <c r="AC117" s="125"/>
      <c r="AD117" s="125"/>
      <c r="AE117" s="125"/>
      <c r="AF117" s="125"/>
      <c r="AG117" s="125"/>
      <c r="AH117" s="125"/>
      <c r="AI117" s="125"/>
      <c r="AJ117" s="125"/>
      <c r="AK117" s="125"/>
      <c r="AL117" s="125"/>
      <c r="AM117" s="125"/>
      <c r="AN117" s="125"/>
      <c r="AO117" s="125"/>
      <c r="AP117" s="125"/>
      <c r="AQ117" s="125"/>
      <c r="AR117" s="125"/>
      <c r="AS117" s="125"/>
      <c r="AT117" s="125"/>
      <c r="AU117" s="125"/>
      <c r="AV117" s="125"/>
      <c r="AW117" s="125"/>
      <c r="AX117" s="125"/>
      <c r="AY117" s="125"/>
      <c r="AZ117" s="125"/>
      <c r="BA117" s="125"/>
      <c r="BB117" s="125"/>
      <c r="BC117" s="125"/>
      <c r="BD117" s="125"/>
      <c r="BE117" s="125"/>
      <c r="BF117" s="125"/>
    </row>
    <row r="118" spans="1:58" s="124" customFormat="1" ht="16">
      <c r="A118" s="389"/>
      <c r="B118" s="151" t="s">
        <v>2141</v>
      </c>
      <c r="C118" s="152"/>
      <c r="D118" s="152"/>
      <c r="E118" s="152"/>
      <c r="F118" s="152"/>
      <c r="G118" s="152"/>
      <c r="H118" s="152"/>
      <c r="I118" s="152"/>
      <c r="J118" s="152"/>
      <c r="K118" s="152"/>
      <c r="L118" s="152"/>
      <c r="P118" s="123"/>
      <c r="Q118" s="123"/>
      <c r="R118" s="123"/>
      <c r="S118" s="123"/>
      <c r="T118" s="123"/>
      <c r="U118" s="123"/>
      <c r="V118" s="125"/>
      <c r="W118" s="125"/>
      <c r="X118" s="125"/>
      <c r="Y118" s="125"/>
      <c r="Z118" s="125"/>
      <c r="AA118" s="125"/>
      <c r="AB118" s="125"/>
      <c r="AC118" s="125"/>
      <c r="AD118" s="125"/>
      <c r="AE118" s="125"/>
      <c r="AF118" s="125"/>
      <c r="AG118" s="125"/>
      <c r="AH118" s="125"/>
      <c r="AI118" s="125"/>
      <c r="AJ118" s="125"/>
      <c r="AK118" s="125"/>
      <c r="AL118" s="125"/>
      <c r="AM118" s="125"/>
      <c r="AN118" s="125"/>
      <c r="AO118" s="125"/>
      <c r="AP118" s="125"/>
      <c r="AQ118" s="125"/>
      <c r="AR118" s="125"/>
      <c r="AS118" s="125"/>
      <c r="AT118" s="125"/>
      <c r="AU118" s="125"/>
      <c r="AV118" s="125"/>
      <c r="AW118" s="125"/>
      <c r="AX118" s="125"/>
      <c r="AY118" s="125"/>
      <c r="AZ118" s="125"/>
      <c r="BA118" s="125"/>
      <c r="BB118" s="125"/>
      <c r="BC118" s="125"/>
      <c r="BD118" s="125"/>
      <c r="BE118" s="125"/>
      <c r="BF118" s="125"/>
    </row>
    <row r="119" spans="1:58" s="124" customFormat="1" ht="16">
      <c r="A119" s="389"/>
      <c r="B119" s="151" t="s">
        <v>2143</v>
      </c>
      <c r="C119" s="152"/>
      <c r="D119" s="152"/>
      <c r="E119" s="152"/>
      <c r="F119" s="152"/>
      <c r="G119" s="152"/>
      <c r="H119" s="152"/>
      <c r="I119" s="152"/>
      <c r="J119" s="152"/>
      <c r="K119" s="152"/>
      <c r="L119" s="152"/>
      <c r="P119" s="123"/>
      <c r="Q119" s="123"/>
      <c r="R119" s="123"/>
      <c r="S119" s="123"/>
      <c r="T119" s="123"/>
      <c r="U119" s="123"/>
      <c r="V119" s="125"/>
      <c r="W119" s="125"/>
      <c r="X119" s="125"/>
      <c r="Y119" s="125"/>
      <c r="Z119" s="125"/>
      <c r="AA119" s="125"/>
      <c r="AB119" s="125"/>
      <c r="AC119" s="125"/>
      <c r="AD119" s="125"/>
      <c r="AE119" s="125"/>
      <c r="AF119" s="125"/>
      <c r="AG119" s="125"/>
      <c r="AH119" s="125"/>
      <c r="AI119" s="125"/>
      <c r="AJ119" s="125"/>
      <c r="AK119" s="125"/>
      <c r="AL119" s="125"/>
      <c r="AM119" s="125"/>
      <c r="AN119" s="125"/>
      <c r="AO119" s="125"/>
      <c r="AP119" s="125"/>
      <c r="AQ119" s="125"/>
      <c r="AR119" s="125"/>
      <c r="AS119" s="125"/>
      <c r="AT119" s="125"/>
      <c r="AU119" s="125"/>
      <c r="AV119" s="125"/>
      <c r="AW119" s="125"/>
      <c r="AX119" s="125"/>
      <c r="AY119" s="125"/>
      <c r="AZ119" s="125"/>
      <c r="BA119" s="125"/>
      <c r="BB119" s="125"/>
      <c r="BC119" s="125"/>
      <c r="BD119" s="125"/>
      <c r="BE119" s="125"/>
      <c r="BF119" s="125"/>
    </row>
    <row r="120" spans="1:58" s="124" customFormat="1" ht="16">
      <c r="A120" s="390"/>
      <c r="B120" s="134" t="s">
        <v>2096</v>
      </c>
      <c r="C120" s="136"/>
      <c r="D120" s="136"/>
      <c r="E120" s="136"/>
      <c r="F120" s="136"/>
      <c r="G120" s="136"/>
      <c r="H120" s="136"/>
      <c r="I120" s="136"/>
      <c r="J120" s="136"/>
      <c r="K120" s="136"/>
      <c r="L120" s="136"/>
      <c r="P120" s="123"/>
      <c r="Q120" s="123"/>
      <c r="R120" s="123"/>
      <c r="S120" s="123"/>
      <c r="T120" s="123"/>
      <c r="U120" s="123"/>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row>
    <row r="121" spans="1:58" s="124" customFormat="1" ht="16">
      <c r="L121" s="123"/>
      <c r="M121" s="123"/>
      <c r="P121" s="123"/>
      <c r="Q121" s="123"/>
      <c r="R121" s="123"/>
      <c r="S121" s="123"/>
      <c r="T121" s="123"/>
      <c r="U121" s="123"/>
      <c r="V121" s="125"/>
      <c r="W121" s="125"/>
      <c r="X121" s="125"/>
      <c r="Y121" s="125"/>
      <c r="Z121" s="125"/>
      <c r="AA121" s="125"/>
      <c r="AB121" s="125"/>
      <c r="AC121" s="125"/>
      <c r="AD121" s="125"/>
      <c r="AE121" s="125"/>
      <c r="AF121" s="125"/>
      <c r="AG121" s="125"/>
      <c r="AH121" s="125"/>
      <c r="AI121" s="125"/>
      <c r="AJ121" s="125"/>
      <c r="AK121" s="125"/>
      <c r="AL121" s="125"/>
      <c r="AM121" s="125"/>
      <c r="AN121" s="125"/>
      <c r="AO121" s="125"/>
      <c r="AP121" s="125"/>
      <c r="AQ121" s="125"/>
      <c r="AR121" s="125"/>
      <c r="AS121" s="125"/>
      <c r="AT121" s="125"/>
      <c r="AU121" s="125"/>
      <c r="AV121" s="125"/>
      <c r="AW121" s="125"/>
      <c r="AX121" s="125"/>
      <c r="AY121" s="125"/>
      <c r="AZ121" s="125"/>
      <c r="BA121" s="125"/>
      <c r="BB121" s="125"/>
      <c r="BC121" s="125"/>
      <c r="BD121" s="125"/>
      <c r="BE121" s="125"/>
      <c r="BF121" s="125"/>
    </row>
    <row r="122" spans="1:58" s="124" customFormat="1" ht="55">
      <c r="A122" s="388" t="s">
        <v>2146</v>
      </c>
      <c r="B122" s="195" t="s">
        <v>2147</v>
      </c>
      <c r="C122" s="184">
        <v>2</v>
      </c>
      <c r="D122" s="184">
        <v>3</v>
      </c>
      <c r="E122" s="184">
        <v>4</v>
      </c>
      <c r="F122" s="184">
        <v>5</v>
      </c>
      <c r="G122" s="184">
        <v>6</v>
      </c>
      <c r="H122" s="184"/>
      <c r="I122" s="184">
        <v>7</v>
      </c>
      <c r="J122" s="184">
        <v>9</v>
      </c>
      <c r="K122" s="184"/>
      <c r="L122" s="184">
        <v>12</v>
      </c>
      <c r="M122" s="123"/>
      <c r="P122" s="123"/>
      <c r="Q122" s="123"/>
      <c r="R122" s="123"/>
      <c r="S122" s="123"/>
      <c r="T122" s="123"/>
      <c r="U122" s="123"/>
      <c r="V122" s="125"/>
      <c r="W122" s="125"/>
      <c r="X122" s="125"/>
      <c r="Y122" s="125"/>
      <c r="Z122" s="125"/>
      <c r="AA122" s="125"/>
      <c r="AB122" s="125"/>
      <c r="AC122" s="125"/>
      <c r="AD122" s="125"/>
      <c r="AE122" s="125"/>
      <c r="AF122" s="125"/>
      <c r="AG122" s="125"/>
      <c r="AH122" s="125"/>
      <c r="AI122" s="125"/>
      <c r="AJ122" s="125"/>
      <c r="AK122" s="125"/>
      <c r="AL122" s="125"/>
      <c r="AM122" s="125"/>
      <c r="AN122" s="125"/>
      <c r="AO122" s="125"/>
      <c r="AP122" s="125"/>
      <c r="AQ122" s="125"/>
      <c r="AR122" s="125"/>
      <c r="AS122" s="125"/>
      <c r="AT122" s="125"/>
      <c r="AU122" s="125"/>
      <c r="AV122" s="125"/>
      <c r="AW122" s="125"/>
      <c r="AX122" s="125"/>
      <c r="AY122" s="125"/>
      <c r="AZ122" s="125"/>
      <c r="BA122" s="125"/>
      <c r="BB122" s="125"/>
      <c r="BC122" s="125"/>
      <c r="BD122" s="125"/>
      <c r="BE122" s="125"/>
      <c r="BF122" s="125"/>
    </row>
    <row r="123" spans="1:58" s="124" customFormat="1" ht="16">
      <c r="A123" s="389"/>
      <c r="B123" s="151" t="s">
        <v>2133</v>
      </c>
      <c r="C123" s="152" t="s">
        <v>2083</v>
      </c>
      <c r="D123" s="152" t="s">
        <v>2083</v>
      </c>
      <c r="E123" s="152" t="s">
        <v>2131</v>
      </c>
      <c r="F123" s="152" t="s">
        <v>2131</v>
      </c>
      <c r="G123" s="152" t="s">
        <v>2131</v>
      </c>
      <c r="H123" s="152"/>
      <c r="I123" s="152" t="s">
        <v>2131</v>
      </c>
      <c r="J123" s="152" t="s">
        <v>2131</v>
      </c>
      <c r="K123" s="152"/>
      <c r="L123" s="152" t="s">
        <v>2131</v>
      </c>
      <c r="M123" s="123"/>
      <c r="P123" s="123"/>
      <c r="Q123" s="123"/>
      <c r="R123" s="123"/>
      <c r="S123" s="123"/>
      <c r="T123" s="123"/>
      <c r="U123" s="123"/>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125"/>
      <c r="AT123" s="125"/>
      <c r="AU123" s="125"/>
      <c r="AV123" s="125"/>
      <c r="AW123" s="125"/>
      <c r="AX123" s="125"/>
      <c r="AY123" s="125"/>
      <c r="AZ123" s="125"/>
      <c r="BA123" s="125"/>
      <c r="BB123" s="125"/>
      <c r="BC123" s="125"/>
      <c r="BD123" s="125"/>
      <c r="BE123" s="125"/>
      <c r="BF123" s="125"/>
    </row>
    <row r="124" spans="1:58" s="124" customFormat="1" ht="16">
      <c r="A124" s="389"/>
      <c r="B124" s="151" t="s">
        <v>2135</v>
      </c>
      <c r="C124" s="152">
        <v>2</v>
      </c>
      <c r="D124" s="152" t="s">
        <v>2136</v>
      </c>
      <c r="E124" s="152">
        <v>2</v>
      </c>
      <c r="F124" s="152" t="s">
        <v>2136</v>
      </c>
      <c r="G124" s="152" t="s">
        <v>2136</v>
      </c>
      <c r="H124" s="152"/>
      <c r="I124" s="152">
        <v>2</v>
      </c>
      <c r="J124" s="152">
        <v>2</v>
      </c>
      <c r="K124" s="152"/>
      <c r="L124" s="152" t="s">
        <v>2136</v>
      </c>
      <c r="M124" s="123"/>
      <c r="N124" s="123"/>
      <c r="O124" s="123"/>
      <c r="P124" s="123"/>
      <c r="Q124" s="123"/>
      <c r="R124" s="123"/>
      <c r="S124" s="123"/>
      <c r="T124" s="123"/>
      <c r="U124" s="123"/>
      <c r="V124" s="125"/>
      <c r="W124" s="125"/>
      <c r="X124" s="125"/>
      <c r="Y124" s="125"/>
      <c r="Z124" s="125"/>
      <c r="AA124" s="125"/>
      <c r="AB124" s="125"/>
      <c r="AC124" s="125"/>
      <c r="AD124" s="125"/>
      <c r="AE124" s="125"/>
      <c r="AF124" s="125"/>
      <c r="AG124" s="125"/>
      <c r="AH124" s="125"/>
      <c r="AI124" s="125"/>
      <c r="AJ124" s="125"/>
      <c r="AK124" s="125"/>
      <c r="AL124" s="125"/>
      <c r="AM124" s="125"/>
      <c r="AN124" s="125"/>
      <c r="AO124" s="125"/>
      <c r="AP124" s="125"/>
      <c r="AQ124" s="125"/>
      <c r="AR124" s="125"/>
      <c r="AS124" s="125"/>
      <c r="AT124" s="125"/>
      <c r="AU124" s="125"/>
      <c r="AV124" s="125"/>
      <c r="AW124" s="125"/>
      <c r="AX124" s="125"/>
      <c r="AY124" s="125"/>
      <c r="AZ124" s="125"/>
      <c r="BA124" s="125"/>
      <c r="BB124" s="125"/>
      <c r="BC124" s="125"/>
      <c r="BD124" s="125"/>
      <c r="BE124" s="125"/>
      <c r="BF124" s="125"/>
    </row>
    <row r="125" spans="1:58" s="124" customFormat="1" ht="16">
      <c r="A125" s="389"/>
      <c r="B125" s="151" t="s">
        <v>2138</v>
      </c>
      <c r="C125" s="152" t="s">
        <v>2139</v>
      </c>
      <c r="D125" s="152" t="s">
        <v>2139</v>
      </c>
      <c r="E125" s="152" t="s">
        <v>2139</v>
      </c>
      <c r="F125" s="152" t="s">
        <v>2139</v>
      </c>
      <c r="G125" s="152" t="s">
        <v>2139</v>
      </c>
      <c r="H125" s="152"/>
      <c r="I125" s="152" t="s">
        <v>2140</v>
      </c>
      <c r="J125" s="152" t="s">
        <v>2140</v>
      </c>
      <c r="K125" s="152"/>
      <c r="L125" s="152" t="s">
        <v>2140</v>
      </c>
      <c r="M125" s="123"/>
      <c r="N125" s="123"/>
      <c r="O125" s="123"/>
      <c r="P125" s="123"/>
      <c r="Q125" s="123"/>
      <c r="R125" s="123"/>
      <c r="S125" s="123"/>
      <c r="T125" s="123"/>
      <c r="U125" s="123"/>
      <c r="V125" s="125"/>
      <c r="W125" s="125"/>
      <c r="X125" s="125"/>
      <c r="Y125" s="125"/>
      <c r="Z125" s="125"/>
      <c r="AA125" s="125"/>
      <c r="AB125" s="125"/>
      <c r="AC125" s="125"/>
      <c r="AD125" s="125"/>
      <c r="AE125" s="125"/>
      <c r="AF125" s="125"/>
      <c r="AG125" s="125"/>
      <c r="AH125" s="125"/>
      <c r="AI125" s="125"/>
      <c r="AJ125" s="125"/>
      <c r="AK125" s="125"/>
      <c r="AL125" s="125"/>
      <c r="AM125" s="125"/>
      <c r="AN125" s="125"/>
      <c r="AO125" s="125"/>
      <c r="AP125" s="125"/>
      <c r="AQ125" s="125"/>
      <c r="AR125" s="125"/>
      <c r="AS125" s="125"/>
      <c r="AT125" s="125"/>
      <c r="AU125" s="125"/>
      <c r="AV125" s="125"/>
      <c r="AW125" s="125"/>
      <c r="AX125" s="125"/>
      <c r="AY125" s="125"/>
      <c r="AZ125" s="125"/>
      <c r="BA125" s="125"/>
      <c r="BB125" s="125"/>
      <c r="BC125" s="125"/>
      <c r="BD125" s="125"/>
      <c r="BE125" s="125"/>
      <c r="BF125" s="125"/>
    </row>
    <row r="126" spans="1:58" s="124" customFormat="1" ht="16">
      <c r="A126" s="389"/>
      <c r="B126" s="151" t="s">
        <v>2141</v>
      </c>
      <c r="C126" s="152" t="s">
        <v>2142</v>
      </c>
      <c r="D126" s="152" t="s">
        <v>2142</v>
      </c>
      <c r="E126" s="152" t="s">
        <v>2142</v>
      </c>
      <c r="F126" s="152" t="s">
        <v>2142</v>
      </c>
      <c r="G126" s="152" t="s">
        <v>2148</v>
      </c>
      <c r="H126" s="152"/>
      <c r="I126" s="152"/>
      <c r="J126" s="152"/>
      <c r="K126" s="152"/>
      <c r="L126" s="152"/>
      <c r="M126" s="123"/>
      <c r="N126" s="123"/>
      <c r="O126" s="123"/>
      <c r="P126" s="123"/>
      <c r="Q126" s="123"/>
      <c r="R126" s="123"/>
      <c r="S126" s="123"/>
      <c r="T126" s="123"/>
      <c r="U126" s="123"/>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row>
    <row r="127" spans="1:58" s="124" customFormat="1" ht="16">
      <c r="A127" s="389"/>
      <c r="B127" s="151" t="s">
        <v>2143</v>
      </c>
      <c r="C127" s="152"/>
      <c r="D127" s="152"/>
      <c r="E127" s="152"/>
      <c r="F127" s="152"/>
      <c r="G127" s="152"/>
      <c r="H127" s="152"/>
      <c r="I127" s="152" t="s">
        <v>2149</v>
      </c>
      <c r="J127" s="152" t="s">
        <v>2149</v>
      </c>
      <c r="K127" s="152"/>
      <c r="L127" s="152" t="s">
        <v>2144</v>
      </c>
      <c r="M127" s="123"/>
      <c r="N127" s="123"/>
      <c r="O127" s="123"/>
      <c r="P127" s="123"/>
      <c r="Q127" s="123"/>
      <c r="R127" s="123"/>
      <c r="S127" s="123"/>
      <c r="T127" s="123"/>
      <c r="U127" s="123"/>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25"/>
      <c r="AX127" s="125"/>
      <c r="AY127" s="125"/>
      <c r="AZ127" s="125"/>
      <c r="BA127" s="125"/>
      <c r="BB127" s="125"/>
      <c r="BC127" s="125"/>
      <c r="BD127" s="125"/>
      <c r="BE127" s="125"/>
      <c r="BF127" s="125"/>
    </row>
    <row r="128" spans="1:58" s="124" customFormat="1" ht="16">
      <c r="A128" s="390"/>
      <c r="B128" s="134" t="s">
        <v>2096</v>
      </c>
      <c r="C128" s="136"/>
      <c r="D128" s="136"/>
      <c r="E128" s="136"/>
      <c r="F128" s="136"/>
      <c r="G128" s="136"/>
      <c r="H128" s="136"/>
      <c r="I128" s="136" t="s">
        <v>2150</v>
      </c>
      <c r="J128" s="136" t="s">
        <v>2097</v>
      </c>
      <c r="K128" s="136"/>
      <c r="L128" s="136"/>
      <c r="M128" s="123"/>
      <c r="N128" s="123"/>
      <c r="O128" s="123"/>
      <c r="P128" s="123"/>
      <c r="Q128" s="123"/>
      <c r="R128" s="123"/>
      <c r="S128" s="123"/>
      <c r="T128" s="123"/>
      <c r="U128" s="123"/>
      <c r="V128" s="125"/>
      <c r="W128" s="125"/>
      <c r="X128" s="125"/>
      <c r="Y128" s="125"/>
      <c r="Z128" s="125"/>
      <c r="AA128" s="125"/>
      <c r="AB128" s="125"/>
      <c r="AC128" s="125"/>
      <c r="AD128" s="125"/>
      <c r="AE128" s="125"/>
      <c r="AF128" s="125"/>
      <c r="AG128" s="125"/>
      <c r="AH128" s="125"/>
      <c r="AI128" s="125"/>
      <c r="AJ128" s="125"/>
      <c r="AK128" s="125"/>
      <c r="AL128" s="125"/>
      <c r="AM128" s="125"/>
      <c r="AN128" s="125"/>
      <c r="AO128" s="125"/>
      <c r="AP128" s="125"/>
      <c r="AQ128" s="125"/>
      <c r="AR128" s="125"/>
      <c r="AS128" s="125"/>
      <c r="AT128" s="125"/>
      <c r="AU128" s="125"/>
      <c r="AV128" s="125"/>
      <c r="AW128" s="125"/>
      <c r="AX128" s="125"/>
      <c r="AY128" s="125"/>
      <c r="AZ128" s="125"/>
      <c r="BA128" s="125"/>
      <c r="BB128" s="125"/>
      <c r="BC128" s="125"/>
      <c r="BD128" s="125"/>
      <c r="BE128" s="125"/>
      <c r="BF128" s="125"/>
    </row>
    <row r="129" spans="1:58" s="124" customFormat="1" ht="16">
      <c r="C129" s="123"/>
      <c r="D129" s="123"/>
      <c r="E129" s="123"/>
      <c r="F129" s="123"/>
      <c r="G129" s="123"/>
      <c r="H129" s="123"/>
      <c r="I129" s="123"/>
      <c r="J129" s="123"/>
      <c r="K129" s="123"/>
      <c r="L129" s="123"/>
      <c r="M129" s="123"/>
      <c r="N129" s="123"/>
      <c r="O129" s="123"/>
      <c r="P129" s="123"/>
      <c r="Q129" s="123"/>
      <c r="R129" s="123"/>
      <c r="S129" s="123"/>
      <c r="T129" s="123"/>
      <c r="U129" s="123"/>
      <c r="V129" s="125"/>
      <c r="W129" s="125"/>
      <c r="X129" s="125"/>
      <c r="Y129" s="125"/>
      <c r="Z129" s="125"/>
      <c r="AA129" s="125"/>
      <c r="AB129" s="125"/>
      <c r="AC129" s="125"/>
      <c r="AD129" s="125"/>
      <c r="AE129" s="125"/>
      <c r="AF129" s="125"/>
      <c r="AG129" s="125"/>
      <c r="AH129" s="125"/>
      <c r="AI129" s="125"/>
      <c r="AJ129" s="125"/>
      <c r="AK129" s="125"/>
      <c r="AL129" s="125"/>
      <c r="AM129" s="125"/>
      <c r="AN129" s="125"/>
      <c r="AO129" s="125"/>
      <c r="AP129" s="125"/>
      <c r="AQ129" s="125"/>
      <c r="AR129" s="125"/>
      <c r="AS129" s="125"/>
      <c r="AT129" s="125"/>
      <c r="AU129" s="125"/>
      <c r="AV129" s="125"/>
      <c r="AW129" s="125"/>
      <c r="AX129" s="125"/>
      <c r="AY129" s="125"/>
      <c r="AZ129" s="125"/>
      <c r="BA129" s="125"/>
      <c r="BB129" s="125"/>
      <c r="BC129" s="125"/>
      <c r="BD129" s="125"/>
      <c r="BE129" s="125"/>
      <c r="BF129" s="125"/>
    </row>
    <row r="130" spans="1:58" s="124" customFormat="1" ht="74">
      <c r="A130" s="388" t="s">
        <v>2151</v>
      </c>
      <c r="B130" s="195" t="s">
        <v>2152</v>
      </c>
      <c r="C130" s="184">
        <v>2</v>
      </c>
      <c r="D130" s="184">
        <v>3</v>
      </c>
      <c r="E130" s="184">
        <v>4</v>
      </c>
      <c r="F130" s="184">
        <v>5</v>
      </c>
      <c r="G130" s="184">
        <v>6</v>
      </c>
      <c r="H130" s="184"/>
      <c r="I130" s="184">
        <v>7</v>
      </c>
      <c r="J130" s="184"/>
      <c r="K130" s="184"/>
      <c r="L130" s="184"/>
      <c r="M130" s="123"/>
      <c r="N130" s="123"/>
      <c r="O130" s="123"/>
      <c r="P130" s="123"/>
      <c r="Q130" s="123"/>
      <c r="R130" s="123"/>
      <c r="S130" s="123"/>
      <c r="T130" s="123"/>
      <c r="U130" s="123"/>
      <c r="V130" s="125"/>
      <c r="W130" s="125"/>
      <c r="X130" s="125"/>
      <c r="Y130" s="125"/>
      <c r="Z130" s="125"/>
      <c r="AA130" s="125"/>
      <c r="AB130" s="125"/>
      <c r="AC130" s="125"/>
      <c r="AD130" s="125"/>
      <c r="AE130" s="125"/>
      <c r="AF130" s="125"/>
      <c r="AG130" s="125"/>
      <c r="AH130" s="125"/>
      <c r="AI130" s="125"/>
      <c r="AJ130" s="125"/>
      <c r="AK130" s="125"/>
      <c r="AL130" s="125"/>
      <c r="AM130" s="125"/>
      <c r="AN130" s="125"/>
      <c r="AO130" s="125"/>
      <c r="AP130" s="125"/>
      <c r="AQ130" s="125"/>
      <c r="AR130" s="125"/>
      <c r="AS130" s="125"/>
      <c r="AT130" s="125"/>
      <c r="AU130" s="125"/>
      <c r="AV130" s="125"/>
      <c r="AW130" s="125"/>
      <c r="AX130" s="125"/>
      <c r="AY130" s="125"/>
      <c r="AZ130" s="125"/>
      <c r="BA130" s="125"/>
      <c r="BB130" s="125"/>
      <c r="BC130" s="125"/>
      <c r="BD130" s="125"/>
      <c r="BE130" s="125"/>
      <c r="BF130" s="125"/>
    </row>
    <row r="131" spans="1:58" s="124" customFormat="1" ht="16">
      <c r="A131" s="389"/>
      <c r="B131" s="151" t="s">
        <v>2133</v>
      </c>
      <c r="C131" s="152" t="s">
        <v>2083</v>
      </c>
      <c r="D131" s="152" t="s">
        <v>2083</v>
      </c>
      <c r="E131" s="152" t="s">
        <v>2130</v>
      </c>
      <c r="F131" s="152" t="s">
        <v>2130</v>
      </c>
      <c r="G131" s="152" t="s">
        <v>2129</v>
      </c>
      <c r="H131" s="152"/>
      <c r="I131" s="152" t="s">
        <v>2129</v>
      </c>
      <c r="J131" s="152"/>
      <c r="K131" s="152"/>
      <c r="L131" s="152"/>
      <c r="M131" s="123"/>
      <c r="N131" s="123"/>
      <c r="O131" s="123"/>
      <c r="P131" s="123"/>
      <c r="Q131" s="123"/>
      <c r="R131" s="123"/>
      <c r="S131" s="123"/>
      <c r="T131" s="123"/>
      <c r="U131" s="123"/>
      <c r="V131" s="125"/>
      <c r="W131" s="125"/>
      <c r="X131" s="125"/>
      <c r="Y131" s="125"/>
      <c r="Z131" s="125"/>
      <c r="AA131" s="125"/>
      <c r="AB131" s="125"/>
      <c r="AC131" s="125"/>
      <c r="AD131" s="125"/>
      <c r="AE131" s="125"/>
      <c r="AF131" s="125"/>
      <c r="AG131" s="125"/>
      <c r="AH131" s="125"/>
      <c r="AI131" s="125"/>
      <c r="AJ131" s="125"/>
      <c r="AK131" s="125"/>
      <c r="AL131" s="125"/>
      <c r="AM131" s="125"/>
      <c r="AN131" s="125"/>
      <c r="AO131" s="125"/>
      <c r="AP131" s="125"/>
      <c r="AQ131" s="125"/>
      <c r="AR131" s="125"/>
      <c r="AS131" s="125"/>
      <c r="AT131" s="125"/>
      <c r="AU131" s="125"/>
      <c r="AV131" s="125"/>
      <c r="AW131" s="125"/>
      <c r="AX131" s="125"/>
      <c r="AY131" s="125"/>
      <c r="AZ131" s="125"/>
      <c r="BA131" s="125"/>
      <c r="BB131" s="125"/>
      <c r="BC131" s="125"/>
      <c r="BD131" s="125"/>
      <c r="BE131" s="125"/>
      <c r="BF131" s="125"/>
    </row>
    <row r="132" spans="1:58" s="124" customFormat="1" ht="16">
      <c r="A132" s="389"/>
      <c r="B132" s="151" t="s">
        <v>2135</v>
      </c>
      <c r="C132" s="152">
        <v>2</v>
      </c>
      <c r="D132" s="152" t="s">
        <v>2136</v>
      </c>
      <c r="E132" s="152">
        <v>2</v>
      </c>
      <c r="F132" s="152" t="s">
        <v>2136</v>
      </c>
      <c r="G132" s="152">
        <v>2</v>
      </c>
      <c r="H132" s="152"/>
      <c r="I132" s="152" t="s">
        <v>2136</v>
      </c>
      <c r="J132" s="152"/>
      <c r="K132" s="152"/>
      <c r="L132" s="152"/>
      <c r="M132" s="123"/>
      <c r="N132" s="123"/>
      <c r="O132" s="123"/>
      <c r="P132" s="123"/>
      <c r="Q132" s="123"/>
      <c r="R132" s="123"/>
      <c r="S132" s="123"/>
      <c r="T132" s="123"/>
      <c r="U132" s="123"/>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row>
    <row r="133" spans="1:58" s="124" customFormat="1" ht="16">
      <c r="A133" s="389"/>
      <c r="B133" s="151" t="s">
        <v>2138</v>
      </c>
      <c r="C133" s="152"/>
      <c r="D133" s="152"/>
      <c r="E133" s="152"/>
      <c r="F133" s="152"/>
      <c r="G133" s="152"/>
      <c r="H133" s="152"/>
      <c r="I133" s="152"/>
      <c r="J133" s="152"/>
      <c r="K133" s="152"/>
      <c r="L133" s="152"/>
      <c r="M133" s="123"/>
      <c r="N133" s="123"/>
      <c r="O133" s="123"/>
      <c r="P133" s="123"/>
      <c r="Q133" s="123"/>
      <c r="R133" s="123"/>
      <c r="S133" s="123"/>
      <c r="T133" s="123"/>
      <c r="U133" s="123"/>
      <c r="V133" s="125"/>
      <c r="W133" s="125"/>
      <c r="X133" s="125"/>
      <c r="Y133" s="125"/>
      <c r="Z133" s="125"/>
      <c r="AA133" s="125"/>
      <c r="AB133" s="125"/>
      <c r="AC133" s="125"/>
      <c r="AD133" s="125"/>
      <c r="AE133" s="125"/>
      <c r="AF133" s="125"/>
      <c r="AG133" s="125"/>
      <c r="AH133" s="125"/>
      <c r="AI133" s="125"/>
      <c r="AJ133" s="125"/>
      <c r="AK133" s="125"/>
      <c r="AL133" s="125"/>
      <c r="AM133" s="125"/>
      <c r="AN133" s="125"/>
      <c r="AO133" s="125"/>
      <c r="AP133" s="125"/>
      <c r="AQ133" s="125"/>
      <c r="AR133" s="125"/>
      <c r="AS133" s="125"/>
      <c r="AT133" s="125"/>
      <c r="AU133" s="125"/>
      <c r="AV133" s="125"/>
      <c r="AW133" s="125"/>
      <c r="AX133" s="125"/>
      <c r="AY133" s="125"/>
      <c r="AZ133" s="125"/>
      <c r="BA133" s="125"/>
      <c r="BB133" s="125"/>
      <c r="BC133" s="125"/>
      <c r="BD133" s="125"/>
      <c r="BE133" s="125"/>
      <c r="BF133" s="125"/>
    </row>
    <row r="134" spans="1:58" s="124" customFormat="1" ht="16">
      <c r="A134" s="389"/>
      <c r="B134" s="151" t="s">
        <v>2141</v>
      </c>
      <c r="C134" s="152"/>
      <c r="D134" s="152"/>
      <c r="E134" s="152"/>
      <c r="F134" s="152"/>
      <c r="G134" s="152"/>
      <c r="H134" s="152"/>
      <c r="I134" s="152"/>
      <c r="J134" s="152"/>
      <c r="K134" s="152"/>
      <c r="L134" s="152"/>
      <c r="M134" s="123"/>
      <c r="N134" s="123"/>
      <c r="O134" s="123"/>
      <c r="P134" s="123"/>
      <c r="Q134" s="123"/>
      <c r="R134" s="123"/>
      <c r="S134" s="123"/>
      <c r="T134" s="123"/>
      <c r="U134" s="123"/>
      <c r="V134" s="125"/>
      <c r="W134" s="125"/>
      <c r="X134" s="125"/>
      <c r="Y134" s="125"/>
      <c r="Z134" s="125"/>
      <c r="AA134" s="125"/>
      <c r="AB134" s="125"/>
      <c r="AC134" s="125"/>
      <c r="AD134" s="125"/>
      <c r="AE134" s="125"/>
      <c r="AF134" s="125"/>
      <c r="AG134" s="125"/>
      <c r="AH134" s="125"/>
      <c r="AI134" s="125"/>
      <c r="AJ134" s="125"/>
      <c r="AK134" s="125"/>
      <c r="AL134" s="125"/>
      <c r="AM134" s="125"/>
      <c r="AN134" s="125"/>
      <c r="AO134" s="125"/>
      <c r="AP134" s="125"/>
      <c r="AQ134" s="125"/>
      <c r="AR134" s="125"/>
      <c r="AS134" s="125"/>
      <c r="AT134" s="125"/>
      <c r="AU134" s="125"/>
      <c r="AV134" s="125"/>
      <c r="AW134" s="125"/>
      <c r="AX134" s="125"/>
      <c r="AY134" s="125"/>
      <c r="AZ134" s="125"/>
      <c r="BA134" s="125"/>
      <c r="BB134" s="125"/>
      <c r="BC134" s="125"/>
      <c r="BD134" s="125"/>
      <c r="BE134" s="125"/>
      <c r="BF134" s="125"/>
    </row>
    <row r="135" spans="1:58" s="124" customFormat="1" ht="16">
      <c r="A135" s="389"/>
      <c r="B135" s="151" t="s">
        <v>2143</v>
      </c>
      <c r="C135" s="152"/>
      <c r="D135" s="152"/>
      <c r="E135" s="152"/>
      <c r="F135" s="152"/>
      <c r="G135" s="152"/>
      <c r="H135" s="152"/>
      <c r="I135" s="152"/>
      <c r="J135" s="152"/>
      <c r="K135" s="152"/>
      <c r="L135" s="152"/>
      <c r="M135" s="123"/>
      <c r="N135" s="123"/>
      <c r="O135" s="123"/>
      <c r="P135" s="123"/>
      <c r="Q135" s="123"/>
      <c r="R135" s="123"/>
      <c r="S135" s="123"/>
      <c r="T135" s="123"/>
      <c r="U135" s="123"/>
      <c r="V135" s="125"/>
      <c r="W135" s="125"/>
      <c r="X135" s="125"/>
      <c r="Y135" s="125"/>
      <c r="Z135" s="125"/>
      <c r="AA135" s="125"/>
      <c r="AB135" s="125"/>
      <c r="AC135" s="125"/>
      <c r="AD135" s="125"/>
      <c r="AE135" s="125"/>
      <c r="AF135" s="125"/>
      <c r="AG135" s="125"/>
      <c r="AH135" s="125"/>
      <c r="AI135" s="125"/>
      <c r="AJ135" s="125"/>
      <c r="AK135" s="125"/>
      <c r="AL135" s="125"/>
      <c r="AM135" s="125"/>
      <c r="AN135" s="125"/>
      <c r="AO135" s="125"/>
      <c r="AP135" s="125"/>
      <c r="AQ135" s="125"/>
      <c r="AR135" s="125"/>
      <c r="AS135" s="125"/>
      <c r="AT135" s="125"/>
      <c r="AU135" s="125"/>
      <c r="AV135" s="125"/>
      <c r="AW135" s="125"/>
      <c r="AX135" s="125"/>
      <c r="AY135" s="125"/>
      <c r="AZ135" s="125"/>
      <c r="BA135" s="125"/>
      <c r="BB135" s="125"/>
      <c r="BC135" s="125"/>
      <c r="BD135" s="125"/>
      <c r="BE135" s="125"/>
      <c r="BF135" s="125"/>
    </row>
    <row r="136" spans="1:58" s="124" customFormat="1" ht="16">
      <c r="A136" s="390"/>
      <c r="B136" s="134" t="s">
        <v>2096</v>
      </c>
      <c r="C136" s="136"/>
      <c r="D136" s="136"/>
      <c r="E136" s="136"/>
      <c r="F136" s="136"/>
      <c r="G136" s="136"/>
      <c r="H136" s="136"/>
      <c r="I136" s="136"/>
      <c r="J136" s="136"/>
      <c r="K136" s="136"/>
      <c r="L136" s="136"/>
      <c r="M136" s="123"/>
      <c r="N136" s="123"/>
      <c r="O136" s="123"/>
      <c r="P136" s="123"/>
      <c r="Q136" s="123"/>
      <c r="R136" s="123"/>
      <c r="S136" s="123"/>
      <c r="T136" s="123"/>
      <c r="U136" s="123"/>
      <c r="V136" s="125"/>
      <c r="W136" s="125"/>
      <c r="X136" s="125"/>
      <c r="Y136" s="125"/>
      <c r="Z136" s="125"/>
      <c r="AA136" s="125"/>
      <c r="AB136" s="125"/>
      <c r="AC136" s="125"/>
      <c r="AD136" s="125"/>
      <c r="AE136" s="125"/>
      <c r="AF136" s="125"/>
      <c r="AG136" s="125"/>
      <c r="AH136" s="125"/>
      <c r="AI136" s="125"/>
      <c r="AJ136" s="125"/>
      <c r="AK136" s="125"/>
      <c r="AL136" s="125"/>
      <c r="AM136" s="125"/>
      <c r="AN136" s="125"/>
      <c r="AO136" s="125"/>
      <c r="AP136" s="125"/>
      <c r="AQ136" s="125"/>
      <c r="AR136" s="125"/>
      <c r="AS136" s="125"/>
      <c r="AT136" s="125"/>
      <c r="AU136" s="125"/>
      <c r="AV136" s="125"/>
      <c r="AW136" s="125"/>
      <c r="AX136" s="125"/>
      <c r="AY136" s="125"/>
      <c r="AZ136" s="125"/>
      <c r="BA136" s="125"/>
      <c r="BB136" s="125"/>
      <c r="BC136" s="125"/>
      <c r="BD136" s="125"/>
      <c r="BE136" s="125"/>
      <c r="BF136" s="125"/>
    </row>
    <row r="137" spans="1:58" s="124" customFormat="1" ht="16">
      <c r="C137" s="123"/>
      <c r="D137" s="123"/>
      <c r="E137" s="123"/>
      <c r="F137" s="123"/>
      <c r="G137" s="123"/>
      <c r="H137" s="123"/>
      <c r="I137" s="123"/>
      <c r="J137" s="123"/>
      <c r="K137" s="123"/>
      <c r="L137" s="123"/>
      <c r="M137" s="123"/>
      <c r="N137" s="123"/>
      <c r="O137" s="123"/>
      <c r="P137" s="123"/>
      <c r="Q137" s="123"/>
      <c r="R137" s="123"/>
      <c r="S137" s="123"/>
      <c r="T137" s="123"/>
      <c r="U137" s="123"/>
      <c r="V137" s="125"/>
      <c r="W137" s="125"/>
      <c r="X137" s="125"/>
      <c r="Y137" s="125"/>
      <c r="Z137" s="125"/>
      <c r="AA137" s="125"/>
      <c r="AB137" s="125"/>
      <c r="AC137" s="125"/>
      <c r="AD137" s="125"/>
      <c r="AE137" s="125"/>
      <c r="AF137" s="125"/>
      <c r="AG137" s="125"/>
      <c r="AH137" s="125"/>
      <c r="AI137" s="125"/>
      <c r="AJ137" s="125"/>
      <c r="AK137" s="125"/>
      <c r="AL137" s="125"/>
      <c r="AM137" s="125"/>
      <c r="AN137" s="125"/>
      <c r="AO137" s="125"/>
      <c r="AP137" s="125"/>
      <c r="AQ137" s="125"/>
      <c r="AR137" s="125"/>
      <c r="AS137" s="125"/>
      <c r="AT137" s="125"/>
      <c r="AU137" s="125"/>
      <c r="AV137" s="125"/>
      <c r="AW137" s="125"/>
      <c r="AX137" s="125"/>
      <c r="AY137" s="125"/>
      <c r="AZ137" s="125"/>
      <c r="BA137" s="125"/>
      <c r="BB137" s="125"/>
      <c r="BC137" s="125"/>
      <c r="BD137" s="125"/>
      <c r="BE137" s="125"/>
      <c r="BF137" s="125"/>
    </row>
    <row r="138" spans="1:58" s="124" customFormat="1" ht="55">
      <c r="A138" s="388" t="s">
        <v>2153</v>
      </c>
      <c r="B138" s="195" t="s">
        <v>2154</v>
      </c>
      <c r="C138" s="184">
        <v>2</v>
      </c>
      <c r="D138" s="184">
        <v>3</v>
      </c>
      <c r="E138" s="184">
        <v>4</v>
      </c>
      <c r="F138" s="184">
        <v>5</v>
      </c>
      <c r="G138" s="184">
        <v>6</v>
      </c>
      <c r="H138" s="184"/>
      <c r="I138" s="184">
        <v>7</v>
      </c>
      <c r="J138" s="184"/>
      <c r="K138" s="184"/>
      <c r="L138" s="184"/>
      <c r="M138" s="123"/>
      <c r="N138" s="123"/>
      <c r="O138" s="123"/>
      <c r="P138" s="123"/>
      <c r="Q138" s="123"/>
      <c r="R138" s="123"/>
      <c r="S138" s="123"/>
      <c r="T138" s="123"/>
      <c r="U138" s="123"/>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row>
    <row r="139" spans="1:58" s="124" customFormat="1" ht="16">
      <c r="A139" s="389"/>
      <c r="B139" s="151" t="s">
        <v>2133</v>
      </c>
      <c r="C139" s="152">
        <v>100</v>
      </c>
      <c r="D139" s="152">
        <v>101</v>
      </c>
      <c r="E139" s="152">
        <v>102</v>
      </c>
      <c r="F139" s="152">
        <v>103</v>
      </c>
      <c r="G139" s="152" t="s">
        <v>2083</v>
      </c>
      <c r="H139" s="152"/>
      <c r="I139" s="152" t="s">
        <v>2127</v>
      </c>
      <c r="J139" s="152"/>
      <c r="K139" s="152"/>
      <c r="L139" s="152"/>
      <c r="M139" s="123"/>
      <c r="N139" s="123"/>
      <c r="O139" s="123"/>
      <c r="P139" s="123"/>
      <c r="Q139" s="123"/>
      <c r="R139" s="123"/>
      <c r="S139" s="123"/>
      <c r="T139" s="123"/>
      <c r="U139" s="123"/>
      <c r="V139" s="125"/>
      <c r="W139" s="125"/>
      <c r="X139" s="125"/>
      <c r="Y139" s="125"/>
      <c r="Z139" s="125"/>
      <c r="AA139" s="125"/>
      <c r="AB139" s="125"/>
      <c r="AC139" s="125"/>
      <c r="AD139" s="125"/>
      <c r="AE139" s="125"/>
      <c r="AF139" s="125"/>
      <c r="AG139" s="125"/>
      <c r="AH139" s="125"/>
      <c r="AI139" s="125"/>
      <c r="AJ139" s="125"/>
      <c r="AK139" s="125"/>
      <c r="AL139" s="125"/>
      <c r="AM139" s="125"/>
      <c r="AN139" s="125"/>
      <c r="AO139" s="125"/>
      <c r="AP139" s="125"/>
      <c r="AQ139" s="125"/>
      <c r="AR139" s="125"/>
      <c r="AS139" s="125"/>
      <c r="AT139" s="125"/>
      <c r="AU139" s="125"/>
      <c r="AV139" s="125"/>
      <c r="AW139" s="125"/>
      <c r="AX139" s="125"/>
      <c r="AY139" s="125"/>
      <c r="AZ139" s="125"/>
      <c r="BA139" s="125"/>
      <c r="BB139" s="125"/>
      <c r="BC139" s="125"/>
      <c r="BD139" s="125"/>
      <c r="BE139" s="125"/>
      <c r="BF139" s="125"/>
    </row>
    <row r="140" spans="1:58" s="124" customFormat="1" ht="16">
      <c r="A140" s="389"/>
      <c r="B140" s="151" t="s">
        <v>2135</v>
      </c>
      <c r="C140" s="152"/>
      <c r="D140" s="152"/>
      <c r="E140" s="152"/>
      <c r="F140" s="152"/>
      <c r="G140" s="152"/>
      <c r="H140" s="152"/>
      <c r="I140" s="152"/>
      <c r="J140" s="152"/>
      <c r="K140" s="152"/>
      <c r="L140" s="152"/>
      <c r="M140" s="123"/>
      <c r="N140" s="123"/>
      <c r="O140" s="123"/>
      <c r="P140" s="123"/>
      <c r="Q140" s="123"/>
      <c r="R140" s="123"/>
      <c r="S140" s="123"/>
      <c r="T140" s="123"/>
      <c r="U140" s="123"/>
      <c r="V140" s="125"/>
      <c r="W140" s="125"/>
      <c r="X140" s="125"/>
      <c r="Y140" s="125"/>
      <c r="Z140" s="125"/>
      <c r="AA140" s="125"/>
      <c r="AB140" s="125"/>
      <c r="AC140" s="125"/>
      <c r="AD140" s="125"/>
      <c r="AE140" s="125"/>
      <c r="AF140" s="125"/>
      <c r="AG140" s="125"/>
      <c r="AH140" s="125"/>
      <c r="AI140" s="125"/>
      <c r="AJ140" s="125"/>
      <c r="AK140" s="125"/>
      <c r="AL140" s="125"/>
      <c r="AM140" s="125"/>
      <c r="AN140" s="125"/>
      <c r="AO140" s="125"/>
      <c r="AP140" s="125"/>
      <c r="AQ140" s="125"/>
      <c r="AR140" s="125"/>
      <c r="AS140" s="125"/>
      <c r="AT140" s="125"/>
      <c r="AU140" s="125"/>
      <c r="AV140" s="125"/>
      <c r="AW140" s="125"/>
      <c r="AX140" s="125"/>
      <c r="AY140" s="125"/>
      <c r="AZ140" s="125"/>
      <c r="BA140" s="125"/>
      <c r="BB140" s="125"/>
      <c r="BC140" s="125"/>
      <c r="BD140" s="125"/>
      <c r="BE140" s="125"/>
      <c r="BF140" s="125"/>
    </row>
    <row r="141" spans="1:58" s="124" customFormat="1" ht="16">
      <c r="A141" s="389"/>
      <c r="B141" s="151" t="s">
        <v>2138</v>
      </c>
      <c r="C141" s="152"/>
      <c r="D141" s="152"/>
      <c r="E141" s="152"/>
      <c r="F141" s="152"/>
      <c r="G141" s="152"/>
      <c r="H141" s="152"/>
      <c r="I141" s="152"/>
      <c r="J141" s="152"/>
      <c r="K141" s="152"/>
      <c r="L141" s="152"/>
      <c r="M141" s="123"/>
      <c r="N141" s="123"/>
      <c r="O141" s="123"/>
      <c r="P141" s="123"/>
      <c r="Q141" s="123"/>
      <c r="R141" s="123"/>
      <c r="S141" s="123"/>
      <c r="T141" s="123"/>
      <c r="U141" s="123"/>
      <c r="V141" s="125"/>
      <c r="W141" s="125"/>
      <c r="X141" s="125"/>
      <c r="Y141" s="125"/>
      <c r="Z141" s="125"/>
      <c r="AA141" s="125"/>
      <c r="AB141" s="125"/>
      <c r="AC141" s="125"/>
      <c r="AD141" s="125"/>
      <c r="AE141" s="125"/>
      <c r="AF141" s="125"/>
      <c r="AG141" s="125"/>
      <c r="AH141" s="125"/>
      <c r="AI141" s="125"/>
      <c r="AJ141" s="125"/>
      <c r="AK141" s="125"/>
      <c r="AL141" s="125"/>
      <c r="AM141" s="125"/>
      <c r="AN141" s="125"/>
      <c r="AO141" s="125"/>
      <c r="AP141" s="125"/>
      <c r="AQ141" s="125"/>
      <c r="AR141" s="125"/>
      <c r="AS141" s="125"/>
      <c r="AT141" s="125"/>
      <c r="AU141" s="125"/>
      <c r="AV141" s="125"/>
      <c r="AW141" s="125"/>
      <c r="AX141" s="125"/>
      <c r="AY141" s="125"/>
      <c r="AZ141" s="125"/>
      <c r="BA141" s="125"/>
      <c r="BB141" s="125"/>
      <c r="BC141" s="125"/>
      <c r="BD141" s="125"/>
      <c r="BE141" s="125"/>
      <c r="BF141" s="125"/>
    </row>
    <row r="142" spans="1:58" s="124" customFormat="1" ht="16">
      <c r="A142" s="389"/>
      <c r="B142" s="151" t="s">
        <v>2141</v>
      </c>
      <c r="C142" s="152"/>
      <c r="D142" s="152"/>
      <c r="E142" s="152"/>
      <c r="F142" s="152"/>
      <c r="G142" s="152"/>
      <c r="H142" s="152"/>
      <c r="I142" s="152"/>
      <c r="J142" s="152"/>
      <c r="K142" s="152"/>
      <c r="L142" s="152"/>
      <c r="M142" s="123"/>
      <c r="N142" s="123"/>
      <c r="O142" s="123"/>
      <c r="P142" s="123"/>
      <c r="Q142" s="123"/>
      <c r="R142" s="123"/>
      <c r="S142" s="123"/>
      <c r="T142" s="123"/>
      <c r="U142" s="123"/>
      <c r="V142" s="125"/>
      <c r="W142" s="125"/>
      <c r="X142" s="125"/>
      <c r="Y142" s="125"/>
      <c r="Z142" s="125"/>
      <c r="AA142" s="125"/>
      <c r="AB142" s="125"/>
      <c r="AC142" s="125"/>
      <c r="AD142" s="125"/>
      <c r="AE142" s="125"/>
      <c r="AF142" s="125"/>
      <c r="AG142" s="125"/>
      <c r="AH142" s="125"/>
      <c r="AI142" s="125"/>
      <c r="AJ142" s="125"/>
      <c r="AK142" s="125"/>
      <c r="AL142" s="125"/>
      <c r="AM142" s="125"/>
      <c r="AN142" s="125"/>
      <c r="AO142" s="125"/>
      <c r="AP142" s="125"/>
      <c r="AQ142" s="125"/>
      <c r="AR142" s="125"/>
      <c r="AS142" s="125"/>
      <c r="AT142" s="125"/>
      <c r="AU142" s="125"/>
      <c r="AV142" s="125"/>
      <c r="AW142" s="125"/>
      <c r="AX142" s="125"/>
      <c r="AY142" s="125"/>
      <c r="AZ142" s="125"/>
      <c r="BA142" s="125"/>
      <c r="BB142" s="125"/>
      <c r="BC142" s="125"/>
      <c r="BD142" s="125"/>
      <c r="BE142" s="125"/>
      <c r="BF142" s="125"/>
    </row>
    <row r="143" spans="1:58" s="124" customFormat="1" ht="16">
      <c r="A143" s="389"/>
      <c r="B143" s="151" t="s">
        <v>2143</v>
      </c>
      <c r="C143" s="152"/>
      <c r="D143" s="152"/>
      <c r="E143" s="152"/>
      <c r="F143" s="152"/>
      <c r="G143" s="152"/>
      <c r="H143" s="152"/>
      <c r="I143" s="152"/>
      <c r="J143" s="152"/>
      <c r="K143" s="152"/>
      <c r="L143" s="152"/>
      <c r="M143" s="123"/>
      <c r="N143" s="123"/>
      <c r="O143" s="123"/>
      <c r="P143" s="123"/>
      <c r="Q143" s="123"/>
      <c r="R143" s="123"/>
      <c r="S143" s="123"/>
      <c r="T143" s="123"/>
      <c r="U143" s="123"/>
      <c r="V143" s="125"/>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c r="AZ143" s="125"/>
      <c r="BA143" s="125"/>
      <c r="BB143" s="125"/>
      <c r="BC143" s="125"/>
      <c r="BD143" s="125"/>
      <c r="BE143" s="125"/>
      <c r="BF143" s="125"/>
    </row>
    <row r="144" spans="1:58" s="124" customFormat="1" ht="16">
      <c r="A144" s="390"/>
      <c r="B144" s="134" t="s">
        <v>2096</v>
      </c>
      <c r="C144" s="136"/>
      <c r="D144" s="136"/>
      <c r="E144" s="136"/>
      <c r="F144" s="136"/>
      <c r="G144" s="136"/>
      <c r="H144" s="136"/>
      <c r="I144" s="136"/>
      <c r="J144" s="136"/>
      <c r="K144" s="136"/>
      <c r="L144" s="136"/>
      <c r="M144" s="123"/>
      <c r="N144" s="123"/>
      <c r="O144" s="123"/>
      <c r="P144" s="123"/>
      <c r="Q144" s="123"/>
      <c r="R144" s="123"/>
      <c r="S144" s="123"/>
      <c r="T144" s="123"/>
      <c r="U144" s="123"/>
      <c r="V144" s="125"/>
      <c r="W144" s="125"/>
      <c r="X144" s="125"/>
      <c r="Y144" s="125"/>
      <c r="Z144" s="125"/>
      <c r="AA144" s="125"/>
      <c r="AB144" s="125"/>
      <c r="AC144" s="125"/>
      <c r="AD144" s="125"/>
      <c r="AE144" s="125"/>
      <c r="AF144" s="125"/>
      <c r="AG144" s="125"/>
      <c r="AH144" s="125"/>
      <c r="AI144" s="125"/>
      <c r="AJ144" s="125"/>
      <c r="AK144" s="125"/>
      <c r="AL144" s="125"/>
      <c r="AM144" s="125"/>
      <c r="AN144" s="125"/>
      <c r="AO144" s="125"/>
      <c r="AP144" s="125"/>
      <c r="AQ144" s="125"/>
      <c r="AR144" s="125"/>
      <c r="AS144" s="125"/>
      <c r="AT144" s="125"/>
      <c r="AU144" s="125"/>
      <c r="AV144" s="125"/>
      <c r="AW144" s="125"/>
      <c r="AX144" s="125"/>
      <c r="AY144" s="125"/>
      <c r="AZ144" s="125"/>
      <c r="BA144" s="125"/>
      <c r="BB144" s="125"/>
      <c r="BC144" s="125"/>
      <c r="BD144" s="125"/>
      <c r="BE144" s="125"/>
      <c r="BF144" s="125"/>
    </row>
    <row r="145" spans="1:58" s="124" customFormat="1" ht="16">
      <c r="C145" s="123"/>
      <c r="D145" s="123"/>
      <c r="E145" s="123"/>
      <c r="F145" s="123"/>
      <c r="G145" s="123"/>
      <c r="H145" s="123"/>
      <c r="I145" s="123"/>
      <c r="J145" s="123"/>
      <c r="K145" s="123"/>
      <c r="L145" s="123"/>
      <c r="M145" s="123"/>
      <c r="N145" s="123"/>
      <c r="O145" s="123"/>
      <c r="P145" s="123"/>
      <c r="Q145" s="123"/>
      <c r="R145" s="123"/>
      <c r="S145" s="123"/>
      <c r="T145" s="123"/>
      <c r="U145" s="123"/>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row>
    <row r="146" spans="1:58" s="124" customFormat="1" ht="55">
      <c r="A146" s="385" t="s">
        <v>2155</v>
      </c>
      <c r="B146" s="195" t="s">
        <v>2156</v>
      </c>
      <c r="C146" s="184">
        <v>2</v>
      </c>
      <c r="D146" s="184">
        <v>3</v>
      </c>
      <c r="E146" s="184">
        <v>4</v>
      </c>
      <c r="F146" s="184">
        <v>5</v>
      </c>
      <c r="G146" s="184">
        <v>6</v>
      </c>
      <c r="H146" s="184"/>
      <c r="I146" s="184">
        <v>7</v>
      </c>
      <c r="J146" s="184">
        <v>9</v>
      </c>
      <c r="K146" s="184"/>
      <c r="L146" s="184">
        <v>12</v>
      </c>
      <c r="M146" s="123"/>
      <c r="N146" s="123"/>
      <c r="O146" s="123"/>
      <c r="P146" s="123"/>
      <c r="Q146" s="123"/>
      <c r="R146" s="123"/>
      <c r="S146" s="123"/>
      <c r="T146" s="123"/>
      <c r="U146" s="123"/>
      <c r="V146" s="125"/>
      <c r="W146" s="125"/>
      <c r="X146" s="125"/>
      <c r="Y146" s="125"/>
      <c r="Z146" s="125"/>
      <c r="AA146" s="125"/>
      <c r="AB146" s="125"/>
      <c r="AC146" s="125"/>
      <c r="AD146" s="125"/>
      <c r="AE146" s="125"/>
      <c r="AF146" s="125"/>
      <c r="AG146" s="125"/>
      <c r="AH146" s="125"/>
      <c r="AI146" s="125"/>
      <c r="AJ146" s="125"/>
      <c r="AK146" s="125"/>
      <c r="AL146" s="125"/>
      <c r="AM146" s="125"/>
      <c r="AN146" s="125"/>
      <c r="AO146" s="125"/>
      <c r="AP146" s="125"/>
      <c r="AQ146" s="125"/>
      <c r="AR146" s="125"/>
      <c r="AS146" s="125"/>
      <c r="AT146" s="125"/>
      <c r="AU146" s="125"/>
      <c r="AV146" s="125"/>
      <c r="AW146" s="125"/>
      <c r="AX146" s="125"/>
      <c r="AY146" s="125"/>
      <c r="AZ146" s="125"/>
      <c r="BA146" s="125"/>
      <c r="BB146" s="125"/>
      <c r="BC146" s="125"/>
      <c r="BD146" s="125"/>
      <c r="BE146" s="125"/>
      <c r="BF146" s="125"/>
    </row>
    <row r="147" spans="1:58" s="124" customFormat="1" ht="16">
      <c r="A147" s="386"/>
      <c r="B147" s="151" t="s">
        <v>2133</v>
      </c>
      <c r="C147" s="152" t="s">
        <v>2127</v>
      </c>
      <c r="D147" s="152" t="s">
        <v>2127</v>
      </c>
      <c r="E147" s="152" t="s">
        <v>2128</v>
      </c>
      <c r="F147" s="152" t="s">
        <v>2128</v>
      </c>
      <c r="G147" s="152" t="s">
        <v>2083</v>
      </c>
      <c r="H147" s="152"/>
      <c r="I147" s="152" t="s">
        <v>2083</v>
      </c>
      <c r="J147" s="152" t="s">
        <v>2131</v>
      </c>
      <c r="K147" s="152"/>
      <c r="L147" s="152" t="s">
        <v>2131</v>
      </c>
      <c r="M147" s="123"/>
      <c r="N147" s="123"/>
      <c r="O147" s="123"/>
      <c r="P147" s="123"/>
      <c r="Q147" s="123"/>
      <c r="R147" s="123"/>
      <c r="S147" s="123"/>
      <c r="T147" s="123"/>
      <c r="U147" s="123"/>
      <c r="V147" s="125"/>
      <c r="W147" s="125"/>
      <c r="X147" s="125"/>
      <c r="Y147" s="125"/>
      <c r="Z147" s="125"/>
      <c r="AA147" s="125"/>
      <c r="AB147" s="125"/>
      <c r="AC147" s="125"/>
      <c r="AD147" s="125"/>
      <c r="AE147" s="125"/>
      <c r="AF147" s="125"/>
      <c r="AG147" s="125"/>
      <c r="AH147" s="125"/>
      <c r="AI147" s="125"/>
      <c r="AJ147" s="125"/>
      <c r="AK147" s="125"/>
      <c r="AL147" s="125"/>
      <c r="AM147" s="125"/>
      <c r="AN147" s="125"/>
      <c r="AO147" s="125"/>
      <c r="AP147" s="125"/>
      <c r="AQ147" s="125"/>
      <c r="AR147" s="125"/>
      <c r="AS147" s="125"/>
      <c r="AT147" s="125"/>
      <c r="AU147" s="125"/>
      <c r="AV147" s="125"/>
      <c r="AW147" s="125"/>
      <c r="AX147" s="125"/>
      <c r="AY147" s="125"/>
      <c r="AZ147" s="125"/>
      <c r="BA147" s="125"/>
      <c r="BB147" s="125"/>
      <c r="BC147" s="125"/>
      <c r="BD147" s="125"/>
      <c r="BE147" s="125"/>
      <c r="BF147" s="125"/>
    </row>
    <row r="148" spans="1:58" s="124" customFormat="1" ht="16">
      <c r="A148" s="386"/>
      <c r="B148" s="151" t="s">
        <v>2135</v>
      </c>
      <c r="C148" s="152">
        <v>2</v>
      </c>
      <c r="D148" s="152" t="s">
        <v>2136</v>
      </c>
      <c r="E148" s="152">
        <v>2</v>
      </c>
      <c r="F148" s="152" t="s">
        <v>2136</v>
      </c>
      <c r="G148" s="152">
        <v>2</v>
      </c>
      <c r="H148" s="152"/>
      <c r="I148" s="152" t="s">
        <v>2136</v>
      </c>
      <c r="J148" s="152">
        <v>3</v>
      </c>
      <c r="K148" s="152"/>
      <c r="L148" s="152" t="s">
        <v>2137</v>
      </c>
      <c r="M148" s="123"/>
      <c r="N148" s="123"/>
      <c r="O148" s="123"/>
      <c r="P148" s="123"/>
      <c r="Q148" s="123"/>
      <c r="R148" s="123"/>
      <c r="S148" s="123"/>
      <c r="T148" s="123"/>
      <c r="U148" s="123"/>
      <c r="V148" s="125"/>
      <c r="W148" s="125"/>
      <c r="X148" s="125"/>
      <c r="Y148" s="125"/>
      <c r="Z148" s="125"/>
      <c r="AA148" s="125"/>
      <c r="AB148" s="125"/>
      <c r="AC148" s="125"/>
      <c r="AD148" s="125"/>
      <c r="AE148" s="125"/>
      <c r="AF148" s="125"/>
      <c r="AG148" s="125"/>
      <c r="AH148" s="125"/>
      <c r="AI148" s="125"/>
      <c r="AJ148" s="125"/>
      <c r="AK148" s="125"/>
      <c r="AL148" s="125"/>
      <c r="AM148" s="125"/>
      <c r="AN148" s="125"/>
      <c r="AO148" s="125"/>
      <c r="AP148" s="125"/>
      <c r="AQ148" s="125"/>
      <c r="AR148" s="125"/>
      <c r="AS148" s="125"/>
      <c r="AT148" s="125"/>
      <c r="AU148" s="125"/>
      <c r="AV148" s="125"/>
      <c r="AW148" s="125"/>
      <c r="AX148" s="125"/>
      <c r="AY148" s="125"/>
      <c r="AZ148" s="125"/>
      <c r="BA148" s="125"/>
      <c r="BB148" s="125"/>
      <c r="BC148" s="125"/>
      <c r="BD148" s="125"/>
      <c r="BE148" s="125"/>
      <c r="BF148" s="125"/>
    </row>
    <row r="149" spans="1:58" s="124" customFormat="1" ht="16">
      <c r="A149" s="386"/>
      <c r="B149" s="151" t="s">
        <v>2138</v>
      </c>
      <c r="C149" s="152"/>
      <c r="D149" s="152"/>
      <c r="E149" s="152"/>
      <c r="F149" s="152"/>
      <c r="G149" s="152" t="s">
        <v>2139</v>
      </c>
      <c r="H149" s="152"/>
      <c r="I149" s="152" t="s">
        <v>2139</v>
      </c>
      <c r="J149" s="152" t="s">
        <v>2139</v>
      </c>
      <c r="K149" s="152"/>
      <c r="L149" s="152" t="s">
        <v>2140</v>
      </c>
      <c r="M149" s="123"/>
      <c r="N149" s="123"/>
      <c r="O149" s="123"/>
      <c r="P149" s="123"/>
      <c r="Q149" s="123"/>
      <c r="R149" s="123"/>
      <c r="S149" s="123"/>
      <c r="T149" s="123"/>
      <c r="U149" s="123"/>
      <c r="V149" s="125"/>
      <c r="W149" s="125"/>
      <c r="X149" s="125"/>
      <c r="Y149" s="125"/>
      <c r="Z149" s="125"/>
      <c r="AA149" s="125"/>
      <c r="AB149" s="125"/>
      <c r="AC149" s="125"/>
      <c r="AD149" s="125"/>
      <c r="AE149" s="125"/>
      <c r="AF149" s="125"/>
      <c r="AG149" s="125"/>
      <c r="AH149" s="125"/>
      <c r="AI149" s="125"/>
      <c r="AJ149" s="125"/>
      <c r="AK149" s="125"/>
      <c r="AL149" s="125"/>
      <c r="AM149" s="125"/>
      <c r="AN149" s="125"/>
      <c r="AO149" s="125"/>
      <c r="AP149" s="125"/>
      <c r="AQ149" s="125"/>
      <c r="AR149" s="125"/>
      <c r="AS149" s="125"/>
      <c r="AT149" s="125"/>
      <c r="AU149" s="125"/>
      <c r="AV149" s="125"/>
      <c r="AW149" s="125"/>
      <c r="AX149" s="125"/>
      <c r="AY149" s="125"/>
      <c r="AZ149" s="125"/>
      <c r="BA149" s="125"/>
      <c r="BB149" s="125"/>
      <c r="BC149" s="125"/>
      <c r="BD149" s="125"/>
      <c r="BE149" s="125"/>
      <c r="BF149" s="125"/>
    </row>
    <row r="150" spans="1:58" s="124" customFormat="1" ht="16">
      <c r="A150" s="386"/>
      <c r="B150" s="151" t="s">
        <v>2141</v>
      </c>
      <c r="C150" s="152"/>
      <c r="D150" s="152"/>
      <c r="E150" s="152"/>
      <c r="F150" s="152"/>
      <c r="G150" s="152" t="s">
        <v>2142</v>
      </c>
      <c r="H150" s="152"/>
      <c r="I150" s="152"/>
      <c r="J150" s="152" t="s">
        <v>2142</v>
      </c>
      <c r="K150" s="152"/>
      <c r="L150" s="152" t="s">
        <v>2142</v>
      </c>
      <c r="M150" s="123"/>
      <c r="N150" s="123"/>
      <c r="O150" s="123"/>
      <c r="P150" s="123"/>
      <c r="Q150" s="123"/>
      <c r="R150" s="123"/>
      <c r="S150" s="123"/>
      <c r="T150" s="123"/>
      <c r="U150" s="123"/>
      <c r="V150" s="125"/>
      <c r="W150" s="125"/>
      <c r="X150" s="125"/>
      <c r="Y150" s="125"/>
      <c r="Z150" s="125"/>
      <c r="AA150" s="125"/>
      <c r="AB150" s="125"/>
      <c r="AC150" s="125"/>
      <c r="AD150" s="125"/>
      <c r="AE150" s="125"/>
      <c r="AF150" s="125"/>
      <c r="AG150" s="125"/>
      <c r="AH150" s="125"/>
      <c r="AI150" s="125"/>
      <c r="AJ150" s="125"/>
      <c r="AK150" s="125"/>
      <c r="AL150" s="125"/>
      <c r="AM150" s="125"/>
      <c r="AN150" s="125"/>
      <c r="AO150" s="125"/>
      <c r="AP150" s="125"/>
      <c r="AQ150" s="125"/>
      <c r="AR150" s="125"/>
      <c r="AS150" s="125"/>
      <c r="AT150" s="125"/>
      <c r="AU150" s="125"/>
      <c r="AV150" s="125"/>
      <c r="AW150" s="125"/>
      <c r="AX150" s="125"/>
      <c r="AY150" s="125"/>
      <c r="AZ150" s="125"/>
      <c r="BA150" s="125"/>
      <c r="BB150" s="125"/>
      <c r="BC150" s="125"/>
      <c r="BD150" s="125"/>
      <c r="BE150" s="125"/>
      <c r="BF150" s="125"/>
    </row>
    <row r="151" spans="1:58" s="124" customFormat="1" ht="16">
      <c r="A151" s="386"/>
      <c r="B151" s="151" t="s">
        <v>2143</v>
      </c>
      <c r="C151" s="152"/>
      <c r="D151" s="152"/>
      <c r="E151" s="152"/>
      <c r="F151" s="152"/>
      <c r="G151" s="152"/>
      <c r="H151" s="152"/>
      <c r="I151" s="152"/>
      <c r="J151" s="152"/>
      <c r="K151" s="152"/>
      <c r="L151" s="152" t="s">
        <v>2144</v>
      </c>
      <c r="M151" s="123"/>
      <c r="N151" s="123"/>
      <c r="O151" s="123"/>
      <c r="P151" s="123"/>
      <c r="Q151" s="123"/>
      <c r="R151" s="123"/>
      <c r="S151" s="123"/>
      <c r="T151" s="123"/>
      <c r="U151" s="123"/>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row>
    <row r="152" spans="1:58" s="124" customFormat="1" ht="16">
      <c r="A152" s="387"/>
      <c r="B152" s="134" t="s">
        <v>2096</v>
      </c>
      <c r="C152" s="136"/>
      <c r="D152" s="136"/>
      <c r="E152" s="136"/>
      <c r="F152" s="136"/>
      <c r="G152" s="136"/>
      <c r="H152" s="136"/>
      <c r="I152" s="136"/>
      <c r="J152" s="136"/>
      <c r="K152" s="136"/>
      <c r="L152" s="136"/>
      <c r="M152" s="123"/>
      <c r="N152" s="123"/>
      <c r="O152" s="123"/>
      <c r="P152" s="123"/>
      <c r="Q152" s="123"/>
      <c r="R152" s="123"/>
      <c r="S152" s="123"/>
      <c r="T152" s="123"/>
      <c r="U152" s="123"/>
      <c r="V152" s="125"/>
      <c r="W152" s="125"/>
      <c r="X152" s="125"/>
      <c r="Y152" s="125"/>
      <c r="Z152" s="125"/>
      <c r="AA152" s="125"/>
      <c r="AB152" s="125"/>
      <c r="AC152" s="125"/>
      <c r="AD152" s="125"/>
      <c r="AE152" s="125"/>
      <c r="AF152" s="125"/>
      <c r="AG152" s="125"/>
      <c r="AH152" s="125"/>
      <c r="AI152" s="125"/>
      <c r="AJ152" s="125"/>
      <c r="AK152" s="125"/>
      <c r="AL152" s="125"/>
      <c r="AM152" s="125"/>
      <c r="AN152" s="125"/>
      <c r="AO152" s="125"/>
      <c r="AP152" s="125"/>
      <c r="AQ152" s="125"/>
      <c r="AR152" s="125"/>
      <c r="AS152" s="125"/>
      <c r="AT152" s="125"/>
      <c r="AU152" s="125"/>
      <c r="AV152" s="125"/>
      <c r="AW152" s="125"/>
      <c r="AX152" s="125"/>
      <c r="AY152" s="125"/>
      <c r="AZ152" s="125"/>
      <c r="BA152" s="125"/>
      <c r="BB152" s="125"/>
      <c r="BC152" s="125"/>
      <c r="BD152" s="125"/>
      <c r="BE152" s="125"/>
      <c r="BF152" s="125"/>
    </row>
    <row r="153" spans="1:58" s="124" customFormat="1" ht="16">
      <c r="A153" s="202"/>
      <c r="D153" s="123"/>
      <c r="E153" s="123"/>
      <c r="F153" s="123"/>
      <c r="G153" s="123"/>
      <c r="H153" s="123"/>
      <c r="I153" s="123"/>
      <c r="J153" s="123"/>
      <c r="K153" s="123"/>
      <c r="L153" s="123"/>
      <c r="M153" s="123"/>
      <c r="N153" s="123"/>
      <c r="O153" s="123"/>
      <c r="P153" s="123"/>
      <c r="Q153" s="123"/>
      <c r="R153" s="123"/>
      <c r="S153" s="123"/>
      <c r="T153" s="123"/>
      <c r="U153" s="123"/>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row>
    <row r="154" spans="1:58" s="124" customFormat="1" ht="55">
      <c r="A154" s="385" t="s">
        <v>2157</v>
      </c>
      <c r="B154" s="195" t="s">
        <v>2158</v>
      </c>
      <c r="C154" s="184">
        <v>2</v>
      </c>
      <c r="D154" s="184">
        <v>3</v>
      </c>
      <c r="E154" s="184">
        <v>4</v>
      </c>
      <c r="F154" s="184">
        <v>5</v>
      </c>
      <c r="G154" s="184">
        <v>6</v>
      </c>
      <c r="H154" s="184"/>
      <c r="I154" s="184">
        <v>7</v>
      </c>
      <c r="J154" s="184">
        <v>9</v>
      </c>
      <c r="K154" s="184"/>
      <c r="L154" s="184"/>
      <c r="M154" s="123"/>
      <c r="N154" s="123"/>
      <c r="O154" s="123"/>
      <c r="P154" s="123"/>
      <c r="Q154" s="123"/>
      <c r="R154" s="123"/>
      <c r="S154" s="123"/>
      <c r="T154" s="123"/>
      <c r="U154" s="123"/>
      <c r="V154" s="125"/>
      <c r="W154" s="125"/>
      <c r="X154" s="125"/>
      <c r="Y154" s="125"/>
      <c r="Z154" s="125"/>
      <c r="AA154" s="125"/>
      <c r="AB154" s="125"/>
      <c r="AC154" s="125"/>
      <c r="AD154" s="125"/>
      <c r="AE154" s="125"/>
      <c r="AF154" s="125"/>
      <c r="AG154" s="125"/>
      <c r="AH154" s="125"/>
      <c r="AI154" s="125"/>
      <c r="AJ154" s="125"/>
      <c r="AK154" s="125"/>
      <c r="AL154" s="125"/>
      <c r="AM154" s="125"/>
      <c r="AN154" s="125"/>
      <c r="AO154" s="125"/>
      <c r="AP154" s="125"/>
      <c r="AQ154" s="125"/>
      <c r="AR154" s="125"/>
      <c r="AS154" s="125"/>
      <c r="AT154" s="125"/>
      <c r="AU154" s="125"/>
      <c r="AV154" s="125"/>
      <c r="AW154" s="125"/>
      <c r="AX154" s="125"/>
      <c r="AY154" s="125"/>
      <c r="AZ154" s="125"/>
      <c r="BA154" s="125"/>
      <c r="BB154" s="125"/>
      <c r="BC154" s="125"/>
      <c r="BD154" s="125"/>
      <c r="BE154" s="125"/>
      <c r="BF154" s="125"/>
    </row>
    <row r="155" spans="1:58" s="124" customFormat="1" ht="16">
      <c r="A155" s="386"/>
      <c r="B155" s="151" t="s">
        <v>2133</v>
      </c>
      <c r="C155" s="152" t="s">
        <v>2127</v>
      </c>
      <c r="D155" s="152" t="s">
        <v>2127</v>
      </c>
      <c r="E155" s="152" t="s">
        <v>2128</v>
      </c>
      <c r="F155" s="152" t="s">
        <v>2128</v>
      </c>
      <c r="G155" s="152" t="s">
        <v>2083</v>
      </c>
      <c r="H155" s="152"/>
      <c r="I155" s="152" t="s">
        <v>2083</v>
      </c>
      <c r="J155" s="152" t="s">
        <v>2130</v>
      </c>
      <c r="K155" s="152"/>
      <c r="L155" s="152"/>
      <c r="O155" s="123"/>
      <c r="P155" s="123"/>
      <c r="Q155" s="123"/>
      <c r="R155" s="123"/>
      <c r="S155" s="123"/>
      <c r="T155" s="123"/>
      <c r="U155" s="123"/>
      <c r="V155" s="125"/>
      <c r="W155" s="125"/>
      <c r="X155" s="125"/>
      <c r="Y155" s="125"/>
      <c r="Z155" s="125"/>
      <c r="AA155" s="125"/>
      <c r="AB155" s="125"/>
      <c r="AC155" s="125"/>
      <c r="AD155" s="125"/>
      <c r="AE155" s="125"/>
      <c r="AF155" s="125"/>
      <c r="AG155" s="125"/>
      <c r="AH155" s="125"/>
      <c r="AI155" s="125"/>
      <c r="AJ155" s="125"/>
      <c r="AK155" s="125"/>
      <c r="AL155" s="125"/>
      <c r="AM155" s="125"/>
      <c r="AN155" s="125"/>
      <c r="AO155" s="125"/>
      <c r="AP155" s="125"/>
      <c r="AQ155" s="125"/>
      <c r="AR155" s="125"/>
      <c r="AS155" s="125"/>
      <c r="AT155" s="125"/>
      <c r="AU155" s="125"/>
      <c r="AV155" s="125"/>
      <c r="AW155" s="125"/>
      <c r="AX155" s="125"/>
      <c r="AY155" s="125"/>
      <c r="AZ155" s="125"/>
      <c r="BA155" s="125"/>
      <c r="BB155" s="125"/>
      <c r="BC155" s="125"/>
      <c r="BD155" s="125"/>
      <c r="BE155" s="125"/>
      <c r="BF155" s="125"/>
    </row>
    <row r="156" spans="1:58" s="124" customFormat="1" ht="16">
      <c r="A156" s="386"/>
      <c r="B156" s="151" t="s">
        <v>2135</v>
      </c>
      <c r="C156" s="152">
        <v>2</v>
      </c>
      <c r="D156" s="152" t="s">
        <v>2136</v>
      </c>
      <c r="E156" s="152">
        <v>2</v>
      </c>
      <c r="F156" s="152" t="s">
        <v>2136</v>
      </c>
      <c r="G156" s="152">
        <v>2</v>
      </c>
      <c r="H156" s="152"/>
      <c r="I156" s="152" t="s">
        <v>2136</v>
      </c>
      <c r="J156" s="152" t="s">
        <v>2136</v>
      </c>
      <c r="K156" s="152"/>
      <c r="L156" s="152"/>
      <c r="O156" s="123"/>
      <c r="P156" s="123"/>
      <c r="Q156" s="123"/>
      <c r="R156" s="123"/>
      <c r="S156" s="123"/>
      <c r="T156" s="123"/>
      <c r="U156" s="123"/>
      <c r="V156" s="125"/>
      <c r="W156" s="125"/>
      <c r="X156" s="125"/>
      <c r="Y156" s="125"/>
      <c r="Z156" s="125"/>
      <c r="AA156" s="125"/>
      <c r="AB156" s="125"/>
      <c r="AC156" s="125"/>
      <c r="AD156" s="125"/>
      <c r="AE156" s="125"/>
      <c r="AF156" s="125"/>
      <c r="AG156" s="125"/>
      <c r="AH156" s="125"/>
      <c r="AI156" s="125"/>
      <c r="AJ156" s="125"/>
      <c r="AK156" s="125"/>
      <c r="AL156" s="125"/>
      <c r="AM156" s="125"/>
      <c r="AN156" s="125"/>
      <c r="AO156" s="125"/>
      <c r="AP156" s="125"/>
      <c r="AQ156" s="125"/>
      <c r="AR156" s="125"/>
      <c r="AS156" s="125"/>
      <c r="AT156" s="125"/>
      <c r="AU156" s="125"/>
      <c r="AV156" s="125"/>
      <c r="AW156" s="125"/>
      <c r="AX156" s="125"/>
      <c r="AY156" s="125"/>
      <c r="AZ156" s="125"/>
      <c r="BA156" s="125"/>
      <c r="BB156" s="125"/>
      <c r="BC156" s="125"/>
      <c r="BD156" s="125"/>
      <c r="BE156" s="125"/>
      <c r="BF156" s="125"/>
    </row>
    <row r="157" spans="1:58" s="124" customFormat="1" ht="16">
      <c r="A157" s="386"/>
      <c r="B157" s="151" t="s">
        <v>2138</v>
      </c>
      <c r="C157" s="152"/>
      <c r="D157" s="152"/>
      <c r="E157" s="152"/>
      <c r="F157" s="152"/>
      <c r="G157" s="152"/>
      <c r="H157" s="152"/>
      <c r="I157" s="152"/>
      <c r="J157" s="152"/>
      <c r="K157" s="152"/>
      <c r="L157" s="152"/>
      <c r="O157" s="123"/>
      <c r="P157" s="123"/>
      <c r="Q157" s="123"/>
      <c r="R157" s="123"/>
      <c r="S157" s="123"/>
      <c r="T157" s="123"/>
      <c r="U157" s="123"/>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row>
    <row r="158" spans="1:58" s="124" customFormat="1" ht="16">
      <c r="A158" s="386"/>
      <c r="B158" s="151" t="s">
        <v>2141</v>
      </c>
      <c r="C158" s="152"/>
      <c r="D158" s="152"/>
      <c r="E158" s="152"/>
      <c r="F158" s="152"/>
      <c r="G158" s="152"/>
      <c r="H158" s="152"/>
      <c r="I158" s="152"/>
      <c r="J158" s="152"/>
      <c r="K158" s="152"/>
      <c r="L158" s="152"/>
      <c r="O158" s="123"/>
      <c r="P158" s="123"/>
      <c r="Q158" s="123"/>
      <c r="R158" s="123"/>
      <c r="S158" s="123"/>
      <c r="T158" s="123"/>
      <c r="U158" s="123"/>
      <c r="V158" s="125"/>
      <c r="W158" s="125"/>
      <c r="X158" s="125"/>
      <c r="Y158" s="125"/>
      <c r="Z158" s="125"/>
      <c r="AA158" s="125"/>
      <c r="AB158" s="125"/>
      <c r="AC158" s="125"/>
      <c r="AD158" s="125"/>
      <c r="AE158" s="125"/>
      <c r="AF158" s="125"/>
      <c r="AG158" s="125"/>
      <c r="AH158" s="125"/>
      <c r="AI158" s="125"/>
      <c r="AJ158" s="125"/>
      <c r="AK158" s="125"/>
      <c r="AL158" s="125"/>
      <c r="AM158" s="125"/>
      <c r="AN158" s="125"/>
      <c r="AO158" s="125"/>
      <c r="AP158" s="125"/>
      <c r="AQ158" s="125"/>
      <c r="AR158" s="125"/>
      <c r="AS158" s="125"/>
      <c r="AT158" s="125"/>
      <c r="AU158" s="125"/>
      <c r="AV158" s="125"/>
      <c r="AW158" s="125"/>
      <c r="AX158" s="125"/>
      <c r="AY158" s="125"/>
      <c r="AZ158" s="125"/>
      <c r="BA158" s="125"/>
      <c r="BB158" s="125"/>
      <c r="BC158" s="125"/>
      <c r="BD158" s="125"/>
      <c r="BE158" s="125"/>
      <c r="BF158" s="125"/>
    </row>
    <row r="159" spans="1:58" s="124" customFormat="1" ht="16">
      <c r="A159" s="386"/>
      <c r="B159" s="151" t="s">
        <v>2143</v>
      </c>
      <c r="C159" s="152"/>
      <c r="D159" s="152"/>
      <c r="E159" s="152"/>
      <c r="F159" s="152"/>
      <c r="G159" s="152"/>
      <c r="H159" s="152"/>
      <c r="I159" s="152"/>
      <c r="J159" s="152"/>
      <c r="K159" s="152"/>
      <c r="L159" s="152"/>
      <c r="O159" s="123"/>
      <c r="P159" s="123"/>
      <c r="Q159" s="123"/>
      <c r="R159" s="123"/>
      <c r="S159" s="123"/>
      <c r="T159" s="123"/>
      <c r="U159" s="123"/>
      <c r="V159" s="125"/>
      <c r="W159" s="125"/>
      <c r="X159" s="125"/>
      <c r="Y159" s="125"/>
      <c r="Z159" s="125"/>
      <c r="AA159" s="125"/>
      <c r="AB159" s="125"/>
      <c r="AC159" s="125"/>
      <c r="AD159" s="125"/>
      <c r="AE159" s="125"/>
      <c r="AF159" s="125"/>
      <c r="AG159" s="125"/>
      <c r="AH159" s="125"/>
      <c r="AI159" s="125"/>
      <c r="AJ159" s="125"/>
      <c r="AK159" s="125"/>
      <c r="AL159" s="125"/>
      <c r="AM159" s="125"/>
      <c r="AN159" s="125"/>
      <c r="AO159" s="125"/>
      <c r="AP159" s="125"/>
      <c r="AQ159" s="125"/>
      <c r="AR159" s="125"/>
      <c r="AS159" s="125"/>
      <c r="AT159" s="125"/>
      <c r="AU159" s="125"/>
      <c r="AV159" s="125"/>
      <c r="AW159" s="125"/>
      <c r="AX159" s="125"/>
      <c r="AY159" s="125"/>
      <c r="AZ159" s="125"/>
      <c r="BA159" s="125"/>
      <c r="BB159" s="125"/>
      <c r="BC159" s="125"/>
      <c r="BD159" s="125"/>
      <c r="BE159" s="125"/>
      <c r="BF159" s="125"/>
    </row>
    <row r="160" spans="1:58" s="124" customFormat="1" ht="16">
      <c r="A160" s="387"/>
      <c r="B160" s="134" t="s">
        <v>2096</v>
      </c>
      <c r="C160" s="136"/>
      <c r="D160" s="136"/>
      <c r="E160" s="136"/>
      <c r="F160" s="136"/>
      <c r="G160" s="136"/>
      <c r="H160" s="136"/>
      <c r="I160" s="136"/>
      <c r="J160" s="136"/>
      <c r="K160" s="136"/>
      <c r="L160" s="136"/>
      <c r="O160" s="123"/>
      <c r="P160" s="123"/>
      <c r="Q160" s="123"/>
      <c r="R160" s="123"/>
      <c r="S160" s="123"/>
      <c r="T160" s="123"/>
      <c r="U160" s="123"/>
      <c r="V160" s="125"/>
      <c r="W160" s="125"/>
      <c r="X160" s="125"/>
      <c r="Y160" s="125"/>
      <c r="Z160" s="125"/>
      <c r="AA160" s="125"/>
      <c r="AB160" s="125"/>
      <c r="AC160" s="125"/>
      <c r="AD160" s="125"/>
      <c r="AE160" s="125"/>
      <c r="AF160" s="125"/>
      <c r="AG160" s="125"/>
      <c r="AH160" s="125"/>
      <c r="AI160" s="125"/>
      <c r="AJ160" s="125"/>
      <c r="AK160" s="125"/>
      <c r="AL160" s="125"/>
      <c r="AM160" s="125"/>
      <c r="AN160" s="125"/>
      <c r="AO160" s="125"/>
      <c r="AP160" s="125"/>
      <c r="AQ160" s="125"/>
      <c r="AR160" s="125"/>
      <c r="AS160" s="125"/>
      <c r="AT160" s="125"/>
      <c r="AU160" s="125"/>
      <c r="AV160" s="125"/>
      <c r="AW160" s="125"/>
      <c r="AX160" s="125"/>
      <c r="AY160" s="125"/>
      <c r="AZ160" s="125"/>
      <c r="BA160" s="125"/>
      <c r="BB160" s="125"/>
      <c r="BC160" s="125"/>
      <c r="BD160" s="125"/>
      <c r="BE160" s="125"/>
      <c r="BF160" s="125"/>
    </row>
    <row r="161" spans="1:58" s="124" customFormat="1" ht="16">
      <c r="A161" s="203"/>
      <c r="L161" s="123"/>
      <c r="M161" s="123"/>
      <c r="N161" s="123"/>
      <c r="O161" s="123"/>
      <c r="P161" s="123"/>
      <c r="Q161" s="123"/>
      <c r="R161" s="123"/>
      <c r="S161" s="123"/>
      <c r="T161" s="123"/>
      <c r="U161" s="123"/>
      <c r="V161" s="125"/>
      <c r="W161" s="125"/>
      <c r="X161" s="125"/>
      <c r="Y161" s="125"/>
      <c r="Z161" s="125"/>
      <c r="AA161" s="125"/>
      <c r="AB161" s="125"/>
      <c r="AC161" s="125"/>
      <c r="AD161" s="125"/>
      <c r="AE161" s="125"/>
      <c r="AF161" s="125"/>
      <c r="AG161" s="125"/>
      <c r="AH161" s="125"/>
      <c r="AI161" s="125"/>
      <c r="AJ161" s="125"/>
      <c r="AK161" s="125"/>
      <c r="AL161" s="125"/>
      <c r="AM161" s="125"/>
      <c r="AN161" s="125"/>
      <c r="AO161" s="125"/>
      <c r="AP161" s="125"/>
      <c r="AQ161" s="125"/>
      <c r="AR161" s="125"/>
      <c r="AS161" s="125"/>
      <c r="AT161" s="125"/>
      <c r="AU161" s="125"/>
      <c r="AV161" s="125"/>
      <c r="AW161" s="125"/>
      <c r="AX161" s="125"/>
      <c r="AY161" s="125"/>
      <c r="AZ161" s="125"/>
      <c r="BA161" s="125"/>
      <c r="BB161" s="125"/>
      <c r="BC161" s="125"/>
      <c r="BD161" s="125"/>
      <c r="BE161" s="125"/>
      <c r="BF161" s="125"/>
    </row>
    <row r="162" spans="1:58" s="124" customFormat="1" ht="55">
      <c r="A162" s="385" t="s">
        <v>2159</v>
      </c>
      <c r="B162" s="195" t="s">
        <v>2160</v>
      </c>
      <c r="C162" s="184">
        <v>2</v>
      </c>
      <c r="D162" s="184">
        <v>3</v>
      </c>
      <c r="E162" s="184">
        <v>4</v>
      </c>
      <c r="F162" s="184">
        <v>5</v>
      </c>
      <c r="G162" s="184">
        <v>6</v>
      </c>
      <c r="H162" s="184"/>
      <c r="I162" s="184">
        <v>7</v>
      </c>
      <c r="J162" s="184">
        <v>9</v>
      </c>
      <c r="K162" s="184"/>
      <c r="L162" s="184">
        <v>12</v>
      </c>
      <c r="M162" s="123"/>
      <c r="N162" s="123"/>
      <c r="O162" s="123"/>
      <c r="P162" s="123"/>
      <c r="Q162" s="123"/>
      <c r="R162" s="123"/>
      <c r="S162" s="123"/>
      <c r="T162" s="123"/>
      <c r="U162" s="123"/>
      <c r="V162" s="125"/>
      <c r="W162" s="125"/>
      <c r="X162" s="125"/>
      <c r="Y162" s="125"/>
      <c r="Z162" s="125"/>
      <c r="AA162" s="125"/>
      <c r="AB162" s="125"/>
      <c r="AC162" s="125"/>
      <c r="AD162" s="125"/>
      <c r="AE162" s="125"/>
      <c r="AF162" s="125"/>
      <c r="AG162" s="125"/>
      <c r="AH162" s="125"/>
      <c r="AI162" s="125"/>
      <c r="AJ162" s="125"/>
      <c r="AK162" s="125"/>
      <c r="AL162" s="125"/>
      <c r="AM162" s="125"/>
      <c r="AN162" s="125"/>
      <c r="AO162" s="125"/>
      <c r="AP162" s="125"/>
      <c r="AQ162" s="125"/>
      <c r="AR162" s="125"/>
      <c r="AS162" s="125"/>
      <c r="AT162" s="125"/>
      <c r="AU162" s="125"/>
      <c r="AV162" s="125"/>
      <c r="AW162" s="125"/>
      <c r="AX162" s="125"/>
      <c r="AY162" s="125"/>
      <c r="AZ162" s="125"/>
      <c r="BA162" s="125"/>
      <c r="BB162" s="125"/>
      <c r="BC162" s="125"/>
      <c r="BD162" s="125"/>
      <c r="BE162" s="125"/>
      <c r="BF162" s="125"/>
    </row>
    <row r="163" spans="1:58" s="124" customFormat="1" ht="16">
      <c r="A163" s="386"/>
      <c r="B163" s="151" t="s">
        <v>2133</v>
      </c>
      <c r="C163" s="152" t="s">
        <v>2083</v>
      </c>
      <c r="D163" s="152" t="s">
        <v>2083</v>
      </c>
      <c r="E163" s="152" t="s">
        <v>2131</v>
      </c>
      <c r="F163" s="152" t="s">
        <v>2131</v>
      </c>
      <c r="G163" s="152" t="s">
        <v>2131</v>
      </c>
      <c r="H163" s="152"/>
      <c r="I163" s="152" t="s">
        <v>2131</v>
      </c>
      <c r="J163" s="152" t="s">
        <v>2131</v>
      </c>
      <c r="K163" s="152"/>
      <c r="L163" s="152" t="s">
        <v>2131</v>
      </c>
      <c r="M163" s="123"/>
      <c r="N163" s="123"/>
      <c r="O163" s="123"/>
      <c r="P163" s="123"/>
      <c r="Q163" s="123"/>
      <c r="R163" s="123"/>
      <c r="S163" s="123"/>
      <c r="T163" s="123"/>
      <c r="U163" s="123"/>
      <c r="V163" s="125"/>
      <c r="W163" s="125"/>
      <c r="X163" s="125"/>
      <c r="Y163" s="125"/>
      <c r="Z163" s="125"/>
      <c r="AA163" s="125"/>
      <c r="AB163" s="125"/>
      <c r="AC163" s="125"/>
      <c r="AD163" s="125"/>
      <c r="AE163" s="125"/>
      <c r="AF163" s="125"/>
      <c r="AG163" s="125"/>
      <c r="AH163" s="125"/>
      <c r="AI163" s="125"/>
      <c r="AJ163" s="125"/>
      <c r="AK163" s="125"/>
      <c r="AL163" s="125"/>
      <c r="AM163" s="125"/>
      <c r="AN163" s="125"/>
      <c r="AO163" s="125"/>
      <c r="AP163" s="125"/>
      <c r="AQ163" s="125"/>
      <c r="AR163" s="125"/>
      <c r="AS163" s="125"/>
      <c r="AT163" s="125"/>
      <c r="AU163" s="125"/>
      <c r="AV163" s="125"/>
      <c r="AW163" s="125"/>
      <c r="AX163" s="125"/>
      <c r="AY163" s="125"/>
      <c r="AZ163" s="125"/>
      <c r="BA163" s="125"/>
      <c r="BB163" s="125"/>
      <c r="BC163" s="125"/>
      <c r="BD163" s="125"/>
      <c r="BE163" s="125"/>
      <c r="BF163" s="125"/>
    </row>
    <row r="164" spans="1:58" s="124" customFormat="1" ht="16">
      <c r="A164" s="386"/>
      <c r="B164" s="151" t="s">
        <v>2135</v>
      </c>
      <c r="C164" s="152">
        <v>2</v>
      </c>
      <c r="D164" s="152" t="s">
        <v>2136</v>
      </c>
      <c r="E164" s="152">
        <v>2</v>
      </c>
      <c r="F164" s="152" t="s">
        <v>2136</v>
      </c>
      <c r="G164" s="152" t="s">
        <v>2136</v>
      </c>
      <c r="H164" s="152"/>
      <c r="I164" s="152">
        <v>2</v>
      </c>
      <c r="J164" s="152">
        <v>2</v>
      </c>
      <c r="K164" s="152"/>
      <c r="L164" s="152" t="s">
        <v>2136</v>
      </c>
      <c r="M164" s="123"/>
      <c r="N164" s="123"/>
      <c r="O164" s="123"/>
      <c r="P164" s="123"/>
      <c r="Q164" s="123"/>
      <c r="R164" s="123"/>
      <c r="S164" s="123"/>
      <c r="T164" s="123"/>
      <c r="U164" s="123"/>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row>
    <row r="165" spans="1:58" s="124" customFormat="1" ht="16">
      <c r="A165" s="386"/>
      <c r="B165" s="151" t="s">
        <v>2138</v>
      </c>
      <c r="C165" s="152" t="s">
        <v>2139</v>
      </c>
      <c r="D165" s="152" t="s">
        <v>2139</v>
      </c>
      <c r="E165" s="152" t="s">
        <v>2139</v>
      </c>
      <c r="F165" s="152" t="s">
        <v>2139</v>
      </c>
      <c r="G165" s="152" t="s">
        <v>2139</v>
      </c>
      <c r="H165" s="152"/>
      <c r="I165" s="152" t="s">
        <v>2140</v>
      </c>
      <c r="J165" s="152" t="s">
        <v>2140</v>
      </c>
      <c r="K165" s="152"/>
      <c r="L165" s="152" t="s">
        <v>2140</v>
      </c>
      <c r="M165" s="123"/>
      <c r="N165" s="123"/>
      <c r="O165" s="123"/>
      <c r="P165" s="123"/>
      <c r="Q165" s="123"/>
      <c r="R165" s="123"/>
      <c r="S165" s="123"/>
      <c r="T165" s="123"/>
      <c r="U165" s="123"/>
      <c r="V165" s="125"/>
      <c r="W165" s="125"/>
      <c r="X165" s="125"/>
      <c r="Y165" s="125"/>
      <c r="Z165" s="125"/>
      <c r="AA165" s="125"/>
      <c r="AB165" s="125"/>
      <c r="AC165" s="125"/>
      <c r="AD165" s="125"/>
      <c r="AE165" s="125"/>
      <c r="AF165" s="125"/>
      <c r="AG165" s="125"/>
      <c r="AH165" s="125"/>
      <c r="AI165" s="125"/>
      <c r="AJ165" s="125"/>
      <c r="AK165" s="125"/>
      <c r="AL165" s="125"/>
      <c r="AM165" s="125"/>
      <c r="AN165" s="125"/>
      <c r="AO165" s="125"/>
      <c r="AP165" s="125"/>
      <c r="AQ165" s="125"/>
      <c r="AR165" s="125"/>
      <c r="AS165" s="125"/>
      <c r="AT165" s="125"/>
      <c r="AU165" s="125"/>
      <c r="AV165" s="125"/>
      <c r="AW165" s="125"/>
      <c r="AX165" s="125"/>
      <c r="AY165" s="125"/>
      <c r="AZ165" s="125"/>
      <c r="BA165" s="125"/>
      <c r="BB165" s="125"/>
      <c r="BC165" s="125"/>
      <c r="BD165" s="125"/>
      <c r="BE165" s="125"/>
      <c r="BF165" s="125"/>
    </row>
    <row r="166" spans="1:58" s="124" customFormat="1" ht="16">
      <c r="A166" s="386"/>
      <c r="B166" s="151" t="s">
        <v>2141</v>
      </c>
      <c r="C166" s="152" t="s">
        <v>2142</v>
      </c>
      <c r="D166" s="152" t="s">
        <v>2142</v>
      </c>
      <c r="E166" s="152" t="s">
        <v>2142</v>
      </c>
      <c r="F166" s="152" t="s">
        <v>2142</v>
      </c>
      <c r="G166" s="152" t="s">
        <v>2148</v>
      </c>
      <c r="H166" s="152"/>
      <c r="I166" s="152"/>
      <c r="J166" s="152"/>
      <c r="K166" s="152"/>
      <c r="L166" s="152"/>
      <c r="M166" s="123"/>
      <c r="N166" s="123"/>
      <c r="O166" s="123"/>
      <c r="P166" s="123"/>
      <c r="Q166" s="123"/>
      <c r="R166" s="123"/>
      <c r="S166" s="123"/>
      <c r="T166" s="123"/>
      <c r="U166" s="123"/>
      <c r="V166" s="125"/>
      <c r="W166" s="125"/>
      <c r="X166" s="125"/>
      <c r="Y166" s="125"/>
      <c r="Z166" s="125"/>
      <c r="AA166" s="125"/>
      <c r="AB166" s="125"/>
      <c r="AC166" s="125"/>
      <c r="AD166" s="125"/>
      <c r="AE166" s="125"/>
      <c r="AF166" s="125"/>
      <c r="AG166" s="125"/>
      <c r="AH166" s="125"/>
      <c r="AI166" s="125"/>
      <c r="AJ166" s="125"/>
      <c r="AK166" s="125"/>
      <c r="AL166" s="125"/>
      <c r="AM166" s="125"/>
      <c r="AN166" s="125"/>
      <c r="AO166" s="125"/>
      <c r="AP166" s="125"/>
      <c r="AQ166" s="125"/>
      <c r="AR166" s="125"/>
      <c r="AS166" s="125"/>
      <c r="AT166" s="125"/>
      <c r="AU166" s="125"/>
      <c r="AV166" s="125"/>
      <c r="AW166" s="125"/>
      <c r="AX166" s="125"/>
      <c r="AY166" s="125"/>
      <c r="AZ166" s="125"/>
      <c r="BA166" s="125"/>
      <c r="BB166" s="125"/>
      <c r="BC166" s="125"/>
      <c r="BD166" s="125"/>
      <c r="BE166" s="125"/>
      <c r="BF166" s="125"/>
    </row>
    <row r="167" spans="1:58" s="124" customFormat="1" ht="16">
      <c r="A167" s="386"/>
      <c r="B167" s="151" t="s">
        <v>2143</v>
      </c>
      <c r="C167" s="152"/>
      <c r="D167" s="152"/>
      <c r="E167" s="152"/>
      <c r="F167" s="152"/>
      <c r="G167" s="152"/>
      <c r="H167" s="152"/>
      <c r="I167" s="152" t="s">
        <v>2149</v>
      </c>
      <c r="J167" s="152" t="s">
        <v>2149</v>
      </c>
      <c r="K167" s="152"/>
      <c r="L167" s="152" t="s">
        <v>2144</v>
      </c>
      <c r="M167" s="123"/>
      <c r="N167" s="123"/>
      <c r="O167" s="123"/>
      <c r="P167" s="123"/>
      <c r="Q167" s="123"/>
      <c r="R167" s="123"/>
      <c r="S167" s="123"/>
      <c r="T167" s="123"/>
      <c r="U167" s="123"/>
      <c r="V167" s="125"/>
      <c r="W167" s="125"/>
      <c r="X167" s="125"/>
      <c r="Y167" s="125"/>
      <c r="Z167" s="125"/>
      <c r="AA167" s="125"/>
      <c r="AB167" s="125"/>
      <c r="AC167" s="125"/>
      <c r="AD167" s="125"/>
      <c r="AE167" s="125"/>
      <c r="AF167" s="125"/>
      <c r="AG167" s="125"/>
      <c r="AH167" s="125"/>
      <c r="AI167" s="125"/>
      <c r="AJ167" s="125"/>
      <c r="AK167" s="125"/>
      <c r="AL167" s="125"/>
      <c r="AM167" s="125"/>
      <c r="AN167" s="125"/>
      <c r="AO167" s="125"/>
      <c r="AP167" s="125"/>
      <c r="AQ167" s="125"/>
      <c r="AR167" s="125"/>
      <c r="AS167" s="125"/>
      <c r="AT167" s="125"/>
      <c r="AU167" s="125"/>
      <c r="AV167" s="125"/>
      <c r="AW167" s="125"/>
      <c r="AX167" s="125"/>
      <c r="AY167" s="125"/>
      <c r="AZ167" s="125"/>
      <c r="BA167" s="125"/>
      <c r="BB167" s="125"/>
      <c r="BC167" s="125"/>
      <c r="BD167" s="125"/>
      <c r="BE167" s="125"/>
      <c r="BF167" s="125"/>
    </row>
    <row r="168" spans="1:58" s="124" customFormat="1" ht="16">
      <c r="A168" s="387"/>
      <c r="B168" s="134" t="s">
        <v>2096</v>
      </c>
      <c r="C168" s="136"/>
      <c r="D168" s="136"/>
      <c r="E168" s="136"/>
      <c r="F168" s="136"/>
      <c r="G168" s="136"/>
      <c r="H168" s="136"/>
      <c r="I168" s="136" t="s">
        <v>2150</v>
      </c>
      <c r="J168" s="136" t="s">
        <v>2097</v>
      </c>
      <c r="K168" s="136"/>
      <c r="L168" s="136"/>
      <c r="M168" s="123"/>
      <c r="N168" s="123"/>
      <c r="O168" s="123"/>
      <c r="P168" s="123"/>
      <c r="Q168" s="123"/>
      <c r="R168" s="123"/>
      <c r="S168" s="123"/>
      <c r="T168" s="123"/>
      <c r="U168" s="123"/>
      <c r="V168" s="125"/>
      <c r="W168" s="125"/>
      <c r="X168" s="125"/>
      <c r="Y168" s="125"/>
      <c r="Z168" s="125"/>
      <c r="AA168" s="125"/>
      <c r="AB168" s="125"/>
      <c r="AC168" s="125"/>
      <c r="AD168" s="125"/>
      <c r="AE168" s="125"/>
      <c r="AF168" s="125"/>
      <c r="AG168" s="125"/>
      <c r="AH168" s="125"/>
      <c r="AI168" s="125"/>
      <c r="AJ168" s="125"/>
      <c r="AK168" s="125"/>
      <c r="AL168" s="125"/>
      <c r="AM168" s="125"/>
      <c r="AN168" s="125"/>
      <c r="AO168" s="125"/>
      <c r="AP168" s="125"/>
      <c r="AQ168" s="125"/>
      <c r="AR168" s="125"/>
      <c r="AS168" s="125"/>
      <c r="AT168" s="125"/>
      <c r="AU168" s="125"/>
      <c r="AV168" s="125"/>
      <c r="AW168" s="125"/>
      <c r="AX168" s="125"/>
      <c r="AY168" s="125"/>
      <c r="AZ168" s="125"/>
      <c r="BA168" s="125"/>
      <c r="BB168" s="125"/>
      <c r="BC168" s="125"/>
      <c r="BD168" s="125"/>
      <c r="BE168" s="125"/>
      <c r="BF168" s="125"/>
    </row>
    <row r="169" spans="1:58" s="124" customFormat="1" ht="16">
      <c r="C169" s="123"/>
      <c r="D169" s="123"/>
      <c r="E169" s="123"/>
      <c r="F169" s="123"/>
      <c r="G169" s="123"/>
      <c r="H169" s="123"/>
      <c r="I169" s="123"/>
      <c r="J169" s="123"/>
      <c r="K169" s="123"/>
      <c r="L169" s="123"/>
      <c r="M169" s="123"/>
      <c r="N169" s="123"/>
      <c r="O169" s="123"/>
      <c r="P169" s="123"/>
      <c r="Q169" s="123"/>
      <c r="R169" s="123"/>
      <c r="S169" s="123"/>
      <c r="T169" s="123"/>
      <c r="U169" s="123"/>
      <c r="V169" s="125"/>
      <c r="W169" s="125"/>
      <c r="X169" s="125"/>
      <c r="Y169" s="125"/>
      <c r="Z169" s="125"/>
      <c r="AA169" s="125"/>
      <c r="AB169" s="125"/>
      <c r="AC169" s="125"/>
      <c r="AD169" s="125"/>
      <c r="AE169" s="125"/>
      <c r="AF169" s="125"/>
      <c r="AG169" s="125"/>
      <c r="AH169" s="125"/>
      <c r="AI169" s="125"/>
      <c r="AJ169" s="125"/>
      <c r="AK169" s="125"/>
      <c r="AL169" s="125"/>
      <c r="AM169" s="125"/>
      <c r="AN169" s="125"/>
      <c r="AO169" s="125"/>
      <c r="AP169" s="125"/>
      <c r="AQ169" s="125"/>
      <c r="AR169" s="125"/>
      <c r="AS169" s="125"/>
      <c r="AT169" s="125"/>
      <c r="AU169" s="125"/>
      <c r="AV169" s="125"/>
      <c r="AW169" s="125"/>
      <c r="AX169" s="125"/>
      <c r="AY169" s="125"/>
      <c r="AZ169" s="125"/>
      <c r="BA169" s="125"/>
      <c r="BB169" s="125"/>
      <c r="BC169" s="125"/>
      <c r="BD169" s="125"/>
      <c r="BE169" s="125"/>
      <c r="BF169" s="125"/>
    </row>
    <row r="170" spans="1:58" s="124" customFormat="1" ht="74">
      <c r="A170" s="385" t="s">
        <v>2161</v>
      </c>
      <c r="B170" s="195" t="s">
        <v>2162</v>
      </c>
      <c r="C170" s="184">
        <v>2</v>
      </c>
      <c r="D170" s="184">
        <v>3</v>
      </c>
      <c r="E170" s="184">
        <v>4</v>
      </c>
      <c r="F170" s="184">
        <v>5</v>
      </c>
      <c r="G170" s="184">
        <v>6</v>
      </c>
      <c r="H170" s="184"/>
      <c r="I170" s="184">
        <v>7</v>
      </c>
      <c r="J170" s="184"/>
      <c r="K170" s="184"/>
      <c r="L170" s="184"/>
      <c r="M170" s="123"/>
      <c r="N170" s="123"/>
      <c r="O170" s="123"/>
      <c r="P170" s="123"/>
      <c r="Q170" s="123"/>
      <c r="R170" s="123"/>
      <c r="S170" s="123"/>
      <c r="T170" s="123"/>
      <c r="U170" s="123"/>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row>
    <row r="171" spans="1:58" s="124" customFormat="1" ht="16">
      <c r="A171" s="386"/>
      <c r="B171" s="151" t="s">
        <v>2133</v>
      </c>
      <c r="C171" s="152" t="s">
        <v>2083</v>
      </c>
      <c r="D171" s="152" t="s">
        <v>2083</v>
      </c>
      <c r="E171" s="152" t="s">
        <v>2130</v>
      </c>
      <c r="F171" s="152" t="s">
        <v>2130</v>
      </c>
      <c r="G171" s="152" t="s">
        <v>2129</v>
      </c>
      <c r="H171" s="152"/>
      <c r="I171" s="152" t="s">
        <v>2129</v>
      </c>
      <c r="J171" s="152"/>
      <c r="K171" s="152"/>
      <c r="L171" s="152"/>
      <c r="M171" s="123"/>
      <c r="N171" s="123"/>
      <c r="O171" s="123"/>
      <c r="P171" s="123"/>
      <c r="Q171" s="123"/>
      <c r="R171" s="123"/>
      <c r="S171" s="123"/>
      <c r="T171" s="123"/>
      <c r="U171" s="123"/>
      <c r="V171" s="125"/>
      <c r="W171" s="125"/>
      <c r="X171" s="125"/>
      <c r="Y171" s="125"/>
      <c r="Z171" s="125"/>
      <c r="AA171" s="125"/>
      <c r="AB171" s="125"/>
      <c r="AC171" s="125"/>
      <c r="AD171" s="125"/>
      <c r="AE171" s="125"/>
      <c r="AF171" s="125"/>
      <c r="AG171" s="125"/>
      <c r="AH171" s="125"/>
      <c r="AI171" s="125"/>
      <c r="AJ171" s="125"/>
      <c r="AK171" s="125"/>
      <c r="AL171" s="125"/>
      <c r="AM171" s="125"/>
      <c r="AN171" s="125"/>
      <c r="AO171" s="125"/>
      <c r="AP171" s="125"/>
      <c r="AQ171" s="125"/>
      <c r="AR171" s="125"/>
      <c r="AS171" s="125"/>
      <c r="AT171" s="125"/>
      <c r="AU171" s="125"/>
      <c r="AV171" s="125"/>
      <c r="AW171" s="125"/>
      <c r="AX171" s="125"/>
      <c r="AY171" s="125"/>
      <c r="AZ171" s="125"/>
      <c r="BA171" s="125"/>
      <c r="BB171" s="125"/>
      <c r="BC171" s="125"/>
      <c r="BD171" s="125"/>
      <c r="BE171" s="125"/>
      <c r="BF171" s="125"/>
    </row>
    <row r="172" spans="1:58" s="124" customFormat="1" ht="16">
      <c r="A172" s="386"/>
      <c r="B172" s="151" t="s">
        <v>2135</v>
      </c>
      <c r="C172" s="152">
        <v>2</v>
      </c>
      <c r="D172" s="152" t="s">
        <v>2136</v>
      </c>
      <c r="E172" s="152">
        <v>2</v>
      </c>
      <c r="F172" s="152" t="s">
        <v>2136</v>
      </c>
      <c r="G172" s="152">
        <v>2</v>
      </c>
      <c r="H172" s="152"/>
      <c r="I172" s="152" t="s">
        <v>2136</v>
      </c>
      <c r="J172" s="152"/>
      <c r="K172" s="152"/>
      <c r="L172" s="152"/>
      <c r="M172" s="123"/>
      <c r="N172" s="123"/>
      <c r="O172" s="123"/>
      <c r="P172" s="123"/>
      <c r="Q172" s="123"/>
      <c r="R172" s="123"/>
      <c r="S172" s="123"/>
      <c r="T172" s="123"/>
      <c r="U172" s="123"/>
      <c r="V172" s="125"/>
      <c r="W172" s="125"/>
      <c r="X172" s="125"/>
      <c r="Y172" s="125"/>
      <c r="Z172" s="125"/>
      <c r="AA172" s="125"/>
      <c r="AB172" s="125"/>
      <c r="AC172" s="125"/>
      <c r="AD172" s="125"/>
      <c r="AE172" s="125"/>
      <c r="AF172" s="125"/>
      <c r="AG172" s="125"/>
      <c r="AH172" s="125"/>
      <c r="AI172" s="125"/>
      <c r="AJ172" s="125"/>
      <c r="AK172" s="125"/>
      <c r="AL172" s="125"/>
      <c r="AM172" s="125"/>
      <c r="AN172" s="125"/>
      <c r="AO172" s="125"/>
      <c r="AP172" s="125"/>
      <c r="AQ172" s="125"/>
      <c r="AR172" s="125"/>
      <c r="AS172" s="125"/>
      <c r="AT172" s="125"/>
      <c r="AU172" s="125"/>
      <c r="AV172" s="125"/>
      <c r="AW172" s="125"/>
      <c r="AX172" s="125"/>
      <c r="AY172" s="125"/>
      <c r="AZ172" s="125"/>
      <c r="BA172" s="125"/>
      <c r="BB172" s="125"/>
      <c r="BC172" s="125"/>
      <c r="BD172" s="125"/>
      <c r="BE172" s="125"/>
      <c r="BF172" s="125"/>
    </row>
    <row r="173" spans="1:58" s="124" customFormat="1" ht="16">
      <c r="A173" s="386"/>
      <c r="B173" s="151" t="s">
        <v>2138</v>
      </c>
      <c r="C173" s="152"/>
      <c r="D173" s="152"/>
      <c r="E173" s="152"/>
      <c r="F173" s="152"/>
      <c r="G173" s="152"/>
      <c r="H173" s="152"/>
      <c r="I173" s="152"/>
      <c r="J173" s="152"/>
      <c r="K173" s="152"/>
      <c r="L173" s="152"/>
      <c r="M173" s="123"/>
      <c r="N173" s="123"/>
      <c r="O173" s="123"/>
      <c r="P173" s="123"/>
      <c r="Q173" s="123"/>
      <c r="R173" s="123"/>
      <c r="S173" s="123"/>
      <c r="T173" s="123"/>
      <c r="U173" s="123"/>
      <c r="V173" s="125"/>
      <c r="W173" s="125"/>
      <c r="X173" s="125"/>
      <c r="Y173" s="125"/>
      <c r="Z173" s="125"/>
      <c r="AA173" s="125"/>
      <c r="AB173" s="125"/>
      <c r="AC173" s="125"/>
      <c r="AD173" s="125"/>
      <c r="AE173" s="125"/>
      <c r="AF173" s="125"/>
      <c r="AG173" s="125"/>
      <c r="AH173" s="125"/>
      <c r="AI173" s="125"/>
      <c r="AJ173" s="125"/>
      <c r="AK173" s="125"/>
      <c r="AL173" s="125"/>
      <c r="AM173" s="125"/>
      <c r="AN173" s="125"/>
      <c r="AO173" s="125"/>
      <c r="AP173" s="125"/>
      <c r="AQ173" s="125"/>
      <c r="AR173" s="125"/>
      <c r="AS173" s="125"/>
      <c r="AT173" s="125"/>
      <c r="AU173" s="125"/>
      <c r="AV173" s="125"/>
      <c r="AW173" s="125"/>
      <c r="AX173" s="125"/>
      <c r="AY173" s="125"/>
      <c r="AZ173" s="125"/>
      <c r="BA173" s="125"/>
      <c r="BB173" s="125"/>
      <c r="BC173" s="125"/>
      <c r="BD173" s="125"/>
      <c r="BE173" s="125"/>
      <c r="BF173" s="125"/>
    </row>
    <row r="174" spans="1:58" s="124" customFormat="1" ht="16">
      <c r="A174" s="386"/>
      <c r="B174" s="151" t="s">
        <v>2141</v>
      </c>
      <c r="C174" s="152"/>
      <c r="D174" s="152"/>
      <c r="E174" s="152"/>
      <c r="F174" s="152"/>
      <c r="G174" s="152"/>
      <c r="H174" s="152"/>
      <c r="I174" s="152"/>
      <c r="J174" s="152"/>
      <c r="K174" s="152"/>
      <c r="L174" s="152"/>
      <c r="M174" s="123"/>
      <c r="N174" s="123"/>
      <c r="O174" s="123"/>
      <c r="P174" s="123"/>
      <c r="Q174" s="123"/>
      <c r="R174" s="123"/>
      <c r="S174" s="123"/>
      <c r="T174" s="123"/>
      <c r="U174" s="123"/>
      <c r="V174" s="125"/>
      <c r="W174" s="125"/>
      <c r="X174" s="125"/>
      <c r="Y174" s="125"/>
      <c r="Z174" s="125"/>
      <c r="AA174" s="125"/>
      <c r="AB174" s="125"/>
      <c r="AC174" s="125"/>
      <c r="AD174" s="125"/>
      <c r="AE174" s="125"/>
      <c r="AF174" s="125"/>
      <c r="AG174" s="125"/>
      <c r="AH174" s="125"/>
      <c r="AI174" s="125"/>
      <c r="AJ174" s="125"/>
      <c r="AK174" s="125"/>
      <c r="AL174" s="125"/>
      <c r="AM174" s="125"/>
      <c r="AN174" s="125"/>
      <c r="AO174" s="125"/>
      <c r="AP174" s="125"/>
      <c r="AQ174" s="125"/>
      <c r="AR174" s="125"/>
      <c r="AS174" s="125"/>
      <c r="AT174" s="125"/>
      <c r="AU174" s="125"/>
      <c r="AV174" s="125"/>
      <c r="AW174" s="125"/>
      <c r="AX174" s="125"/>
      <c r="AY174" s="125"/>
      <c r="AZ174" s="125"/>
      <c r="BA174" s="125"/>
      <c r="BB174" s="125"/>
      <c r="BC174" s="125"/>
      <c r="BD174" s="125"/>
      <c r="BE174" s="125"/>
      <c r="BF174" s="125"/>
    </row>
    <row r="175" spans="1:58" s="124" customFormat="1" ht="16">
      <c r="A175" s="386"/>
      <c r="B175" s="151" t="s">
        <v>2143</v>
      </c>
      <c r="C175" s="152"/>
      <c r="D175" s="152"/>
      <c r="E175" s="152"/>
      <c r="F175" s="152"/>
      <c r="G175" s="152"/>
      <c r="H175" s="152"/>
      <c r="I175" s="152"/>
      <c r="J175" s="152"/>
      <c r="K175" s="152"/>
      <c r="L175" s="152"/>
      <c r="M175" s="123"/>
      <c r="N175" s="123"/>
      <c r="O175" s="123"/>
      <c r="P175" s="123"/>
      <c r="Q175" s="123"/>
      <c r="R175" s="123"/>
      <c r="S175" s="123"/>
      <c r="T175" s="123"/>
      <c r="U175" s="123"/>
      <c r="V175" s="125"/>
      <c r="W175" s="125"/>
      <c r="X175" s="125"/>
      <c r="Y175" s="125"/>
      <c r="Z175" s="125"/>
      <c r="AA175" s="125"/>
      <c r="AB175" s="125"/>
      <c r="AC175" s="125"/>
      <c r="AD175" s="125"/>
      <c r="AE175" s="125"/>
      <c r="AF175" s="125"/>
      <c r="AG175" s="125"/>
      <c r="AH175" s="125"/>
      <c r="AI175" s="125"/>
      <c r="AJ175" s="125"/>
      <c r="AK175" s="125"/>
      <c r="AL175" s="125"/>
      <c r="AM175" s="125"/>
      <c r="AN175" s="125"/>
      <c r="AO175" s="125"/>
      <c r="AP175" s="125"/>
      <c r="AQ175" s="125"/>
      <c r="AR175" s="125"/>
      <c r="AS175" s="125"/>
      <c r="AT175" s="125"/>
      <c r="AU175" s="125"/>
      <c r="AV175" s="125"/>
      <c r="AW175" s="125"/>
      <c r="AX175" s="125"/>
      <c r="AY175" s="125"/>
      <c r="AZ175" s="125"/>
      <c r="BA175" s="125"/>
      <c r="BB175" s="125"/>
      <c r="BC175" s="125"/>
      <c r="BD175" s="125"/>
      <c r="BE175" s="125"/>
      <c r="BF175" s="125"/>
    </row>
    <row r="176" spans="1:58" s="124" customFormat="1" ht="16">
      <c r="A176" s="387"/>
      <c r="B176" s="134" t="s">
        <v>2096</v>
      </c>
      <c r="C176" s="136"/>
      <c r="D176" s="136"/>
      <c r="E176" s="136"/>
      <c r="F176" s="136"/>
      <c r="G176" s="136"/>
      <c r="H176" s="136"/>
      <c r="I176" s="136"/>
      <c r="J176" s="136"/>
      <c r="K176" s="136"/>
      <c r="L176" s="136"/>
      <c r="M176" s="123"/>
      <c r="N176" s="123"/>
      <c r="O176" s="123"/>
      <c r="P176" s="123"/>
      <c r="Q176" s="123"/>
      <c r="R176" s="123"/>
      <c r="S176" s="123"/>
      <c r="T176" s="123"/>
      <c r="U176" s="123"/>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row>
    <row r="177" spans="1:58" s="124" customFormat="1" ht="16">
      <c r="C177" s="123"/>
      <c r="D177" s="123"/>
      <c r="E177" s="123"/>
      <c r="F177" s="123"/>
      <c r="G177" s="123"/>
      <c r="H177" s="123"/>
      <c r="I177" s="123"/>
      <c r="J177" s="123"/>
      <c r="K177" s="123"/>
      <c r="L177" s="123"/>
      <c r="M177" s="123"/>
      <c r="N177" s="123"/>
      <c r="O177" s="123"/>
      <c r="P177" s="123"/>
      <c r="Q177" s="123"/>
      <c r="R177" s="123"/>
      <c r="S177" s="123"/>
      <c r="T177" s="123"/>
      <c r="U177" s="123"/>
      <c r="V177" s="125"/>
      <c r="W177" s="125"/>
      <c r="X177" s="125"/>
      <c r="Y177" s="125"/>
      <c r="Z177" s="125"/>
      <c r="AA177" s="125"/>
      <c r="AB177" s="125"/>
      <c r="AC177" s="125"/>
      <c r="AD177" s="125"/>
      <c r="AE177" s="125"/>
      <c r="AF177" s="125"/>
      <c r="AG177" s="125"/>
      <c r="AH177" s="125"/>
      <c r="AI177" s="125"/>
      <c r="AJ177" s="125"/>
      <c r="AK177" s="125"/>
      <c r="AL177" s="125"/>
      <c r="AM177" s="125"/>
      <c r="AN177" s="125"/>
      <c r="AO177" s="125"/>
      <c r="AP177" s="125"/>
      <c r="AQ177" s="125"/>
      <c r="AR177" s="125"/>
      <c r="AS177" s="125"/>
      <c r="AT177" s="125"/>
      <c r="AU177" s="125"/>
      <c r="AV177" s="125"/>
      <c r="AW177" s="125"/>
      <c r="AX177" s="125"/>
      <c r="AY177" s="125"/>
      <c r="AZ177" s="125"/>
      <c r="BA177" s="125"/>
      <c r="BB177" s="125"/>
      <c r="BC177" s="125"/>
      <c r="BD177" s="125"/>
      <c r="BE177" s="125"/>
      <c r="BF177" s="125"/>
    </row>
    <row r="178" spans="1:58" s="124" customFormat="1" ht="57">
      <c r="A178" s="385" t="s">
        <v>2163</v>
      </c>
      <c r="B178" s="195" t="s">
        <v>2164</v>
      </c>
      <c r="C178" s="184">
        <v>2</v>
      </c>
      <c r="D178" s="184">
        <v>3</v>
      </c>
      <c r="E178" s="184">
        <v>4</v>
      </c>
      <c r="F178" s="184"/>
      <c r="G178" s="184"/>
      <c r="H178" s="184"/>
      <c r="I178" s="184"/>
      <c r="J178" s="184"/>
      <c r="K178" s="184"/>
      <c r="L178" s="184"/>
      <c r="M178" s="123"/>
      <c r="N178" s="123"/>
      <c r="O178" s="123"/>
      <c r="P178" s="123"/>
      <c r="Q178" s="123"/>
      <c r="R178" s="123"/>
      <c r="S178" s="123"/>
      <c r="T178" s="123"/>
      <c r="U178" s="123"/>
      <c r="V178" s="125"/>
      <c r="W178" s="125"/>
      <c r="X178" s="125"/>
      <c r="Y178" s="125"/>
      <c r="Z178" s="125"/>
      <c r="AA178" s="125"/>
      <c r="AB178" s="125"/>
      <c r="AC178" s="125"/>
      <c r="AD178" s="125"/>
      <c r="AE178" s="125"/>
      <c r="AF178" s="125"/>
      <c r="AG178" s="125"/>
      <c r="AH178" s="125"/>
      <c r="AI178" s="125"/>
      <c r="AJ178" s="125"/>
      <c r="AK178" s="125"/>
      <c r="AL178" s="125"/>
      <c r="AM178" s="125"/>
      <c r="AN178" s="125"/>
      <c r="AO178" s="125"/>
      <c r="AP178" s="125"/>
      <c r="AQ178" s="125"/>
      <c r="AR178" s="125"/>
      <c r="AS178" s="125"/>
      <c r="AT178" s="125"/>
      <c r="AU178" s="125"/>
      <c r="AV178" s="125"/>
      <c r="AW178" s="125"/>
      <c r="AX178" s="125"/>
      <c r="AY178" s="125"/>
      <c r="AZ178" s="125"/>
      <c r="BA178" s="125"/>
      <c r="BB178" s="125"/>
      <c r="BC178" s="125"/>
      <c r="BD178" s="125"/>
      <c r="BE178" s="125"/>
      <c r="BF178" s="125"/>
    </row>
    <row r="179" spans="1:58" s="124" customFormat="1" ht="16">
      <c r="A179" s="386"/>
      <c r="B179" s="151" t="s">
        <v>2133</v>
      </c>
      <c r="C179" s="152"/>
      <c r="D179" s="152"/>
      <c r="E179" s="152"/>
      <c r="F179" s="152"/>
      <c r="G179" s="152"/>
      <c r="H179" s="152"/>
      <c r="I179" s="152"/>
      <c r="J179" s="152"/>
      <c r="K179" s="152"/>
      <c r="L179" s="152"/>
      <c r="O179" s="123"/>
      <c r="P179" s="123"/>
      <c r="Q179" s="123"/>
      <c r="R179" s="123"/>
      <c r="S179" s="123"/>
      <c r="T179" s="123"/>
      <c r="U179" s="123"/>
      <c r="V179" s="125"/>
      <c r="W179" s="125"/>
      <c r="X179" s="125"/>
      <c r="Y179" s="125"/>
      <c r="Z179" s="125"/>
      <c r="AA179" s="125"/>
      <c r="AB179" s="125"/>
      <c r="AC179" s="125"/>
      <c r="AD179" s="125"/>
      <c r="AE179" s="125"/>
      <c r="AF179" s="125"/>
      <c r="AG179" s="125"/>
      <c r="AH179" s="125"/>
      <c r="AI179" s="125"/>
      <c r="AJ179" s="125"/>
      <c r="AK179" s="125"/>
      <c r="AL179" s="125"/>
      <c r="AM179" s="125"/>
      <c r="AN179" s="125"/>
      <c r="AO179" s="125"/>
      <c r="AP179" s="125"/>
      <c r="AQ179" s="125"/>
      <c r="AR179" s="125"/>
      <c r="AS179" s="125"/>
      <c r="AT179" s="125"/>
      <c r="AU179" s="125"/>
      <c r="AV179" s="125"/>
      <c r="AW179" s="125"/>
      <c r="AX179" s="125"/>
      <c r="AY179" s="125"/>
      <c r="AZ179" s="125"/>
      <c r="BA179" s="125"/>
      <c r="BB179" s="125"/>
      <c r="BC179" s="125"/>
      <c r="BD179" s="125"/>
      <c r="BE179" s="125"/>
      <c r="BF179" s="125"/>
    </row>
    <row r="180" spans="1:58" s="124" customFormat="1" ht="16">
      <c r="A180" s="386"/>
      <c r="B180" s="151" t="s">
        <v>2135</v>
      </c>
      <c r="C180" s="152">
        <v>2</v>
      </c>
      <c r="D180" s="152" t="s">
        <v>2165</v>
      </c>
      <c r="E180" s="152">
        <v>2</v>
      </c>
      <c r="F180" s="152"/>
      <c r="G180" s="152"/>
      <c r="H180" s="152"/>
      <c r="I180" s="152"/>
      <c r="J180" s="152"/>
      <c r="K180" s="152"/>
      <c r="L180" s="152"/>
      <c r="O180" s="123"/>
      <c r="P180" s="123"/>
      <c r="Q180" s="123"/>
      <c r="R180" s="123"/>
      <c r="S180" s="123"/>
      <c r="T180" s="123"/>
      <c r="U180" s="123"/>
      <c r="V180" s="125"/>
      <c r="W180" s="125"/>
      <c r="X180" s="125"/>
      <c r="Y180" s="125"/>
      <c r="Z180" s="125"/>
      <c r="AA180" s="125"/>
      <c r="AB180" s="125"/>
      <c r="AC180" s="125"/>
      <c r="AD180" s="125"/>
      <c r="AE180" s="125"/>
      <c r="AF180" s="125"/>
      <c r="AG180" s="125"/>
      <c r="AH180" s="125"/>
      <c r="AI180" s="125"/>
      <c r="AJ180" s="125"/>
      <c r="AK180" s="125"/>
      <c r="AL180" s="125"/>
      <c r="AM180" s="125"/>
      <c r="AN180" s="125"/>
      <c r="AO180" s="125"/>
      <c r="AP180" s="125"/>
      <c r="AQ180" s="125"/>
      <c r="AR180" s="125"/>
      <c r="AS180" s="125"/>
      <c r="AT180" s="125"/>
      <c r="AU180" s="125"/>
      <c r="AV180" s="125"/>
      <c r="AW180" s="125"/>
      <c r="AX180" s="125"/>
      <c r="AY180" s="125"/>
      <c r="AZ180" s="125"/>
      <c r="BA180" s="125"/>
      <c r="BB180" s="125"/>
      <c r="BC180" s="125"/>
      <c r="BD180" s="125"/>
      <c r="BE180" s="125"/>
      <c r="BF180" s="125"/>
    </row>
    <row r="181" spans="1:58" s="124" customFormat="1" ht="16">
      <c r="A181" s="386"/>
      <c r="B181" s="151" t="s">
        <v>2138</v>
      </c>
      <c r="C181" s="152"/>
      <c r="D181" s="152"/>
      <c r="E181" s="152" t="s">
        <v>2139</v>
      </c>
      <c r="F181" s="152"/>
      <c r="G181" s="152"/>
      <c r="H181" s="152"/>
      <c r="I181" s="152"/>
      <c r="J181" s="152"/>
      <c r="K181" s="152"/>
      <c r="L181" s="152"/>
      <c r="O181" s="123"/>
      <c r="P181" s="123"/>
      <c r="Q181" s="123"/>
      <c r="R181" s="123"/>
      <c r="S181" s="123"/>
      <c r="T181" s="123"/>
      <c r="U181" s="123"/>
      <c r="V181" s="125"/>
      <c r="W181" s="125"/>
      <c r="X181" s="125"/>
      <c r="Y181" s="125"/>
      <c r="Z181" s="125"/>
      <c r="AA181" s="125"/>
      <c r="AB181" s="125"/>
      <c r="AC181" s="125"/>
      <c r="AD181" s="125"/>
      <c r="AE181" s="125"/>
      <c r="AF181" s="125"/>
      <c r="AG181" s="125"/>
      <c r="AH181" s="125"/>
      <c r="AI181" s="125"/>
      <c r="AJ181" s="125"/>
      <c r="AK181" s="125"/>
      <c r="AL181" s="125"/>
      <c r="AM181" s="125"/>
      <c r="AN181" s="125"/>
      <c r="AO181" s="125"/>
      <c r="AP181" s="125"/>
      <c r="AQ181" s="125"/>
      <c r="AR181" s="125"/>
      <c r="AS181" s="125"/>
      <c r="AT181" s="125"/>
      <c r="AU181" s="125"/>
      <c r="AV181" s="125"/>
      <c r="AW181" s="125"/>
      <c r="AX181" s="125"/>
      <c r="AY181" s="125"/>
      <c r="AZ181" s="125"/>
      <c r="BA181" s="125"/>
      <c r="BB181" s="125"/>
      <c r="BC181" s="125"/>
      <c r="BD181" s="125"/>
      <c r="BE181" s="125"/>
      <c r="BF181" s="125"/>
    </row>
    <row r="182" spans="1:58" s="124" customFormat="1" ht="16">
      <c r="A182" s="386"/>
      <c r="B182" s="151" t="s">
        <v>2141</v>
      </c>
      <c r="C182" s="152"/>
      <c r="D182" s="152"/>
      <c r="E182" s="152"/>
      <c r="F182" s="152"/>
      <c r="G182" s="152"/>
      <c r="H182" s="152"/>
      <c r="I182" s="152"/>
      <c r="J182" s="152"/>
      <c r="K182" s="152"/>
      <c r="L182" s="152"/>
      <c r="O182" s="123"/>
      <c r="P182" s="123"/>
      <c r="Q182" s="123"/>
      <c r="R182" s="123"/>
      <c r="S182" s="123"/>
      <c r="T182" s="123"/>
      <c r="U182" s="123"/>
      <c r="V182" s="125"/>
      <c r="W182" s="125"/>
      <c r="X182" s="125"/>
      <c r="Y182" s="125"/>
      <c r="Z182" s="125"/>
      <c r="AA182" s="125"/>
      <c r="AB182" s="125"/>
      <c r="AC182" s="125"/>
      <c r="AD182" s="125"/>
      <c r="AE182" s="125"/>
      <c r="AF182" s="125"/>
      <c r="AG182" s="125"/>
      <c r="AH182" s="125"/>
      <c r="AI182" s="125"/>
      <c r="AJ182" s="125"/>
      <c r="AK182" s="125"/>
      <c r="AL182" s="125"/>
      <c r="AM182" s="125"/>
      <c r="AN182" s="125"/>
      <c r="AO182" s="125"/>
      <c r="AP182" s="125"/>
      <c r="AQ182" s="125"/>
      <c r="AR182" s="125"/>
      <c r="AS182" s="125"/>
      <c r="AT182" s="125"/>
      <c r="AU182" s="125"/>
      <c r="AV182" s="125"/>
      <c r="AW182" s="125"/>
      <c r="AX182" s="125"/>
      <c r="AY182" s="125"/>
      <c r="AZ182" s="125"/>
      <c r="BA182" s="125"/>
      <c r="BB182" s="125"/>
      <c r="BC182" s="125"/>
      <c r="BD182" s="125"/>
      <c r="BE182" s="125"/>
      <c r="BF182" s="125"/>
    </row>
    <row r="183" spans="1:58" s="124" customFormat="1" ht="16">
      <c r="A183" s="386"/>
      <c r="B183" s="151" t="s">
        <v>2143</v>
      </c>
      <c r="C183" s="152"/>
      <c r="D183" s="152"/>
      <c r="E183" s="152"/>
      <c r="F183" s="152"/>
      <c r="G183" s="152"/>
      <c r="H183" s="152"/>
      <c r="I183" s="152"/>
      <c r="J183" s="152"/>
      <c r="K183" s="152"/>
      <c r="L183" s="152"/>
      <c r="O183" s="123"/>
      <c r="P183" s="123"/>
      <c r="Q183" s="123"/>
      <c r="R183" s="123"/>
      <c r="S183" s="123"/>
      <c r="T183" s="123"/>
      <c r="U183" s="123"/>
      <c r="V183" s="125"/>
      <c r="W183" s="125"/>
      <c r="X183" s="125"/>
      <c r="Y183" s="125"/>
      <c r="Z183" s="125"/>
      <c r="AA183" s="125"/>
      <c r="AB183" s="125"/>
      <c r="AC183" s="125"/>
      <c r="AD183" s="125"/>
      <c r="AE183" s="125"/>
      <c r="AF183" s="125"/>
      <c r="AG183" s="125"/>
      <c r="AH183" s="125"/>
      <c r="AI183" s="125"/>
      <c r="AJ183" s="125"/>
      <c r="AK183" s="125"/>
      <c r="AL183" s="125"/>
      <c r="AM183" s="125"/>
      <c r="AN183" s="125"/>
      <c r="AO183" s="125"/>
      <c r="AP183" s="125"/>
      <c r="AQ183" s="125"/>
      <c r="AR183" s="125"/>
      <c r="AS183" s="125"/>
      <c r="AT183" s="125"/>
      <c r="AU183" s="125"/>
      <c r="AV183" s="125"/>
      <c r="AW183" s="125"/>
      <c r="AX183" s="125"/>
      <c r="AY183" s="125"/>
      <c r="AZ183" s="125"/>
      <c r="BA183" s="125"/>
      <c r="BB183" s="125"/>
      <c r="BC183" s="125"/>
      <c r="BD183" s="125"/>
      <c r="BE183" s="125"/>
      <c r="BF183" s="125"/>
    </row>
    <row r="184" spans="1:58" s="124" customFormat="1" ht="16">
      <c r="A184" s="386"/>
      <c r="B184" s="151" t="s">
        <v>2096</v>
      </c>
      <c r="C184" s="152"/>
      <c r="D184" s="152"/>
      <c r="E184" s="152"/>
      <c r="F184" s="152"/>
      <c r="G184" s="152"/>
      <c r="H184" s="152"/>
      <c r="I184" s="152"/>
      <c r="J184" s="152"/>
      <c r="K184" s="152"/>
      <c r="L184" s="152"/>
      <c r="O184" s="123"/>
      <c r="P184" s="123"/>
      <c r="Q184" s="123"/>
      <c r="R184" s="123"/>
      <c r="S184" s="123"/>
      <c r="T184" s="123"/>
      <c r="U184" s="123"/>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row>
    <row r="185" spans="1:58" s="124" customFormat="1" ht="16">
      <c r="A185" s="387"/>
      <c r="B185" s="134" t="s">
        <v>2166</v>
      </c>
      <c r="C185" s="136" t="s">
        <v>2167</v>
      </c>
      <c r="D185" s="136" t="s">
        <v>2167</v>
      </c>
      <c r="E185" s="136" t="s">
        <v>2168</v>
      </c>
      <c r="F185" s="136"/>
      <c r="G185" s="136"/>
      <c r="H185" s="136"/>
      <c r="I185" s="136"/>
      <c r="J185" s="136"/>
      <c r="K185" s="136"/>
      <c r="L185" s="136"/>
      <c r="O185" s="123"/>
      <c r="P185" s="123"/>
      <c r="Q185" s="123"/>
      <c r="R185" s="123"/>
      <c r="S185" s="123"/>
      <c r="T185" s="123"/>
      <c r="U185" s="123"/>
      <c r="V185" s="125"/>
      <c r="W185" s="125"/>
      <c r="X185" s="125"/>
      <c r="Y185" s="125"/>
      <c r="Z185" s="125"/>
      <c r="AA185" s="125"/>
      <c r="AB185" s="125"/>
      <c r="AC185" s="125"/>
      <c r="AD185" s="125"/>
      <c r="AE185" s="125"/>
      <c r="AF185" s="125"/>
      <c r="AG185" s="125"/>
      <c r="AH185" s="125"/>
      <c r="AI185" s="125"/>
      <c r="AJ185" s="125"/>
      <c r="AK185" s="125"/>
      <c r="AL185" s="125"/>
      <c r="AM185" s="125"/>
      <c r="AN185" s="125"/>
      <c r="AO185" s="125"/>
      <c r="AP185" s="125"/>
      <c r="AQ185" s="125"/>
      <c r="AR185" s="125"/>
      <c r="AS185" s="125"/>
      <c r="AT185" s="125"/>
      <c r="AU185" s="125"/>
      <c r="AV185" s="125"/>
      <c r="AW185" s="125"/>
      <c r="AX185" s="125"/>
      <c r="AY185" s="125"/>
      <c r="AZ185" s="125"/>
      <c r="BA185" s="125"/>
      <c r="BB185" s="125"/>
      <c r="BC185" s="125"/>
      <c r="BD185" s="125"/>
      <c r="BE185" s="125"/>
      <c r="BF185" s="125"/>
    </row>
    <row r="186" spans="1:58" s="124" customFormat="1" ht="16">
      <c r="C186" s="123"/>
      <c r="D186" s="123"/>
      <c r="E186" s="123"/>
      <c r="F186" s="123"/>
      <c r="G186" s="123"/>
      <c r="H186" s="123"/>
      <c r="I186" s="123"/>
      <c r="J186" s="123"/>
      <c r="K186" s="123"/>
      <c r="L186" s="123"/>
      <c r="M186" s="123"/>
      <c r="N186" s="123"/>
      <c r="O186" s="123"/>
      <c r="P186" s="123"/>
      <c r="Q186" s="123"/>
      <c r="R186" s="123"/>
      <c r="S186" s="123"/>
      <c r="T186" s="123"/>
      <c r="U186" s="123"/>
      <c r="V186" s="125"/>
      <c r="W186" s="125"/>
      <c r="X186" s="125"/>
      <c r="Y186" s="125"/>
      <c r="Z186" s="125"/>
      <c r="AA186" s="125"/>
      <c r="AB186" s="125"/>
      <c r="AC186" s="125"/>
      <c r="AD186" s="125"/>
      <c r="AE186" s="125"/>
      <c r="AF186" s="125"/>
      <c r="AG186" s="125"/>
      <c r="AH186" s="125"/>
      <c r="AI186" s="125"/>
      <c r="AJ186" s="125"/>
      <c r="AK186" s="125"/>
      <c r="AL186" s="125"/>
      <c r="AM186" s="125"/>
      <c r="AN186" s="125"/>
      <c r="AO186" s="125"/>
      <c r="AP186" s="125"/>
      <c r="AQ186" s="125"/>
      <c r="AR186" s="125"/>
      <c r="AS186" s="125"/>
      <c r="AT186" s="125"/>
      <c r="AU186" s="125"/>
      <c r="AV186" s="125"/>
      <c r="AW186" s="125"/>
      <c r="AX186" s="125"/>
      <c r="AY186" s="125"/>
      <c r="AZ186" s="125"/>
      <c r="BA186" s="125"/>
      <c r="BB186" s="125"/>
      <c r="BC186" s="125"/>
      <c r="BD186" s="125"/>
      <c r="BE186" s="125"/>
      <c r="BF186" s="125"/>
    </row>
    <row r="187" spans="1:58" s="124" customFormat="1" ht="74">
      <c r="A187" s="385" t="s">
        <v>2169</v>
      </c>
      <c r="B187" s="195" t="s">
        <v>2170</v>
      </c>
      <c r="C187" s="184">
        <v>2</v>
      </c>
      <c r="D187" s="184">
        <v>3</v>
      </c>
      <c r="E187" s="184">
        <v>4</v>
      </c>
      <c r="F187" s="184"/>
      <c r="G187" s="184"/>
      <c r="H187" s="184"/>
      <c r="I187" s="184"/>
      <c r="J187" s="184"/>
      <c r="K187" s="184"/>
      <c r="L187" s="184"/>
      <c r="M187" s="123"/>
      <c r="N187" s="123"/>
      <c r="O187" s="123"/>
      <c r="P187" s="123"/>
      <c r="Q187" s="123"/>
      <c r="R187" s="123"/>
      <c r="S187" s="123"/>
      <c r="T187" s="123"/>
      <c r="U187" s="123"/>
      <c r="V187" s="125"/>
      <c r="W187" s="125"/>
      <c r="X187" s="125"/>
      <c r="Y187" s="125"/>
      <c r="Z187" s="125"/>
      <c r="AA187" s="125"/>
      <c r="AB187" s="125"/>
      <c r="AC187" s="125"/>
      <c r="AD187" s="125"/>
      <c r="AE187" s="125"/>
      <c r="AF187" s="125"/>
      <c r="AG187" s="125"/>
      <c r="AH187" s="125"/>
      <c r="AI187" s="125"/>
      <c r="AJ187" s="125"/>
      <c r="AK187" s="125"/>
      <c r="AL187" s="125"/>
      <c r="AM187" s="125"/>
      <c r="AN187" s="125"/>
      <c r="AO187" s="125"/>
      <c r="AP187" s="125"/>
      <c r="AQ187" s="125"/>
      <c r="AR187" s="125"/>
      <c r="AS187" s="125"/>
      <c r="AT187" s="125"/>
      <c r="AU187" s="125"/>
      <c r="AV187" s="125"/>
      <c r="AW187" s="125"/>
      <c r="AX187" s="125"/>
      <c r="AY187" s="125"/>
      <c r="AZ187" s="125"/>
      <c r="BA187" s="125"/>
      <c r="BB187" s="125"/>
      <c r="BC187" s="125"/>
      <c r="BD187" s="125"/>
      <c r="BE187" s="125"/>
      <c r="BF187" s="125"/>
    </row>
    <row r="188" spans="1:58" s="124" customFormat="1" ht="16">
      <c r="A188" s="386"/>
      <c r="B188" s="151" t="s">
        <v>2133</v>
      </c>
      <c r="C188" s="152"/>
      <c r="D188" s="152"/>
      <c r="E188" s="152"/>
      <c r="F188" s="152"/>
      <c r="G188" s="152"/>
      <c r="H188" s="152"/>
      <c r="I188" s="152"/>
      <c r="J188" s="152"/>
      <c r="K188" s="152"/>
      <c r="L188" s="152"/>
      <c r="O188" s="123"/>
      <c r="P188" s="123"/>
      <c r="Q188" s="123"/>
      <c r="R188" s="123"/>
      <c r="S188" s="123"/>
      <c r="T188" s="123"/>
      <c r="U188" s="123"/>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c r="BC188" s="125"/>
      <c r="BD188" s="125"/>
      <c r="BE188" s="125"/>
      <c r="BF188" s="125"/>
    </row>
    <row r="189" spans="1:58" s="124" customFormat="1" ht="16">
      <c r="A189" s="386"/>
      <c r="B189" s="151" t="s">
        <v>2135</v>
      </c>
      <c r="C189" s="152">
        <v>2</v>
      </c>
      <c r="D189" s="152" t="s">
        <v>2165</v>
      </c>
      <c r="E189" s="152">
        <v>2</v>
      </c>
      <c r="F189" s="152"/>
      <c r="G189" s="152"/>
      <c r="H189" s="152"/>
      <c r="I189" s="152"/>
      <c r="J189" s="152"/>
      <c r="K189" s="152"/>
      <c r="L189" s="152"/>
      <c r="O189" s="123"/>
      <c r="P189" s="123"/>
      <c r="Q189" s="123"/>
      <c r="R189" s="123"/>
      <c r="S189" s="123"/>
      <c r="T189" s="123"/>
      <c r="U189" s="123"/>
      <c r="V189" s="125"/>
      <c r="W189" s="125"/>
      <c r="X189" s="125"/>
      <c r="Y189" s="125"/>
      <c r="Z189" s="125"/>
      <c r="AA189" s="125"/>
      <c r="AB189" s="125"/>
      <c r="AC189" s="125"/>
      <c r="AD189" s="125"/>
      <c r="AE189" s="125"/>
      <c r="AF189" s="125"/>
      <c r="AG189" s="125"/>
      <c r="AH189" s="125"/>
      <c r="AI189" s="125"/>
      <c r="AJ189" s="125"/>
      <c r="AK189" s="125"/>
      <c r="AL189" s="125"/>
      <c r="AM189" s="125"/>
      <c r="AN189" s="125"/>
      <c r="AO189" s="125"/>
      <c r="AP189" s="125"/>
      <c r="AQ189" s="125"/>
      <c r="AR189" s="125"/>
      <c r="AS189" s="125"/>
      <c r="AT189" s="125"/>
      <c r="AU189" s="125"/>
      <c r="AV189" s="125"/>
      <c r="AW189" s="125"/>
      <c r="AX189" s="125"/>
      <c r="AY189" s="125"/>
      <c r="AZ189" s="125"/>
      <c r="BA189" s="125"/>
      <c r="BB189" s="125"/>
      <c r="BC189" s="125"/>
      <c r="BD189" s="125"/>
      <c r="BE189" s="125"/>
      <c r="BF189" s="125"/>
    </row>
    <row r="190" spans="1:58" s="124" customFormat="1" ht="16">
      <c r="A190" s="386"/>
      <c r="B190" s="151" t="s">
        <v>2138</v>
      </c>
      <c r="C190" s="152"/>
      <c r="D190" s="152"/>
      <c r="E190" s="152" t="s">
        <v>2139</v>
      </c>
      <c r="F190" s="152"/>
      <c r="G190" s="152"/>
      <c r="H190" s="152"/>
      <c r="I190" s="152"/>
      <c r="J190" s="152"/>
      <c r="K190" s="152"/>
      <c r="L190" s="152"/>
      <c r="O190" s="123"/>
      <c r="P190" s="123"/>
      <c r="Q190" s="123"/>
      <c r="R190" s="123"/>
      <c r="S190" s="123"/>
      <c r="T190" s="123"/>
      <c r="U190" s="123"/>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row>
    <row r="191" spans="1:58" s="124" customFormat="1" ht="16">
      <c r="A191" s="386"/>
      <c r="B191" s="151" t="s">
        <v>2141</v>
      </c>
      <c r="C191" s="152"/>
      <c r="D191" s="152"/>
      <c r="E191" s="152"/>
      <c r="F191" s="152"/>
      <c r="G191" s="152"/>
      <c r="H191" s="152"/>
      <c r="I191" s="152"/>
      <c r="J191" s="152"/>
      <c r="K191" s="152"/>
      <c r="L191" s="152"/>
      <c r="O191" s="123"/>
      <c r="P191" s="123"/>
      <c r="Q191" s="123"/>
      <c r="R191" s="123"/>
      <c r="S191" s="123"/>
      <c r="T191" s="123"/>
      <c r="U191" s="123"/>
      <c r="V191" s="125"/>
      <c r="W191" s="125"/>
      <c r="X191" s="125"/>
      <c r="Y191" s="125"/>
      <c r="Z191" s="125"/>
      <c r="AA191" s="125"/>
      <c r="AB191" s="125"/>
      <c r="AC191" s="125"/>
      <c r="AD191" s="125"/>
      <c r="AE191" s="125"/>
      <c r="AF191" s="125"/>
      <c r="AG191" s="125"/>
      <c r="AH191" s="125"/>
      <c r="AI191" s="125"/>
      <c r="AJ191" s="125"/>
      <c r="AK191" s="125"/>
      <c r="AL191" s="125"/>
      <c r="AM191" s="125"/>
      <c r="AN191" s="125"/>
      <c r="AO191" s="125"/>
      <c r="AP191" s="125"/>
      <c r="AQ191" s="125"/>
      <c r="AR191" s="125"/>
      <c r="AS191" s="125"/>
      <c r="AT191" s="125"/>
      <c r="AU191" s="125"/>
      <c r="AV191" s="125"/>
      <c r="AW191" s="125"/>
      <c r="AX191" s="125"/>
      <c r="AY191" s="125"/>
      <c r="AZ191" s="125"/>
      <c r="BA191" s="125"/>
      <c r="BB191" s="125"/>
      <c r="BC191" s="125"/>
      <c r="BD191" s="125"/>
      <c r="BE191" s="125"/>
      <c r="BF191" s="125"/>
    </row>
    <row r="192" spans="1:58" s="124" customFormat="1" ht="16">
      <c r="A192" s="386"/>
      <c r="B192" s="151" t="s">
        <v>2143</v>
      </c>
      <c r="C192" s="152"/>
      <c r="D192" s="152"/>
      <c r="E192" s="152"/>
      <c r="F192" s="152"/>
      <c r="G192" s="152"/>
      <c r="H192" s="152"/>
      <c r="I192" s="152"/>
      <c r="J192" s="152"/>
      <c r="K192" s="152"/>
      <c r="L192" s="152"/>
      <c r="O192" s="123"/>
      <c r="P192" s="123"/>
      <c r="Q192" s="123"/>
      <c r="R192" s="123"/>
      <c r="S192" s="123"/>
      <c r="T192" s="123"/>
      <c r="U192" s="123"/>
      <c r="V192" s="125"/>
      <c r="W192" s="125"/>
      <c r="X192" s="125"/>
      <c r="Y192" s="125"/>
      <c r="Z192" s="125"/>
      <c r="AA192" s="125"/>
      <c r="AB192" s="125"/>
      <c r="AC192" s="125"/>
      <c r="AD192" s="125"/>
      <c r="AE192" s="125"/>
      <c r="AF192" s="125"/>
      <c r="AG192" s="125"/>
      <c r="AH192" s="125"/>
      <c r="AI192" s="125"/>
      <c r="AJ192" s="125"/>
      <c r="AK192" s="125"/>
      <c r="AL192" s="125"/>
      <c r="AM192" s="125"/>
      <c r="AN192" s="125"/>
      <c r="AO192" s="125"/>
      <c r="AP192" s="125"/>
      <c r="AQ192" s="125"/>
      <c r="AR192" s="125"/>
      <c r="AS192" s="125"/>
      <c r="AT192" s="125"/>
      <c r="AU192" s="125"/>
      <c r="AV192" s="125"/>
      <c r="AW192" s="125"/>
      <c r="AX192" s="125"/>
      <c r="AY192" s="125"/>
      <c r="AZ192" s="125"/>
      <c r="BA192" s="125"/>
      <c r="BB192" s="125"/>
      <c r="BC192" s="125"/>
      <c r="BD192" s="125"/>
      <c r="BE192" s="125"/>
      <c r="BF192" s="125"/>
    </row>
    <row r="193" spans="1:58" s="124" customFormat="1" ht="16">
      <c r="A193" s="386"/>
      <c r="B193" s="151" t="s">
        <v>2096</v>
      </c>
      <c r="C193" s="152"/>
      <c r="D193" s="152"/>
      <c r="E193" s="152"/>
      <c r="F193" s="152"/>
      <c r="G193" s="152"/>
      <c r="H193" s="152"/>
      <c r="I193" s="152"/>
      <c r="J193" s="152"/>
      <c r="K193" s="152"/>
      <c r="L193" s="152"/>
      <c r="O193" s="123"/>
      <c r="P193" s="123"/>
      <c r="Q193" s="123"/>
      <c r="R193" s="123"/>
      <c r="S193" s="123"/>
      <c r="T193" s="123"/>
      <c r="U193" s="123"/>
      <c r="V193" s="125"/>
      <c r="W193" s="125"/>
      <c r="X193" s="125"/>
      <c r="Y193" s="125"/>
      <c r="Z193" s="125"/>
      <c r="AA193" s="125"/>
      <c r="AB193" s="125"/>
      <c r="AC193" s="125"/>
      <c r="AD193" s="125"/>
      <c r="AE193" s="125"/>
      <c r="AF193" s="125"/>
      <c r="AG193" s="125"/>
      <c r="AH193" s="125"/>
      <c r="AI193" s="125"/>
      <c r="AJ193" s="125"/>
      <c r="AK193" s="125"/>
      <c r="AL193" s="125"/>
      <c r="AM193" s="125"/>
      <c r="AN193" s="125"/>
      <c r="AO193" s="125"/>
      <c r="AP193" s="125"/>
      <c r="AQ193" s="125"/>
      <c r="AR193" s="125"/>
      <c r="AS193" s="125"/>
      <c r="AT193" s="125"/>
      <c r="AU193" s="125"/>
      <c r="AV193" s="125"/>
      <c r="AW193" s="125"/>
      <c r="AX193" s="125"/>
      <c r="AY193" s="125"/>
      <c r="AZ193" s="125"/>
      <c r="BA193" s="125"/>
      <c r="BB193" s="125"/>
      <c r="BC193" s="125"/>
      <c r="BD193" s="125"/>
      <c r="BE193" s="125"/>
      <c r="BF193" s="125"/>
    </row>
    <row r="194" spans="1:58" s="124" customFormat="1" ht="16">
      <c r="A194" s="387"/>
      <c r="B194" s="134" t="s">
        <v>2166</v>
      </c>
      <c r="C194" s="136" t="s">
        <v>2167</v>
      </c>
      <c r="D194" s="136" t="s">
        <v>2167</v>
      </c>
      <c r="E194" s="136" t="s">
        <v>2168</v>
      </c>
      <c r="F194" s="136"/>
      <c r="G194" s="136"/>
      <c r="H194" s="136"/>
      <c r="I194" s="136"/>
      <c r="J194" s="136"/>
      <c r="K194" s="136"/>
      <c r="L194" s="136"/>
      <c r="O194" s="123"/>
      <c r="P194" s="123"/>
      <c r="Q194" s="123"/>
      <c r="R194" s="123"/>
      <c r="S194" s="123"/>
      <c r="T194" s="123"/>
      <c r="U194" s="123"/>
      <c r="V194" s="125"/>
      <c r="W194" s="125"/>
      <c r="X194" s="125"/>
      <c r="Y194" s="125"/>
      <c r="Z194" s="125"/>
      <c r="AA194" s="125"/>
      <c r="AB194" s="125"/>
      <c r="AC194" s="125"/>
      <c r="AD194" s="125"/>
      <c r="AE194" s="125"/>
      <c r="AF194" s="125"/>
      <c r="AG194" s="125"/>
      <c r="AH194" s="125"/>
      <c r="AI194" s="125"/>
      <c r="AJ194" s="125"/>
      <c r="AK194" s="125"/>
      <c r="AL194" s="125"/>
      <c r="AM194" s="125"/>
      <c r="AN194" s="125"/>
      <c r="AO194" s="125"/>
      <c r="AP194" s="125"/>
      <c r="AQ194" s="125"/>
      <c r="AR194" s="125"/>
      <c r="AS194" s="125"/>
      <c r="AT194" s="125"/>
      <c r="AU194" s="125"/>
      <c r="AV194" s="125"/>
      <c r="AW194" s="125"/>
      <c r="AX194" s="125"/>
      <c r="AY194" s="125"/>
      <c r="AZ194" s="125"/>
      <c r="BA194" s="125"/>
      <c r="BB194" s="125"/>
      <c r="BC194" s="125"/>
      <c r="BD194" s="125"/>
      <c r="BE194" s="125"/>
      <c r="BF194" s="125"/>
    </row>
    <row r="195" spans="1:58" s="124" customFormat="1" ht="16">
      <c r="C195" s="123"/>
      <c r="D195" s="123"/>
      <c r="E195" s="123"/>
      <c r="F195" s="123"/>
      <c r="G195" s="123"/>
      <c r="H195" s="123"/>
      <c r="I195" s="123"/>
      <c r="J195" s="123"/>
      <c r="K195" s="123"/>
      <c r="L195" s="123"/>
      <c r="M195" s="123"/>
      <c r="N195" s="123"/>
      <c r="O195" s="123"/>
      <c r="P195" s="123"/>
      <c r="Q195" s="123"/>
      <c r="R195" s="123"/>
      <c r="S195" s="123"/>
      <c r="T195" s="123"/>
      <c r="U195" s="123"/>
      <c r="V195" s="125"/>
      <c r="W195" s="125"/>
      <c r="X195" s="125"/>
      <c r="Y195" s="125"/>
      <c r="Z195" s="125"/>
      <c r="AA195" s="125"/>
      <c r="AB195" s="125"/>
      <c r="AC195" s="125"/>
      <c r="AD195" s="125"/>
      <c r="AE195" s="125"/>
      <c r="AF195" s="125"/>
      <c r="AG195" s="125"/>
      <c r="AH195" s="125"/>
      <c r="AI195" s="125"/>
      <c r="AJ195" s="125"/>
      <c r="AK195" s="125"/>
      <c r="AL195" s="125"/>
      <c r="AM195" s="125"/>
      <c r="AN195" s="125"/>
      <c r="AO195" s="125"/>
      <c r="AP195" s="125"/>
      <c r="AQ195" s="125"/>
      <c r="AR195" s="125"/>
      <c r="AS195" s="125"/>
      <c r="AT195" s="125"/>
      <c r="AU195" s="125"/>
      <c r="AV195" s="125"/>
      <c r="AW195" s="125"/>
      <c r="AX195" s="125"/>
      <c r="AY195" s="125"/>
      <c r="AZ195" s="125"/>
      <c r="BA195" s="125"/>
      <c r="BB195" s="125"/>
      <c r="BC195" s="125"/>
      <c r="BD195" s="125"/>
      <c r="BE195" s="125"/>
      <c r="BF195" s="125"/>
    </row>
    <row r="196" spans="1:58" s="124" customFormat="1" ht="17">
      <c r="A196" s="385" t="s">
        <v>2171</v>
      </c>
      <c r="B196" s="195" t="s">
        <v>2172</v>
      </c>
      <c r="C196" s="184">
        <v>2</v>
      </c>
      <c r="D196" s="184">
        <v>3</v>
      </c>
      <c r="E196" s="184">
        <v>4</v>
      </c>
      <c r="F196" s="184"/>
      <c r="G196" s="184"/>
      <c r="H196" s="184"/>
      <c r="I196" s="184"/>
      <c r="J196" s="184"/>
      <c r="K196" s="184"/>
      <c r="L196" s="184"/>
      <c r="M196" s="123"/>
      <c r="N196" s="123"/>
      <c r="O196" s="123"/>
      <c r="P196" s="123"/>
      <c r="Q196" s="123"/>
      <c r="R196" s="123"/>
      <c r="S196" s="123"/>
      <c r="T196" s="123"/>
      <c r="U196" s="123"/>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row>
    <row r="197" spans="1:58" s="124" customFormat="1" ht="16">
      <c r="A197" s="386"/>
      <c r="B197" s="151" t="s">
        <v>2133</v>
      </c>
      <c r="C197" s="152"/>
      <c r="D197" s="152"/>
      <c r="E197" s="152"/>
      <c r="F197" s="152"/>
      <c r="G197" s="152"/>
      <c r="H197" s="152"/>
      <c r="I197" s="152"/>
      <c r="J197" s="152"/>
      <c r="K197" s="152"/>
      <c r="L197" s="152"/>
      <c r="O197" s="123"/>
      <c r="P197" s="123"/>
      <c r="Q197" s="123"/>
      <c r="R197" s="123"/>
      <c r="S197" s="123"/>
      <c r="T197" s="123"/>
      <c r="U197" s="123"/>
      <c r="V197" s="125"/>
      <c r="W197" s="125"/>
      <c r="X197" s="125"/>
      <c r="Y197" s="125"/>
      <c r="Z197" s="125"/>
      <c r="AA197" s="125"/>
      <c r="AB197" s="125"/>
      <c r="AC197" s="125"/>
      <c r="AD197" s="125"/>
      <c r="AE197" s="125"/>
      <c r="AF197" s="125"/>
      <c r="AG197" s="125"/>
      <c r="AH197" s="125"/>
      <c r="AI197" s="125"/>
      <c r="AJ197" s="125"/>
      <c r="AK197" s="125"/>
      <c r="AL197" s="125"/>
      <c r="AM197" s="125"/>
      <c r="AN197" s="125"/>
      <c r="AO197" s="125"/>
      <c r="AP197" s="125"/>
      <c r="AQ197" s="125"/>
      <c r="AR197" s="125"/>
      <c r="AS197" s="125"/>
      <c r="AT197" s="125"/>
      <c r="AU197" s="125"/>
      <c r="AV197" s="125"/>
      <c r="AW197" s="125"/>
      <c r="AX197" s="125"/>
      <c r="AY197" s="125"/>
      <c r="AZ197" s="125"/>
      <c r="BA197" s="125"/>
      <c r="BB197" s="125"/>
      <c r="BC197" s="125"/>
      <c r="BD197" s="125"/>
      <c r="BE197" s="125"/>
      <c r="BF197" s="125"/>
    </row>
    <row r="198" spans="1:58" s="124" customFormat="1" ht="16">
      <c r="A198" s="386"/>
      <c r="B198" s="151" t="s">
        <v>2135</v>
      </c>
      <c r="C198" s="152" t="s">
        <v>2173</v>
      </c>
      <c r="D198" s="152" t="s">
        <v>1972</v>
      </c>
      <c r="E198" s="152"/>
      <c r="F198" s="152"/>
      <c r="G198" s="152"/>
      <c r="H198" s="152"/>
      <c r="I198" s="152"/>
      <c r="J198" s="152"/>
      <c r="K198" s="152"/>
      <c r="L198" s="152"/>
      <c r="O198" s="123"/>
      <c r="P198" s="123"/>
      <c r="Q198" s="123"/>
      <c r="R198" s="123"/>
      <c r="S198" s="123"/>
      <c r="T198" s="123"/>
      <c r="U198" s="123"/>
      <c r="V198" s="125"/>
      <c r="W198" s="125"/>
      <c r="X198" s="125"/>
      <c r="Y198" s="125"/>
      <c r="Z198" s="125"/>
      <c r="AA198" s="125"/>
      <c r="AB198" s="125"/>
      <c r="AC198" s="125"/>
      <c r="AD198" s="125"/>
      <c r="AE198" s="125"/>
      <c r="AF198" s="125"/>
      <c r="AG198" s="125"/>
      <c r="AH198" s="125"/>
      <c r="AI198" s="125"/>
      <c r="AJ198" s="125"/>
      <c r="AK198" s="125"/>
      <c r="AL198" s="125"/>
      <c r="AM198" s="125"/>
      <c r="AN198" s="125"/>
      <c r="AO198" s="125"/>
      <c r="AP198" s="125"/>
      <c r="AQ198" s="125"/>
      <c r="AR198" s="125"/>
      <c r="AS198" s="125"/>
      <c r="AT198" s="125"/>
      <c r="AU198" s="125"/>
      <c r="AV198" s="125"/>
      <c r="AW198" s="125"/>
      <c r="AX198" s="125"/>
      <c r="AY198" s="125"/>
      <c r="AZ198" s="125"/>
      <c r="BA198" s="125"/>
      <c r="BB198" s="125"/>
      <c r="BC198" s="125"/>
      <c r="BD198" s="125"/>
      <c r="BE198" s="125"/>
      <c r="BF198" s="125"/>
    </row>
    <row r="199" spans="1:58" s="124" customFormat="1" ht="16">
      <c r="A199" s="386"/>
      <c r="B199" s="151" t="s">
        <v>2138</v>
      </c>
      <c r="C199" s="152"/>
      <c r="D199" s="152"/>
      <c r="E199" s="152"/>
      <c r="F199" s="152"/>
      <c r="G199" s="152"/>
      <c r="H199" s="152"/>
      <c r="I199" s="152"/>
      <c r="J199" s="152"/>
      <c r="K199" s="152"/>
      <c r="L199" s="152"/>
      <c r="O199" s="123"/>
      <c r="P199" s="123"/>
      <c r="Q199" s="123"/>
      <c r="R199" s="123"/>
      <c r="S199" s="123"/>
      <c r="T199" s="123"/>
      <c r="U199" s="123"/>
      <c r="V199" s="125"/>
      <c r="W199" s="125"/>
      <c r="X199" s="125"/>
      <c r="Y199" s="125"/>
      <c r="Z199" s="125"/>
      <c r="AA199" s="125"/>
      <c r="AB199" s="125"/>
      <c r="AC199" s="125"/>
      <c r="AD199" s="125"/>
      <c r="AE199" s="125"/>
      <c r="AF199" s="125"/>
      <c r="AG199" s="125"/>
      <c r="AH199" s="125"/>
      <c r="AI199" s="125"/>
      <c r="AJ199" s="125"/>
      <c r="AK199" s="125"/>
      <c r="AL199" s="125"/>
      <c r="AM199" s="125"/>
      <c r="AN199" s="125"/>
      <c r="AO199" s="125"/>
      <c r="AP199" s="125"/>
      <c r="AQ199" s="125"/>
      <c r="AR199" s="125"/>
      <c r="AS199" s="125"/>
      <c r="AT199" s="125"/>
      <c r="AU199" s="125"/>
      <c r="AV199" s="125"/>
      <c r="AW199" s="125"/>
      <c r="AX199" s="125"/>
      <c r="AY199" s="125"/>
      <c r="AZ199" s="125"/>
      <c r="BA199" s="125"/>
      <c r="BB199" s="125"/>
      <c r="BC199" s="125"/>
      <c r="BD199" s="125"/>
      <c r="BE199" s="125"/>
      <c r="BF199" s="125"/>
    </row>
    <row r="200" spans="1:58" s="124" customFormat="1" ht="16">
      <c r="A200" s="386"/>
      <c r="B200" s="151" t="s">
        <v>2141</v>
      </c>
      <c r="C200" s="152"/>
      <c r="D200" s="152"/>
      <c r="E200" s="152"/>
      <c r="F200" s="152"/>
      <c r="G200" s="152"/>
      <c r="H200" s="152"/>
      <c r="I200" s="152"/>
      <c r="J200" s="152"/>
      <c r="K200" s="152"/>
      <c r="L200" s="152"/>
      <c r="O200" s="123"/>
      <c r="P200" s="123"/>
      <c r="Q200" s="123"/>
      <c r="R200" s="123"/>
      <c r="S200" s="123"/>
      <c r="T200" s="123"/>
      <c r="U200" s="123"/>
      <c r="V200" s="125"/>
      <c r="W200" s="125"/>
      <c r="X200" s="125"/>
      <c r="Y200" s="125"/>
      <c r="Z200" s="125"/>
      <c r="AA200" s="125"/>
      <c r="AB200" s="125"/>
      <c r="AC200" s="125"/>
      <c r="AD200" s="125"/>
      <c r="AE200" s="125"/>
      <c r="AF200" s="125"/>
      <c r="AG200" s="125"/>
      <c r="AH200" s="125"/>
      <c r="AI200" s="125"/>
      <c r="AJ200" s="125"/>
      <c r="AK200" s="125"/>
      <c r="AL200" s="125"/>
      <c r="AM200" s="125"/>
      <c r="AN200" s="125"/>
      <c r="AO200" s="125"/>
      <c r="AP200" s="125"/>
      <c r="AQ200" s="125"/>
      <c r="AR200" s="125"/>
      <c r="AS200" s="125"/>
      <c r="AT200" s="125"/>
      <c r="AU200" s="125"/>
      <c r="AV200" s="125"/>
      <c r="AW200" s="125"/>
      <c r="AX200" s="125"/>
      <c r="AY200" s="125"/>
      <c r="AZ200" s="125"/>
      <c r="BA200" s="125"/>
      <c r="BB200" s="125"/>
      <c r="BC200" s="125"/>
      <c r="BD200" s="125"/>
      <c r="BE200" s="125"/>
      <c r="BF200" s="125"/>
    </row>
    <row r="201" spans="1:58" s="124" customFormat="1" ht="16">
      <c r="A201" s="386"/>
      <c r="B201" s="151" t="s">
        <v>2143</v>
      </c>
      <c r="C201" s="152"/>
      <c r="D201" s="152"/>
      <c r="E201" s="152"/>
      <c r="F201" s="152"/>
      <c r="G201" s="152"/>
      <c r="H201" s="152"/>
      <c r="I201" s="152"/>
      <c r="J201" s="152"/>
      <c r="K201" s="152"/>
      <c r="L201" s="152"/>
      <c r="O201" s="123"/>
      <c r="P201" s="123"/>
      <c r="Q201" s="123"/>
      <c r="R201" s="123"/>
      <c r="S201" s="123"/>
      <c r="T201" s="123"/>
      <c r="U201" s="123"/>
      <c r="V201" s="125"/>
      <c r="W201" s="125"/>
      <c r="X201" s="125"/>
      <c r="Y201" s="125"/>
      <c r="Z201" s="125"/>
      <c r="AA201" s="125"/>
      <c r="AB201" s="125"/>
      <c r="AC201" s="125"/>
      <c r="AD201" s="125"/>
      <c r="AE201" s="125"/>
      <c r="AF201" s="125"/>
      <c r="AG201" s="125"/>
      <c r="AH201" s="125"/>
      <c r="AI201" s="125"/>
      <c r="AJ201" s="125"/>
      <c r="AK201" s="125"/>
      <c r="AL201" s="125"/>
      <c r="AM201" s="125"/>
      <c r="AN201" s="125"/>
      <c r="AO201" s="125"/>
      <c r="AP201" s="125"/>
      <c r="AQ201" s="125"/>
      <c r="AR201" s="125"/>
      <c r="AS201" s="125"/>
      <c r="AT201" s="125"/>
      <c r="AU201" s="125"/>
      <c r="AV201" s="125"/>
      <c r="AW201" s="125"/>
      <c r="AX201" s="125"/>
      <c r="AY201" s="125"/>
      <c r="AZ201" s="125"/>
      <c r="BA201" s="125"/>
      <c r="BB201" s="125"/>
      <c r="BC201" s="125"/>
      <c r="BD201" s="125"/>
      <c r="BE201" s="125"/>
      <c r="BF201" s="125"/>
    </row>
    <row r="202" spans="1:58" s="124" customFormat="1" ht="16">
      <c r="A202" s="386"/>
      <c r="B202" s="151" t="s">
        <v>2096</v>
      </c>
      <c r="C202" s="152"/>
      <c r="D202" s="152"/>
      <c r="E202" s="152"/>
      <c r="F202" s="152"/>
      <c r="G202" s="152"/>
      <c r="H202" s="152"/>
      <c r="I202" s="152"/>
      <c r="J202" s="152"/>
      <c r="K202" s="152"/>
      <c r="L202" s="152"/>
      <c r="O202" s="123"/>
      <c r="P202" s="123"/>
      <c r="Q202" s="123"/>
      <c r="R202" s="123"/>
      <c r="S202" s="123"/>
      <c r="T202" s="123"/>
      <c r="U202" s="123"/>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row>
    <row r="203" spans="1:58" s="124" customFormat="1" ht="16">
      <c r="A203" s="387"/>
      <c r="B203" s="134" t="s">
        <v>2166</v>
      </c>
      <c r="C203" s="136"/>
      <c r="D203" s="136"/>
      <c r="E203" s="136"/>
      <c r="F203" s="136"/>
      <c r="G203" s="136"/>
      <c r="H203" s="136"/>
      <c r="I203" s="136"/>
      <c r="J203" s="136"/>
      <c r="K203" s="136"/>
      <c r="L203" s="136"/>
      <c r="O203" s="123"/>
      <c r="P203" s="123"/>
      <c r="Q203" s="123"/>
      <c r="R203" s="123"/>
      <c r="S203" s="123"/>
      <c r="T203" s="123"/>
      <c r="U203" s="123"/>
      <c r="V203" s="125"/>
      <c r="W203" s="125"/>
      <c r="X203" s="125"/>
      <c r="Y203" s="125"/>
      <c r="Z203" s="125"/>
      <c r="AA203" s="125"/>
      <c r="AB203" s="125"/>
      <c r="AC203" s="125"/>
      <c r="AD203" s="125"/>
      <c r="AE203" s="125"/>
      <c r="AF203" s="125"/>
      <c r="AG203" s="125"/>
      <c r="AH203" s="125"/>
      <c r="AI203" s="125"/>
      <c r="AJ203" s="125"/>
      <c r="AK203" s="125"/>
      <c r="AL203" s="125"/>
      <c r="AM203" s="125"/>
      <c r="AN203" s="125"/>
      <c r="AO203" s="125"/>
      <c r="AP203" s="125"/>
      <c r="AQ203" s="125"/>
      <c r="AR203" s="125"/>
      <c r="AS203" s="125"/>
      <c r="AT203" s="125"/>
      <c r="AU203" s="125"/>
      <c r="AV203" s="125"/>
      <c r="AW203" s="125"/>
      <c r="AX203" s="125"/>
      <c r="AY203" s="125"/>
      <c r="AZ203" s="125"/>
      <c r="BA203" s="125"/>
      <c r="BB203" s="125"/>
      <c r="BC203" s="125"/>
      <c r="BD203" s="125"/>
      <c r="BE203" s="125"/>
      <c r="BF203" s="125"/>
    </row>
    <row r="204" spans="1:58" s="124" customFormat="1" ht="16">
      <c r="C204" s="123"/>
      <c r="D204" s="123"/>
      <c r="E204" s="123"/>
      <c r="F204" s="123"/>
      <c r="G204" s="123"/>
      <c r="H204" s="123"/>
      <c r="I204" s="123"/>
      <c r="J204" s="123"/>
      <c r="K204" s="123"/>
      <c r="L204" s="123"/>
      <c r="M204" s="123"/>
      <c r="N204" s="123"/>
      <c r="O204" s="123"/>
      <c r="P204" s="123"/>
      <c r="Q204" s="123"/>
      <c r="R204" s="123"/>
      <c r="S204" s="123"/>
      <c r="T204" s="123"/>
      <c r="U204" s="123"/>
      <c r="V204" s="125"/>
      <c r="W204" s="125"/>
      <c r="X204" s="125"/>
      <c r="Y204" s="125"/>
      <c r="Z204" s="125"/>
      <c r="AA204" s="125"/>
      <c r="AB204" s="125"/>
      <c r="AC204" s="125"/>
      <c r="AD204" s="125"/>
      <c r="AE204" s="125"/>
      <c r="AF204" s="125"/>
      <c r="AG204" s="125"/>
      <c r="AH204" s="125"/>
      <c r="AI204" s="125"/>
      <c r="AJ204" s="125"/>
      <c r="AK204" s="125"/>
      <c r="AL204" s="125"/>
      <c r="AM204" s="125"/>
      <c r="AN204" s="125"/>
      <c r="AO204" s="125"/>
      <c r="AP204" s="125"/>
      <c r="AQ204" s="125"/>
      <c r="AR204" s="125"/>
      <c r="AS204" s="125"/>
      <c r="AT204" s="125"/>
      <c r="AU204" s="125"/>
      <c r="AV204" s="125"/>
      <c r="AW204" s="125"/>
      <c r="AX204" s="125"/>
      <c r="AY204" s="125"/>
      <c r="AZ204" s="125"/>
      <c r="BA204" s="125"/>
      <c r="BB204" s="125"/>
      <c r="BC204" s="125"/>
      <c r="BD204" s="125"/>
      <c r="BE204" s="125"/>
      <c r="BF204" s="125"/>
    </row>
    <row r="205" spans="1:58" s="124" customFormat="1" ht="72">
      <c r="A205" s="385" t="s">
        <v>2174</v>
      </c>
      <c r="B205" s="195" t="s">
        <v>2175</v>
      </c>
      <c r="C205" s="184">
        <v>2</v>
      </c>
      <c r="D205" s="184">
        <v>2</v>
      </c>
      <c r="E205" s="184">
        <v>3</v>
      </c>
      <c r="F205" s="184">
        <v>3</v>
      </c>
      <c r="G205" s="184">
        <v>4</v>
      </c>
      <c r="H205" s="184"/>
      <c r="I205" s="184">
        <v>5</v>
      </c>
      <c r="J205" s="184">
        <v>6</v>
      </c>
      <c r="K205" s="184"/>
      <c r="L205" s="184">
        <v>8</v>
      </c>
      <c r="M205" s="184">
        <v>9</v>
      </c>
      <c r="N205" s="204"/>
      <c r="O205" s="123"/>
      <c r="P205" s="123"/>
      <c r="Q205" s="123"/>
      <c r="R205" s="123"/>
      <c r="S205" s="123"/>
      <c r="T205" s="123"/>
      <c r="U205" s="123"/>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row>
    <row r="206" spans="1:58" s="124" customFormat="1" ht="16">
      <c r="A206" s="386"/>
      <c r="B206" s="151" t="s">
        <v>2133</v>
      </c>
      <c r="C206" s="152" t="s">
        <v>2083</v>
      </c>
      <c r="D206" s="152" t="s">
        <v>2083</v>
      </c>
      <c r="E206" s="152" t="s">
        <v>2083</v>
      </c>
      <c r="F206" s="152" t="s">
        <v>2083</v>
      </c>
      <c r="G206" s="152" t="s">
        <v>2083</v>
      </c>
      <c r="H206" s="152"/>
      <c r="I206" s="152" t="s">
        <v>2176</v>
      </c>
      <c r="J206" s="152" t="s">
        <v>2176</v>
      </c>
      <c r="K206" s="152"/>
      <c r="L206" s="152" t="s">
        <v>2176</v>
      </c>
      <c r="M206" s="152" t="s">
        <v>2176</v>
      </c>
      <c r="N206" s="204"/>
      <c r="O206" s="123"/>
      <c r="P206" s="123"/>
      <c r="Q206" s="123"/>
      <c r="R206" s="123"/>
      <c r="S206" s="123"/>
      <c r="T206" s="123"/>
      <c r="U206" s="123"/>
      <c r="V206" s="125"/>
      <c r="W206" s="125"/>
      <c r="X206" s="125"/>
      <c r="Y206" s="125"/>
      <c r="Z206" s="125"/>
      <c r="AA206" s="125"/>
      <c r="AB206" s="125"/>
      <c r="AC206" s="125"/>
      <c r="AD206" s="125"/>
      <c r="AE206" s="125"/>
      <c r="AF206" s="125"/>
      <c r="AG206" s="125"/>
      <c r="AH206" s="125"/>
      <c r="AI206" s="125"/>
      <c r="AJ206" s="125"/>
      <c r="AK206" s="125"/>
      <c r="AL206" s="125"/>
      <c r="AM206" s="125"/>
      <c r="AN206" s="125"/>
      <c r="AO206" s="125"/>
      <c r="AP206" s="125"/>
      <c r="AQ206" s="125"/>
      <c r="AR206" s="125"/>
      <c r="AS206" s="125"/>
      <c r="AT206" s="125"/>
      <c r="AU206" s="125"/>
      <c r="AV206" s="125"/>
      <c r="AW206" s="125"/>
      <c r="AX206" s="125"/>
      <c r="AY206" s="125"/>
      <c r="AZ206" s="125"/>
      <c r="BA206" s="125"/>
      <c r="BB206" s="125"/>
      <c r="BC206" s="125"/>
      <c r="BD206" s="125"/>
      <c r="BE206" s="125"/>
      <c r="BF206" s="125"/>
    </row>
    <row r="207" spans="1:58" s="124" customFormat="1" ht="16">
      <c r="A207" s="386"/>
      <c r="B207" s="151" t="s">
        <v>2135</v>
      </c>
      <c r="C207" s="152">
        <v>2</v>
      </c>
      <c r="D207" s="152">
        <v>2</v>
      </c>
      <c r="E207" s="152">
        <v>3</v>
      </c>
      <c r="F207" s="152" t="s">
        <v>2136</v>
      </c>
      <c r="G207" s="152">
        <v>3</v>
      </c>
      <c r="H207" s="152"/>
      <c r="I207" s="152">
        <v>2</v>
      </c>
      <c r="J207" s="152">
        <v>3</v>
      </c>
      <c r="K207" s="152"/>
      <c r="L207" s="152">
        <v>2</v>
      </c>
      <c r="M207" s="152" t="s">
        <v>2136</v>
      </c>
      <c r="N207" s="204"/>
      <c r="O207" s="123"/>
      <c r="P207" s="123"/>
      <c r="Q207" s="123"/>
      <c r="R207" s="123"/>
      <c r="S207" s="123"/>
      <c r="T207" s="123"/>
      <c r="U207" s="123"/>
      <c r="V207" s="125"/>
      <c r="W207" s="125"/>
      <c r="X207" s="125"/>
      <c r="Y207" s="125"/>
      <c r="Z207" s="125"/>
      <c r="AA207" s="125"/>
      <c r="AB207" s="125"/>
      <c r="AC207" s="125"/>
      <c r="AD207" s="125"/>
      <c r="AE207" s="125"/>
      <c r="AF207" s="125"/>
      <c r="AG207" s="125"/>
      <c r="AH207" s="125"/>
      <c r="AI207" s="125"/>
      <c r="AJ207" s="125"/>
      <c r="AK207" s="125"/>
      <c r="AL207" s="125"/>
      <c r="AM207" s="125"/>
      <c r="AN207" s="125"/>
      <c r="AO207" s="125"/>
      <c r="AP207" s="125"/>
      <c r="AQ207" s="125"/>
      <c r="AR207" s="125"/>
      <c r="AS207" s="125"/>
      <c r="AT207" s="125"/>
      <c r="AU207" s="125"/>
      <c r="AV207" s="125"/>
      <c r="AW207" s="125"/>
      <c r="AX207" s="125"/>
      <c r="AY207" s="125"/>
      <c r="AZ207" s="125"/>
      <c r="BA207" s="125"/>
      <c r="BB207" s="125"/>
      <c r="BC207" s="125"/>
      <c r="BD207" s="125"/>
      <c r="BE207" s="125"/>
      <c r="BF207" s="125"/>
    </row>
    <row r="208" spans="1:58" s="124" customFormat="1" ht="16">
      <c r="A208" s="386"/>
      <c r="B208" s="151" t="s">
        <v>2138</v>
      </c>
      <c r="C208" s="152" t="s">
        <v>2139</v>
      </c>
      <c r="D208" s="152"/>
      <c r="E208" s="152"/>
      <c r="F208" s="152"/>
      <c r="G208" s="152" t="s">
        <v>2139</v>
      </c>
      <c r="H208" s="152"/>
      <c r="I208" s="152" t="s">
        <v>2139</v>
      </c>
      <c r="J208" s="152"/>
      <c r="K208" s="152"/>
      <c r="L208" s="152" t="s">
        <v>2140</v>
      </c>
      <c r="M208" s="152" t="s">
        <v>2140</v>
      </c>
      <c r="N208" s="204"/>
      <c r="O208" s="123"/>
      <c r="P208" s="123"/>
      <c r="Q208" s="123"/>
      <c r="R208" s="123"/>
      <c r="S208" s="123"/>
      <c r="T208" s="123"/>
      <c r="U208" s="123"/>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row>
    <row r="209" spans="1:58" s="124" customFormat="1" ht="16">
      <c r="A209" s="386"/>
      <c r="B209" s="151" t="s">
        <v>2141</v>
      </c>
      <c r="C209" s="152"/>
      <c r="D209" s="152"/>
      <c r="E209" s="152" t="s">
        <v>2148</v>
      </c>
      <c r="F209" s="152"/>
      <c r="G209" s="152" t="s">
        <v>2142</v>
      </c>
      <c r="H209" s="152"/>
      <c r="I209" s="152"/>
      <c r="J209" s="152" t="s">
        <v>2148</v>
      </c>
      <c r="K209" s="152"/>
      <c r="L209" s="152" t="s">
        <v>2142</v>
      </c>
      <c r="M209" s="152" t="s">
        <v>2142</v>
      </c>
      <c r="N209" s="204"/>
      <c r="O209" s="123"/>
      <c r="P209" s="123"/>
      <c r="Q209" s="123"/>
      <c r="R209" s="123"/>
      <c r="S209" s="123"/>
      <c r="T209" s="123"/>
      <c r="U209" s="123"/>
      <c r="V209" s="125"/>
      <c r="W209" s="125"/>
      <c r="X209" s="125"/>
      <c r="Y209" s="125"/>
      <c r="Z209" s="125"/>
      <c r="AA209" s="125"/>
      <c r="AB209" s="125"/>
      <c r="AC209" s="125"/>
      <c r="AD209" s="125"/>
      <c r="AE209" s="125"/>
      <c r="AF209" s="125"/>
      <c r="AG209" s="125"/>
      <c r="AH209" s="125"/>
      <c r="AI209" s="125"/>
      <c r="AJ209" s="125"/>
      <c r="AK209" s="125"/>
      <c r="AL209" s="125"/>
      <c r="AM209" s="125"/>
      <c r="AN209" s="125"/>
      <c r="AO209" s="125"/>
      <c r="AP209" s="125"/>
      <c r="AQ209" s="125"/>
      <c r="AR209" s="125"/>
      <c r="AS209" s="125"/>
      <c r="AT209" s="125"/>
      <c r="AU209" s="125"/>
      <c r="AV209" s="125"/>
      <c r="AW209" s="125"/>
      <c r="AX209" s="125"/>
      <c r="AY209" s="125"/>
      <c r="AZ209" s="125"/>
      <c r="BA209" s="125"/>
      <c r="BB209" s="125"/>
      <c r="BC209" s="125"/>
      <c r="BD209" s="125"/>
      <c r="BE209" s="125"/>
      <c r="BF209" s="125"/>
    </row>
    <row r="210" spans="1:58" s="124" customFormat="1" ht="16">
      <c r="A210" s="386"/>
      <c r="B210" s="151" t="s">
        <v>2143</v>
      </c>
      <c r="C210" s="152"/>
      <c r="D210" s="152"/>
      <c r="E210" s="152"/>
      <c r="F210" s="152"/>
      <c r="G210" s="152"/>
      <c r="H210" s="152"/>
      <c r="I210" s="152"/>
      <c r="J210" s="152"/>
      <c r="K210" s="152"/>
      <c r="L210" s="152" t="s">
        <v>2144</v>
      </c>
      <c r="M210" s="152" t="s">
        <v>2149</v>
      </c>
      <c r="N210" s="204"/>
      <c r="O210" s="123"/>
      <c r="P210" s="123"/>
      <c r="Q210" s="123"/>
      <c r="R210" s="123"/>
      <c r="S210" s="123"/>
      <c r="T210" s="123"/>
      <c r="U210" s="123"/>
      <c r="V210" s="125"/>
      <c r="W210" s="125"/>
      <c r="X210" s="125"/>
      <c r="Y210" s="125"/>
      <c r="Z210" s="125"/>
      <c r="AA210" s="125"/>
      <c r="AB210" s="125"/>
      <c r="AC210" s="125"/>
      <c r="AD210" s="125"/>
      <c r="AE210" s="125"/>
      <c r="AF210" s="125"/>
      <c r="AG210" s="125"/>
      <c r="AH210" s="125"/>
      <c r="AI210" s="125"/>
      <c r="AJ210" s="125"/>
      <c r="AK210" s="125"/>
      <c r="AL210" s="125"/>
      <c r="AM210" s="125"/>
      <c r="AN210" s="125"/>
      <c r="AO210" s="125"/>
      <c r="AP210" s="125"/>
      <c r="AQ210" s="125"/>
      <c r="AR210" s="125"/>
      <c r="AS210" s="125"/>
      <c r="AT210" s="125"/>
      <c r="AU210" s="125"/>
      <c r="AV210" s="125"/>
      <c r="AW210" s="125"/>
      <c r="AX210" s="125"/>
      <c r="AY210" s="125"/>
      <c r="AZ210" s="125"/>
      <c r="BA210" s="125"/>
      <c r="BB210" s="125"/>
      <c r="BC210" s="125"/>
      <c r="BD210" s="125"/>
      <c r="BE210" s="125"/>
      <c r="BF210" s="125"/>
    </row>
    <row r="211" spans="1:58" s="124" customFormat="1" ht="16">
      <c r="A211" s="386"/>
      <c r="B211" s="151" t="s">
        <v>2096</v>
      </c>
      <c r="C211" s="152"/>
      <c r="D211" s="152"/>
      <c r="E211" s="152"/>
      <c r="F211" s="152"/>
      <c r="G211" s="152"/>
      <c r="H211" s="152"/>
      <c r="I211" s="152"/>
      <c r="J211" s="152"/>
      <c r="K211" s="152"/>
      <c r="L211" s="152"/>
      <c r="M211" s="152"/>
      <c r="N211" s="204"/>
      <c r="O211" s="123"/>
      <c r="P211" s="123"/>
      <c r="Q211" s="123"/>
      <c r="R211" s="123"/>
      <c r="S211" s="123"/>
      <c r="T211" s="123"/>
      <c r="U211" s="123"/>
      <c r="V211" s="125"/>
      <c r="W211" s="125"/>
      <c r="X211" s="125"/>
      <c r="Y211" s="125"/>
      <c r="Z211" s="125"/>
      <c r="AA211" s="125"/>
      <c r="AB211" s="125"/>
      <c r="AC211" s="125"/>
      <c r="AD211" s="125"/>
      <c r="AE211" s="125"/>
      <c r="AF211" s="125"/>
      <c r="AG211" s="125"/>
      <c r="AH211" s="125"/>
      <c r="AI211" s="125"/>
      <c r="AJ211" s="125"/>
      <c r="AK211" s="125"/>
      <c r="AL211" s="125"/>
      <c r="AM211" s="125"/>
      <c r="AN211" s="125"/>
      <c r="AO211" s="125"/>
      <c r="AP211" s="125"/>
      <c r="AQ211" s="125"/>
      <c r="AR211" s="125"/>
      <c r="AS211" s="125"/>
      <c r="AT211" s="125"/>
      <c r="AU211" s="125"/>
      <c r="AV211" s="125"/>
      <c r="AW211" s="125"/>
      <c r="AX211" s="125"/>
      <c r="AY211" s="125"/>
      <c r="AZ211" s="125"/>
      <c r="BA211" s="125"/>
      <c r="BB211" s="125"/>
      <c r="BC211" s="125"/>
      <c r="BD211" s="125"/>
      <c r="BE211" s="125"/>
      <c r="BF211" s="125"/>
    </row>
    <row r="212" spans="1:58" s="124" customFormat="1" ht="16">
      <c r="A212" s="387"/>
      <c r="B212" s="134" t="s">
        <v>2166</v>
      </c>
      <c r="C212" s="136" t="s">
        <v>2168</v>
      </c>
      <c r="D212" s="136" t="s">
        <v>2167</v>
      </c>
      <c r="E212" s="136" t="s">
        <v>2168</v>
      </c>
      <c r="F212" s="136" t="s">
        <v>2167</v>
      </c>
      <c r="G212" s="136" t="s">
        <v>2168</v>
      </c>
      <c r="H212" s="136"/>
      <c r="I212" s="136" t="s">
        <v>2168</v>
      </c>
      <c r="J212" s="136" t="s">
        <v>2168</v>
      </c>
      <c r="K212" s="136"/>
      <c r="L212" s="136" t="s">
        <v>2168</v>
      </c>
      <c r="M212" s="136" t="s">
        <v>2168</v>
      </c>
      <c r="N212" s="204"/>
      <c r="O212" s="123"/>
      <c r="P212" s="123"/>
      <c r="Q212" s="123"/>
      <c r="R212" s="123"/>
      <c r="S212" s="123"/>
      <c r="T212" s="123"/>
      <c r="U212" s="123"/>
      <c r="V212" s="125"/>
      <c r="W212" s="125"/>
      <c r="X212" s="125"/>
      <c r="Y212" s="125"/>
      <c r="Z212" s="125"/>
      <c r="AA212" s="125"/>
      <c r="AB212" s="125"/>
      <c r="AC212" s="125"/>
      <c r="AD212" s="125"/>
      <c r="AE212" s="125"/>
      <c r="AF212" s="125"/>
      <c r="AG212" s="125"/>
      <c r="AH212" s="125"/>
      <c r="AI212" s="125"/>
      <c r="AJ212" s="125"/>
      <c r="AK212" s="125"/>
      <c r="AL212" s="125"/>
      <c r="AM212" s="125"/>
      <c r="AN212" s="125"/>
      <c r="AO212" s="125"/>
      <c r="AP212" s="125"/>
      <c r="AQ212" s="125"/>
      <c r="AR212" s="125"/>
      <c r="AS212" s="125"/>
      <c r="AT212" s="125"/>
      <c r="AU212" s="125"/>
      <c r="AV212" s="125"/>
      <c r="AW212" s="125"/>
      <c r="AX212" s="125"/>
      <c r="AY212" s="125"/>
      <c r="AZ212" s="125"/>
      <c r="BA212" s="125"/>
      <c r="BB212" s="125"/>
      <c r="BC212" s="125"/>
      <c r="BD212" s="125"/>
      <c r="BE212" s="125"/>
      <c r="BF212" s="125"/>
    </row>
    <row r="213" spans="1:58" s="124" customFormat="1" ht="16">
      <c r="C213" s="123"/>
      <c r="D213" s="123"/>
      <c r="E213" s="123"/>
      <c r="F213" s="123"/>
      <c r="G213" s="123"/>
      <c r="H213" s="123"/>
      <c r="I213" s="123"/>
      <c r="J213" s="123"/>
      <c r="K213" s="123"/>
      <c r="L213" s="123"/>
      <c r="M213" s="123"/>
      <c r="N213" s="123"/>
      <c r="O213" s="123"/>
      <c r="P213" s="123"/>
      <c r="Q213" s="123"/>
      <c r="R213" s="123"/>
      <c r="S213" s="123"/>
      <c r="T213" s="123"/>
      <c r="U213" s="123"/>
      <c r="V213" s="125"/>
      <c r="W213" s="125"/>
      <c r="X213" s="125"/>
      <c r="Y213" s="125"/>
      <c r="Z213" s="125"/>
      <c r="AA213" s="125"/>
      <c r="AB213" s="125"/>
      <c r="AC213" s="125"/>
      <c r="AD213" s="125"/>
      <c r="AE213" s="125"/>
      <c r="AF213" s="125"/>
      <c r="AG213" s="125"/>
      <c r="AH213" s="125"/>
      <c r="AI213" s="125"/>
      <c r="AJ213" s="125"/>
      <c r="AK213" s="125"/>
      <c r="AL213" s="125"/>
      <c r="AM213" s="125"/>
      <c r="AN213" s="125"/>
      <c r="AO213" s="125"/>
      <c r="AP213" s="125"/>
      <c r="AQ213" s="125"/>
      <c r="AR213" s="125"/>
      <c r="AS213" s="125"/>
      <c r="AT213" s="125"/>
      <c r="AU213" s="125"/>
      <c r="AV213" s="125"/>
      <c r="AW213" s="125"/>
      <c r="AX213" s="125"/>
      <c r="AY213" s="125"/>
      <c r="AZ213" s="125"/>
      <c r="BA213" s="125"/>
      <c r="BB213" s="125"/>
      <c r="BC213" s="125"/>
      <c r="BD213" s="125"/>
      <c r="BE213" s="125"/>
      <c r="BF213" s="125"/>
    </row>
    <row r="214" spans="1:58" s="124" customFormat="1" ht="72">
      <c r="A214" s="385" t="s">
        <v>2177</v>
      </c>
      <c r="B214" s="195" t="s">
        <v>2178</v>
      </c>
      <c r="C214" s="184">
        <v>2</v>
      </c>
      <c r="D214" s="184">
        <v>2</v>
      </c>
      <c r="E214" s="184">
        <v>3</v>
      </c>
      <c r="F214" s="184">
        <v>3</v>
      </c>
      <c r="G214" s="184">
        <v>4</v>
      </c>
      <c r="H214" s="184"/>
      <c r="I214" s="184">
        <v>5</v>
      </c>
      <c r="J214" s="184">
        <v>6</v>
      </c>
      <c r="K214" s="184"/>
      <c r="L214" s="184">
        <v>8</v>
      </c>
      <c r="M214" s="184">
        <v>9</v>
      </c>
      <c r="N214" s="123"/>
      <c r="O214" s="123"/>
      <c r="P214" s="123"/>
      <c r="Q214" s="123"/>
      <c r="R214" s="123"/>
      <c r="S214" s="123"/>
      <c r="T214" s="123"/>
      <c r="U214" s="123"/>
      <c r="V214" s="125"/>
      <c r="W214" s="125"/>
      <c r="X214" s="125"/>
      <c r="Y214" s="125"/>
      <c r="Z214" s="125"/>
      <c r="AA214" s="125"/>
      <c r="AB214" s="125"/>
      <c r="AC214" s="125"/>
      <c r="AD214" s="125"/>
      <c r="AE214" s="125"/>
      <c r="AF214" s="125"/>
      <c r="AG214" s="125"/>
      <c r="AH214" s="125"/>
      <c r="AI214" s="125"/>
      <c r="AJ214" s="125"/>
      <c r="AK214" s="125"/>
      <c r="AL214" s="125"/>
      <c r="AM214" s="125"/>
      <c r="AN214" s="125"/>
      <c r="AO214" s="125"/>
      <c r="AP214" s="125"/>
      <c r="AQ214" s="125"/>
      <c r="AR214" s="125"/>
      <c r="AS214" s="125"/>
      <c r="AT214" s="125"/>
      <c r="AU214" s="125"/>
      <c r="AV214" s="125"/>
      <c r="AW214" s="125"/>
      <c r="AX214" s="125"/>
      <c r="AY214" s="125"/>
      <c r="AZ214" s="125"/>
      <c r="BA214" s="125"/>
      <c r="BB214" s="125"/>
      <c r="BC214" s="125"/>
      <c r="BD214" s="125"/>
      <c r="BE214" s="125"/>
      <c r="BF214" s="125"/>
    </row>
    <row r="215" spans="1:58" s="124" customFormat="1" ht="16">
      <c r="A215" s="386"/>
      <c r="B215" s="151" t="s">
        <v>2133</v>
      </c>
      <c r="C215" s="152" t="s">
        <v>2083</v>
      </c>
      <c r="D215" s="152" t="s">
        <v>2083</v>
      </c>
      <c r="E215" s="152" t="s">
        <v>2083</v>
      </c>
      <c r="F215" s="152" t="s">
        <v>2083</v>
      </c>
      <c r="G215" s="152" t="s">
        <v>2083</v>
      </c>
      <c r="H215" s="152"/>
      <c r="I215" s="152" t="s">
        <v>2176</v>
      </c>
      <c r="J215" s="152" t="s">
        <v>2176</v>
      </c>
      <c r="K215" s="152"/>
      <c r="L215" s="152" t="s">
        <v>2176</v>
      </c>
      <c r="M215" s="152" t="s">
        <v>2176</v>
      </c>
      <c r="N215" s="123"/>
      <c r="O215" s="123"/>
      <c r="P215" s="123"/>
      <c r="Q215" s="123"/>
      <c r="R215" s="123"/>
      <c r="S215" s="123"/>
      <c r="T215" s="123"/>
      <c r="U215" s="123"/>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row>
    <row r="216" spans="1:58" s="124" customFormat="1" ht="16">
      <c r="A216" s="386"/>
      <c r="B216" s="151" t="s">
        <v>2135</v>
      </c>
      <c r="C216" s="152">
        <v>2</v>
      </c>
      <c r="D216" s="152">
        <v>2</v>
      </c>
      <c r="E216" s="152">
        <v>3</v>
      </c>
      <c r="F216" s="152" t="s">
        <v>2136</v>
      </c>
      <c r="G216" s="152">
        <v>3</v>
      </c>
      <c r="H216" s="152"/>
      <c r="I216" s="152">
        <v>2</v>
      </c>
      <c r="J216" s="152">
        <v>3</v>
      </c>
      <c r="K216" s="152"/>
      <c r="L216" s="152">
        <v>2</v>
      </c>
      <c r="M216" s="152" t="s">
        <v>2136</v>
      </c>
      <c r="N216" s="123"/>
      <c r="O216" s="123"/>
      <c r="P216" s="123"/>
      <c r="Q216" s="123"/>
      <c r="R216" s="123"/>
      <c r="S216" s="123"/>
      <c r="T216" s="123"/>
      <c r="U216" s="123"/>
      <c r="V216" s="125"/>
      <c r="W216" s="125"/>
      <c r="X216" s="125"/>
      <c r="Y216" s="125"/>
      <c r="Z216" s="125"/>
      <c r="AA216" s="125"/>
      <c r="AB216" s="125"/>
      <c r="AC216" s="125"/>
      <c r="AD216" s="125"/>
      <c r="AE216" s="125"/>
      <c r="AF216" s="125"/>
      <c r="AG216" s="125"/>
      <c r="AH216" s="125"/>
      <c r="AI216" s="125"/>
      <c r="AJ216" s="125"/>
      <c r="AK216" s="125"/>
      <c r="AL216" s="125"/>
      <c r="AM216" s="125"/>
      <c r="AN216" s="125"/>
      <c r="AO216" s="125"/>
      <c r="AP216" s="125"/>
      <c r="AQ216" s="125"/>
      <c r="AR216" s="125"/>
      <c r="AS216" s="125"/>
      <c r="AT216" s="125"/>
      <c r="AU216" s="125"/>
      <c r="AV216" s="125"/>
      <c r="AW216" s="125"/>
      <c r="AX216" s="125"/>
      <c r="AY216" s="125"/>
      <c r="AZ216" s="125"/>
      <c r="BA216" s="125"/>
      <c r="BB216" s="125"/>
      <c r="BC216" s="125"/>
      <c r="BD216" s="125"/>
      <c r="BE216" s="125"/>
      <c r="BF216" s="125"/>
    </row>
    <row r="217" spans="1:58" s="124" customFormat="1" ht="16">
      <c r="A217" s="386"/>
      <c r="B217" s="151" t="s">
        <v>2138</v>
      </c>
      <c r="C217" s="152" t="s">
        <v>2139</v>
      </c>
      <c r="D217" s="152"/>
      <c r="E217" s="152"/>
      <c r="F217" s="152"/>
      <c r="G217" s="152" t="s">
        <v>2139</v>
      </c>
      <c r="H217" s="152"/>
      <c r="I217" s="152" t="s">
        <v>2139</v>
      </c>
      <c r="J217" s="152"/>
      <c r="K217" s="152"/>
      <c r="L217" s="152" t="s">
        <v>2140</v>
      </c>
      <c r="M217" s="152" t="s">
        <v>2140</v>
      </c>
      <c r="N217" s="123"/>
      <c r="O217" s="123"/>
      <c r="P217" s="123"/>
      <c r="Q217" s="123"/>
      <c r="R217" s="123"/>
      <c r="S217" s="123"/>
      <c r="T217" s="123"/>
      <c r="U217" s="123"/>
      <c r="V217" s="125"/>
      <c r="W217" s="125"/>
      <c r="X217" s="125"/>
      <c r="Y217" s="125"/>
      <c r="Z217" s="125"/>
      <c r="AA217" s="125"/>
      <c r="AB217" s="125"/>
      <c r="AC217" s="125"/>
      <c r="AD217" s="125"/>
      <c r="AE217" s="125"/>
      <c r="AF217" s="125"/>
      <c r="AG217" s="125"/>
      <c r="AH217" s="125"/>
      <c r="AI217" s="125"/>
      <c r="AJ217" s="125"/>
      <c r="AK217" s="125"/>
      <c r="AL217" s="125"/>
      <c r="AM217" s="125"/>
      <c r="AN217" s="125"/>
      <c r="AO217" s="125"/>
      <c r="AP217" s="125"/>
      <c r="AQ217" s="125"/>
      <c r="AR217" s="125"/>
      <c r="AS217" s="125"/>
      <c r="AT217" s="125"/>
      <c r="AU217" s="125"/>
      <c r="AV217" s="125"/>
      <c r="AW217" s="125"/>
      <c r="AX217" s="125"/>
      <c r="AY217" s="125"/>
      <c r="AZ217" s="125"/>
      <c r="BA217" s="125"/>
      <c r="BB217" s="125"/>
      <c r="BC217" s="125"/>
      <c r="BD217" s="125"/>
      <c r="BE217" s="125"/>
      <c r="BF217" s="125"/>
    </row>
    <row r="218" spans="1:58" s="124" customFormat="1" ht="16">
      <c r="A218" s="386"/>
      <c r="B218" s="151" t="s">
        <v>2141</v>
      </c>
      <c r="C218" s="152"/>
      <c r="D218" s="152"/>
      <c r="E218" s="152" t="s">
        <v>2148</v>
      </c>
      <c r="F218" s="152"/>
      <c r="G218" s="152" t="s">
        <v>2142</v>
      </c>
      <c r="H218" s="152"/>
      <c r="I218" s="152"/>
      <c r="J218" s="152" t="s">
        <v>2148</v>
      </c>
      <c r="K218" s="152"/>
      <c r="L218" s="152" t="s">
        <v>2142</v>
      </c>
      <c r="M218" s="152" t="s">
        <v>2142</v>
      </c>
      <c r="N218" s="123"/>
      <c r="O218" s="123"/>
      <c r="P218" s="123"/>
      <c r="Q218" s="123"/>
      <c r="R218" s="123"/>
      <c r="S218" s="123"/>
      <c r="T218" s="123"/>
      <c r="U218" s="123"/>
      <c r="V218" s="125"/>
      <c r="W218" s="125"/>
      <c r="X218" s="125"/>
      <c r="Y218" s="125"/>
      <c r="Z218" s="125"/>
      <c r="AA218" s="125"/>
      <c r="AB218" s="125"/>
      <c r="AC218" s="125"/>
      <c r="AD218" s="125"/>
      <c r="AE218" s="125"/>
      <c r="AF218" s="125"/>
      <c r="AG218" s="125"/>
      <c r="AH218" s="125"/>
      <c r="AI218" s="125"/>
      <c r="AJ218" s="125"/>
      <c r="AK218" s="125"/>
      <c r="AL218" s="125"/>
      <c r="AM218" s="125"/>
      <c r="AN218" s="125"/>
      <c r="AO218" s="125"/>
      <c r="AP218" s="125"/>
      <c r="AQ218" s="125"/>
      <c r="AR218" s="125"/>
      <c r="AS218" s="125"/>
      <c r="AT218" s="125"/>
      <c r="AU218" s="125"/>
      <c r="AV218" s="125"/>
      <c r="AW218" s="125"/>
      <c r="AX218" s="125"/>
      <c r="AY218" s="125"/>
      <c r="AZ218" s="125"/>
      <c r="BA218" s="125"/>
      <c r="BB218" s="125"/>
      <c r="BC218" s="125"/>
      <c r="BD218" s="125"/>
      <c r="BE218" s="125"/>
      <c r="BF218" s="125"/>
    </row>
    <row r="219" spans="1:58" s="124" customFormat="1" ht="16">
      <c r="A219" s="386"/>
      <c r="B219" s="151" t="s">
        <v>2143</v>
      </c>
      <c r="C219" s="152"/>
      <c r="D219" s="152"/>
      <c r="E219" s="152"/>
      <c r="F219" s="152"/>
      <c r="G219" s="152"/>
      <c r="H219" s="152"/>
      <c r="I219" s="152"/>
      <c r="J219" s="152"/>
      <c r="K219" s="152"/>
      <c r="L219" s="152" t="s">
        <v>2144</v>
      </c>
      <c r="M219" s="152" t="s">
        <v>2149</v>
      </c>
      <c r="N219" s="123"/>
      <c r="O219" s="123"/>
      <c r="P219" s="123"/>
      <c r="Q219" s="123"/>
      <c r="R219" s="123"/>
      <c r="S219" s="123"/>
      <c r="T219" s="123"/>
      <c r="U219" s="123"/>
      <c r="V219" s="125"/>
      <c r="W219" s="125"/>
      <c r="X219" s="125"/>
      <c r="Y219" s="125"/>
      <c r="Z219" s="125"/>
      <c r="AA219" s="125"/>
      <c r="AB219" s="125"/>
      <c r="AC219" s="125"/>
      <c r="AD219" s="125"/>
      <c r="AE219" s="125"/>
      <c r="AF219" s="125"/>
      <c r="AG219" s="125"/>
      <c r="AH219" s="125"/>
      <c r="AI219" s="125"/>
      <c r="AJ219" s="125"/>
      <c r="AK219" s="125"/>
      <c r="AL219" s="125"/>
      <c r="AM219" s="125"/>
      <c r="AN219" s="125"/>
      <c r="AO219" s="125"/>
      <c r="AP219" s="125"/>
      <c r="AQ219" s="125"/>
      <c r="AR219" s="125"/>
      <c r="AS219" s="125"/>
      <c r="AT219" s="125"/>
      <c r="AU219" s="125"/>
      <c r="AV219" s="125"/>
      <c r="AW219" s="125"/>
      <c r="AX219" s="125"/>
      <c r="AY219" s="125"/>
      <c r="AZ219" s="125"/>
      <c r="BA219" s="125"/>
      <c r="BB219" s="125"/>
      <c r="BC219" s="125"/>
      <c r="BD219" s="125"/>
      <c r="BE219" s="125"/>
      <c r="BF219" s="125"/>
    </row>
    <row r="220" spans="1:58" s="124" customFormat="1" ht="16">
      <c r="A220" s="386"/>
      <c r="B220" s="151" t="s">
        <v>2096</v>
      </c>
      <c r="C220" s="152"/>
      <c r="D220" s="152"/>
      <c r="E220" s="152"/>
      <c r="F220" s="152"/>
      <c r="G220" s="152"/>
      <c r="H220" s="152"/>
      <c r="I220" s="152"/>
      <c r="J220" s="152"/>
      <c r="K220" s="152"/>
      <c r="L220" s="152"/>
      <c r="M220" s="152"/>
      <c r="O220" s="125"/>
    </row>
    <row r="221" spans="1:58" s="124" customFormat="1" ht="16">
      <c r="A221" s="387"/>
      <c r="B221" s="134" t="s">
        <v>2166</v>
      </c>
      <c r="C221" s="136" t="s">
        <v>2168</v>
      </c>
      <c r="D221" s="136" t="s">
        <v>2167</v>
      </c>
      <c r="E221" s="136" t="s">
        <v>2168</v>
      </c>
      <c r="F221" s="136" t="s">
        <v>2167</v>
      </c>
      <c r="G221" s="136" t="s">
        <v>2168</v>
      </c>
      <c r="H221" s="136"/>
      <c r="I221" s="136" t="s">
        <v>2168</v>
      </c>
      <c r="J221" s="136" t="s">
        <v>2168</v>
      </c>
      <c r="K221" s="136"/>
      <c r="L221" s="136" t="s">
        <v>2168</v>
      </c>
      <c r="M221" s="136" t="s">
        <v>2168</v>
      </c>
      <c r="O221" s="125"/>
    </row>
    <row r="222" spans="1:58" s="124" customFormat="1" ht="16">
      <c r="O222" s="125"/>
    </row>
    <row r="223" spans="1:58" s="124" customFormat="1" ht="55">
      <c r="A223" s="388" t="s">
        <v>2179</v>
      </c>
      <c r="B223" s="195" t="s">
        <v>2126</v>
      </c>
      <c r="C223" s="184">
        <v>2</v>
      </c>
      <c r="D223" s="184">
        <v>3</v>
      </c>
      <c r="E223" s="184">
        <v>4</v>
      </c>
      <c r="F223" s="184">
        <v>5</v>
      </c>
      <c r="G223" s="184">
        <v>6</v>
      </c>
      <c r="H223" s="184"/>
      <c r="I223" s="184">
        <v>7</v>
      </c>
      <c r="J223" s="184">
        <v>9</v>
      </c>
      <c r="K223" s="184"/>
      <c r="L223" s="184">
        <v>12</v>
      </c>
      <c r="O223" s="125"/>
    </row>
    <row r="224" spans="1:58" s="124" customFormat="1" ht="16">
      <c r="A224" s="389"/>
      <c r="B224" s="151" t="s">
        <v>2133</v>
      </c>
      <c r="C224" s="152" t="s">
        <v>2127</v>
      </c>
      <c r="D224" s="152" t="s">
        <v>2127</v>
      </c>
      <c r="E224" s="152" t="s">
        <v>2128</v>
      </c>
      <c r="F224" s="152" t="s">
        <v>2128</v>
      </c>
      <c r="G224" s="152" t="s">
        <v>2083</v>
      </c>
      <c r="H224" s="152"/>
      <c r="I224" s="152" t="s">
        <v>2083</v>
      </c>
      <c r="J224" s="152" t="s">
        <v>2131</v>
      </c>
      <c r="K224" s="152"/>
      <c r="L224" s="152" t="s">
        <v>2131</v>
      </c>
      <c r="O224" s="125"/>
    </row>
    <row r="225" spans="1:12" s="124" customFormat="1" ht="16">
      <c r="A225" s="389"/>
      <c r="B225" s="151" t="s">
        <v>2135</v>
      </c>
      <c r="C225" s="152">
        <v>2</v>
      </c>
      <c r="D225" s="152" t="s">
        <v>2136</v>
      </c>
      <c r="E225" s="152">
        <v>2</v>
      </c>
      <c r="F225" s="152" t="s">
        <v>2136</v>
      </c>
      <c r="G225" s="152">
        <v>2</v>
      </c>
      <c r="H225" s="152"/>
      <c r="I225" s="152" t="s">
        <v>2136</v>
      </c>
      <c r="J225" s="152">
        <v>3</v>
      </c>
      <c r="K225" s="152"/>
      <c r="L225" s="152" t="s">
        <v>2137</v>
      </c>
    </row>
    <row r="226" spans="1:12" s="124" customFormat="1" ht="16">
      <c r="A226" s="389"/>
      <c r="B226" s="151" t="s">
        <v>2138</v>
      </c>
      <c r="C226" s="152"/>
      <c r="D226" s="152"/>
      <c r="E226" s="152"/>
      <c r="F226" s="152"/>
      <c r="G226" s="152" t="s">
        <v>2139</v>
      </c>
      <c r="H226" s="152"/>
      <c r="I226" s="152" t="s">
        <v>2139</v>
      </c>
      <c r="J226" s="152" t="s">
        <v>2139</v>
      </c>
      <c r="K226" s="152"/>
      <c r="L226" s="152" t="s">
        <v>2140</v>
      </c>
    </row>
    <row r="227" spans="1:12" s="124" customFormat="1" ht="16">
      <c r="A227" s="389"/>
      <c r="B227" s="151" t="s">
        <v>2141</v>
      </c>
      <c r="C227" s="152"/>
      <c r="D227" s="152"/>
      <c r="E227" s="152"/>
      <c r="F227" s="152"/>
      <c r="G227" s="152" t="s">
        <v>2142</v>
      </c>
      <c r="H227" s="152"/>
      <c r="I227" s="152"/>
      <c r="J227" s="152" t="s">
        <v>2142</v>
      </c>
      <c r="K227" s="152"/>
      <c r="L227" s="152" t="s">
        <v>2142</v>
      </c>
    </row>
    <row r="228" spans="1:12" s="124" customFormat="1" ht="16">
      <c r="A228" s="389"/>
      <c r="B228" s="151" t="s">
        <v>2143</v>
      </c>
      <c r="C228" s="152"/>
      <c r="D228" s="152"/>
      <c r="E228" s="152"/>
      <c r="F228" s="152"/>
      <c r="G228" s="152"/>
      <c r="H228" s="152"/>
      <c r="I228" s="152"/>
      <c r="J228" s="152"/>
      <c r="K228" s="152"/>
      <c r="L228" s="152" t="s">
        <v>2144</v>
      </c>
    </row>
    <row r="229" spans="1:12" s="124" customFormat="1" ht="16">
      <c r="A229" s="390"/>
      <c r="B229" s="134" t="s">
        <v>2096</v>
      </c>
      <c r="C229" s="136"/>
      <c r="D229" s="136"/>
      <c r="E229" s="136"/>
      <c r="F229" s="136"/>
      <c r="G229" s="136"/>
      <c r="H229" s="136"/>
      <c r="I229" s="136"/>
      <c r="J229" s="136"/>
      <c r="K229" s="136"/>
      <c r="L229" s="136"/>
    </row>
    <row r="230" spans="1:12" s="124" customFormat="1" ht="16">
      <c r="A230" s="123"/>
      <c r="D230" s="123"/>
      <c r="E230" s="123"/>
      <c r="F230" s="123"/>
      <c r="G230" s="123"/>
      <c r="H230" s="123"/>
      <c r="I230" s="123"/>
      <c r="J230" s="123"/>
      <c r="K230" s="123"/>
      <c r="L230" s="123"/>
    </row>
    <row r="231" spans="1:12" s="124" customFormat="1" ht="55">
      <c r="A231" s="388" t="s">
        <v>2180</v>
      </c>
      <c r="B231" s="195" t="s">
        <v>2181</v>
      </c>
      <c r="C231" s="184">
        <v>2</v>
      </c>
      <c r="D231" s="184">
        <v>3</v>
      </c>
      <c r="E231" s="184">
        <v>4</v>
      </c>
      <c r="F231" s="184">
        <v>5</v>
      </c>
      <c r="G231" s="184">
        <v>6</v>
      </c>
      <c r="H231" s="184"/>
      <c r="I231" s="184">
        <v>7</v>
      </c>
      <c r="J231" s="184">
        <v>9</v>
      </c>
      <c r="K231" s="184"/>
      <c r="L231" s="184"/>
    </row>
    <row r="232" spans="1:12" s="124" customFormat="1" ht="16">
      <c r="A232" s="389"/>
      <c r="B232" s="151" t="s">
        <v>2133</v>
      </c>
      <c r="C232" s="152" t="s">
        <v>2127</v>
      </c>
      <c r="D232" s="152" t="s">
        <v>2127</v>
      </c>
      <c r="E232" s="152" t="s">
        <v>2128</v>
      </c>
      <c r="F232" s="152" t="s">
        <v>2128</v>
      </c>
      <c r="G232" s="152" t="s">
        <v>2083</v>
      </c>
      <c r="H232" s="152"/>
      <c r="I232" s="152" t="s">
        <v>2083</v>
      </c>
      <c r="J232" s="152" t="s">
        <v>2130</v>
      </c>
      <c r="K232" s="152"/>
      <c r="L232" s="152"/>
    </row>
    <row r="233" spans="1:12" s="124" customFormat="1" ht="16">
      <c r="A233" s="389"/>
      <c r="B233" s="151" t="s">
        <v>2135</v>
      </c>
      <c r="C233" s="152">
        <v>2</v>
      </c>
      <c r="D233" s="152" t="s">
        <v>2136</v>
      </c>
      <c r="E233" s="152">
        <v>2</v>
      </c>
      <c r="F233" s="152" t="s">
        <v>2136</v>
      </c>
      <c r="G233" s="152">
        <v>2</v>
      </c>
      <c r="H233" s="152"/>
      <c r="I233" s="152" t="s">
        <v>2136</v>
      </c>
      <c r="J233" s="152" t="s">
        <v>2136</v>
      </c>
      <c r="K233" s="152"/>
      <c r="L233" s="152"/>
    </row>
    <row r="234" spans="1:12" s="124" customFormat="1" ht="16">
      <c r="A234" s="389"/>
      <c r="B234" s="151" t="s">
        <v>2138</v>
      </c>
      <c r="C234" s="152"/>
      <c r="D234" s="152"/>
      <c r="E234" s="152"/>
      <c r="F234" s="152"/>
      <c r="G234" s="152"/>
      <c r="H234" s="152"/>
      <c r="I234" s="152"/>
      <c r="J234" s="152"/>
      <c r="K234" s="152"/>
      <c r="L234" s="152"/>
    </row>
    <row r="235" spans="1:12" s="124" customFormat="1" ht="16">
      <c r="A235" s="389"/>
      <c r="B235" s="151" t="s">
        <v>2141</v>
      </c>
      <c r="C235" s="152"/>
      <c r="D235" s="152"/>
      <c r="E235" s="152"/>
      <c r="F235" s="152"/>
      <c r="G235" s="152"/>
      <c r="H235" s="152"/>
      <c r="I235" s="152"/>
      <c r="J235" s="152"/>
      <c r="K235" s="152"/>
      <c r="L235" s="152"/>
    </row>
    <row r="236" spans="1:12" s="124" customFormat="1" ht="16">
      <c r="A236" s="389"/>
      <c r="B236" s="151" t="s">
        <v>2143</v>
      </c>
      <c r="C236" s="152"/>
      <c r="D236" s="152"/>
      <c r="E236" s="152"/>
      <c r="F236" s="152"/>
      <c r="G236" s="152"/>
      <c r="H236" s="152"/>
      <c r="I236" s="152"/>
      <c r="J236" s="152"/>
      <c r="K236" s="152"/>
      <c r="L236" s="152"/>
    </row>
    <row r="237" spans="1:12" s="124" customFormat="1" ht="16">
      <c r="A237" s="390"/>
      <c r="B237" s="134" t="s">
        <v>2096</v>
      </c>
      <c r="C237" s="136"/>
      <c r="D237" s="136"/>
      <c r="E237" s="136"/>
      <c r="F237" s="136"/>
      <c r="G237" s="136"/>
      <c r="H237" s="136"/>
      <c r="I237" s="136"/>
      <c r="J237" s="136"/>
      <c r="K237" s="136"/>
      <c r="L237" s="136"/>
    </row>
    <row r="238" spans="1:12" s="124" customFormat="1" ht="16">
      <c r="L238" s="123"/>
    </row>
    <row r="239" spans="1:12" s="124" customFormat="1" ht="55">
      <c r="A239" s="388" t="s">
        <v>2182</v>
      </c>
      <c r="B239" s="195" t="s">
        <v>2183</v>
      </c>
      <c r="C239" s="184">
        <v>2</v>
      </c>
      <c r="D239" s="184">
        <v>3</v>
      </c>
      <c r="E239" s="184">
        <v>4</v>
      </c>
      <c r="F239" s="184">
        <v>5</v>
      </c>
      <c r="G239" s="184">
        <v>6</v>
      </c>
      <c r="H239" s="184"/>
      <c r="I239" s="184">
        <v>7</v>
      </c>
      <c r="J239" s="184">
        <v>9</v>
      </c>
      <c r="K239" s="184"/>
      <c r="L239" s="184">
        <v>12</v>
      </c>
    </row>
    <row r="240" spans="1:12" s="124" customFormat="1" ht="16">
      <c r="A240" s="389"/>
      <c r="B240" s="151" t="s">
        <v>2133</v>
      </c>
      <c r="C240" s="152" t="s">
        <v>2083</v>
      </c>
      <c r="D240" s="152" t="s">
        <v>2083</v>
      </c>
      <c r="E240" s="152" t="s">
        <v>2131</v>
      </c>
      <c r="F240" s="152" t="s">
        <v>2131</v>
      </c>
      <c r="G240" s="152" t="s">
        <v>2131</v>
      </c>
      <c r="H240" s="152"/>
      <c r="I240" s="152" t="s">
        <v>2131</v>
      </c>
      <c r="J240" s="152" t="s">
        <v>2131</v>
      </c>
      <c r="K240" s="152"/>
      <c r="L240" s="152" t="s">
        <v>2131</v>
      </c>
    </row>
    <row r="241" spans="1:15" s="124" customFormat="1" ht="16">
      <c r="A241" s="389"/>
      <c r="B241" s="151" t="s">
        <v>2135</v>
      </c>
      <c r="C241" s="152">
        <v>2</v>
      </c>
      <c r="D241" s="152" t="s">
        <v>2136</v>
      </c>
      <c r="E241" s="152">
        <v>2</v>
      </c>
      <c r="F241" s="152" t="s">
        <v>2136</v>
      </c>
      <c r="G241" s="152" t="s">
        <v>2136</v>
      </c>
      <c r="H241" s="152"/>
      <c r="I241" s="152">
        <v>2</v>
      </c>
      <c r="J241" s="152">
        <v>2</v>
      </c>
      <c r="K241" s="152"/>
      <c r="L241" s="152" t="s">
        <v>2136</v>
      </c>
    </row>
    <row r="242" spans="1:15" s="124" customFormat="1" ht="16">
      <c r="A242" s="389"/>
      <c r="B242" s="151" t="s">
        <v>2138</v>
      </c>
      <c r="C242" s="152" t="s">
        <v>2139</v>
      </c>
      <c r="D242" s="152" t="s">
        <v>2139</v>
      </c>
      <c r="E242" s="152" t="s">
        <v>2139</v>
      </c>
      <c r="F242" s="152" t="s">
        <v>2139</v>
      </c>
      <c r="G242" s="152" t="s">
        <v>2139</v>
      </c>
      <c r="H242" s="152"/>
      <c r="I242" s="152" t="s">
        <v>2140</v>
      </c>
      <c r="J242" s="152" t="s">
        <v>2140</v>
      </c>
      <c r="K242" s="152"/>
      <c r="L242" s="152" t="s">
        <v>2140</v>
      </c>
    </row>
    <row r="243" spans="1:15" s="124" customFormat="1" ht="16">
      <c r="A243" s="389"/>
      <c r="B243" s="151" t="s">
        <v>2141</v>
      </c>
      <c r="C243" s="152" t="s">
        <v>2142</v>
      </c>
      <c r="D243" s="152" t="s">
        <v>2142</v>
      </c>
      <c r="E243" s="152" t="s">
        <v>2142</v>
      </c>
      <c r="F243" s="152" t="s">
        <v>2142</v>
      </c>
      <c r="G243" s="152" t="s">
        <v>2148</v>
      </c>
      <c r="H243" s="152"/>
      <c r="I243" s="152"/>
      <c r="J243" s="152"/>
      <c r="K243" s="152"/>
      <c r="L243" s="152"/>
    </row>
    <row r="244" spans="1:15" s="124" customFormat="1" ht="16">
      <c r="A244" s="389"/>
      <c r="B244" s="151" t="s">
        <v>2143</v>
      </c>
      <c r="C244" s="152"/>
      <c r="D244" s="152"/>
      <c r="E244" s="152"/>
      <c r="F244" s="152"/>
      <c r="G244" s="152"/>
      <c r="H244" s="152"/>
      <c r="I244" s="152" t="s">
        <v>2149</v>
      </c>
      <c r="J244" s="152" t="s">
        <v>2149</v>
      </c>
      <c r="K244" s="152"/>
      <c r="L244" s="152" t="s">
        <v>2144</v>
      </c>
    </row>
    <row r="245" spans="1:15" s="124" customFormat="1" ht="16">
      <c r="A245" s="390"/>
      <c r="B245" s="134" t="s">
        <v>2096</v>
      </c>
      <c r="C245" s="136"/>
      <c r="D245" s="136"/>
      <c r="E245" s="136"/>
      <c r="F245" s="136"/>
      <c r="G245" s="136"/>
      <c r="H245" s="136"/>
      <c r="I245" s="136" t="s">
        <v>2150</v>
      </c>
      <c r="J245" s="136" t="s">
        <v>2097</v>
      </c>
      <c r="K245" s="136"/>
      <c r="L245" s="136"/>
    </row>
    <row r="246" spans="1:15" s="124" customFormat="1" ht="16">
      <c r="C246" s="123"/>
      <c r="D246" s="123"/>
      <c r="E246" s="123"/>
      <c r="F246" s="123"/>
      <c r="G246" s="123"/>
      <c r="H246" s="123"/>
      <c r="I246" s="123"/>
      <c r="J246" s="123"/>
      <c r="K246" s="123"/>
      <c r="L246" s="123"/>
    </row>
    <row r="247" spans="1:15" s="124" customFormat="1" ht="74">
      <c r="A247" s="388" t="s">
        <v>2184</v>
      </c>
      <c r="B247" s="195" t="s">
        <v>2152</v>
      </c>
      <c r="C247" s="184">
        <v>2</v>
      </c>
      <c r="D247" s="184">
        <v>3</v>
      </c>
      <c r="E247" s="184">
        <v>4</v>
      </c>
      <c r="F247" s="184">
        <v>5</v>
      </c>
      <c r="G247" s="184">
        <v>6</v>
      </c>
      <c r="H247" s="184"/>
      <c r="I247" s="184">
        <v>7</v>
      </c>
      <c r="J247" s="184"/>
      <c r="K247" s="184"/>
      <c r="L247" s="184"/>
    </row>
    <row r="248" spans="1:15" s="124" customFormat="1" ht="16">
      <c r="A248" s="389"/>
      <c r="B248" s="151" t="s">
        <v>2133</v>
      </c>
      <c r="C248" s="152" t="s">
        <v>2083</v>
      </c>
      <c r="D248" s="152" t="s">
        <v>2083</v>
      </c>
      <c r="E248" s="152" t="s">
        <v>2130</v>
      </c>
      <c r="F248" s="152" t="s">
        <v>2130</v>
      </c>
      <c r="G248" s="152" t="s">
        <v>2129</v>
      </c>
      <c r="H248" s="152"/>
      <c r="I248" s="152" t="s">
        <v>2129</v>
      </c>
      <c r="J248" s="152"/>
      <c r="K248" s="152"/>
      <c r="L248" s="152"/>
    </row>
    <row r="249" spans="1:15" s="124" customFormat="1" ht="16">
      <c r="A249" s="389"/>
      <c r="B249" s="151" t="s">
        <v>2135</v>
      </c>
      <c r="C249" s="152">
        <v>2</v>
      </c>
      <c r="D249" s="152" t="s">
        <v>2136</v>
      </c>
      <c r="E249" s="152">
        <v>2</v>
      </c>
      <c r="F249" s="152" t="s">
        <v>2136</v>
      </c>
      <c r="G249" s="152">
        <v>2</v>
      </c>
      <c r="H249" s="152"/>
      <c r="I249" s="152" t="s">
        <v>2136</v>
      </c>
      <c r="J249" s="152"/>
      <c r="K249" s="152"/>
      <c r="L249" s="152"/>
    </row>
    <row r="250" spans="1:15" s="124" customFormat="1" ht="16">
      <c r="A250" s="389"/>
      <c r="B250" s="151" t="s">
        <v>2138</v>
      </c>
      <c r="C250" s="152"/>
      <c r="D250" s="152"/>
      <c r="E250" s="152"/>
      <c r="F250" s="152"/>
      <c r="G250" s="152"/>
      <c r="H250" s="152"/>
      <c r="I250" s="152"/>
      <c r="J250" s="152"/>
      <c r="K250" s="152"/>
      <c r="L250" s="152"/>
    </row>
    <row r="251" spans="1:15" s="124" customFormat="1" ht="16">
      <c r="A251" s="389"/>
      <c r="B251" s="151" t="s">
        <v>2141</v>
      </c>
      <c r="C251" s="152"/>
      <c r="D251" s="152"/>
      <c r="E251" s="152"/>
      <c r="F251" s="152"/>
      <c r="G251" s="152"/>
      <c r="H251" s="152"/>
      <c r="I251" s="152"/>
      <c r="J251" s="152"/>
      <c r="K251" s="152"/>
      <c r="L251" s="152"/>
    </row>
    <row r="252" spans="1:15" s="124" customFormat="1" ht="16">
      <c r="A252" s="389"/>
      <c r="B252" s="151" t="s">
        <v>2143</v>
      </c>
      <c r="C252" s="152"/>
      <c r="D252" s="152"/>
      <c r="E252" s="152"/>
      <c r="F252" s="152"/>
      <c r="G252" s="152"/>
      <c r="H252" s="152"/>
      <c r="I252" s="152"/>
      <c r="J252" s="152"/>
      <c r="K252" s="152"/>
      <c r="L252" s="152"/>
    </row>
    <row r="253" spans="1:15" s="124" customFormat="1" ht="16">
      <c r="A253" s="390"/>
      <c r="B253" s="134" t="s">
        <v>2096</v>
      </c>
      <c r="C253" s="136"/>
      <c r="D253" s="136"/>
      <c r="E253" s="136"/>
      <c r="F253" s="136"/>
      <c r="G253" s="136"/>
      <c r="H253" s="136"/>
      <c r="I253" s="136"/>
      <c r="J253" s="136"/>
      <c r="K253" s="136"/>
      <c r="L253" s="136"/>
    </row>
    <row r="254" spans="1:15" s="124" customFormat="1" ht="16">
      <c r="O254" s="125"/>
    </row>
    <row r="255" spans="1:15" s="124" customFormat="1" ht="55">
      <c r="A255" s="385" t="s">
        <v>2185</v>
      </c>
      <c r="B255" s="195" t="s">
        <v>2156</v>
      </c>
      <c r="C255" s="184">
        <v>2</v>
      </c>
      <c r="D255" s="184">
        <v>3</v>
      </c>
      <c r="E255" s="184">
        <v>4</v>
      </c>
      <c r="F255" s="184">
        <v>5</v>
      </c>
      <c r="G255" s="184">
        <v>6</v>
      </c>
      <c r="H255" s="184"/>
      <c r="I255" s="184">
        <v>7</v>
      </c>
      <c r="J255" s="184">
        <v>9</v>
      </c>
      <c r="K255" s="184"/>
      <c r="L255" s="184">
        <v>12</v>
      </c>
    </row>
    <row r="256" spans="1:15" s="124" customFormat="1" ht="16">
      <c r="A256" s="386"/>
      <c r="B256" s="151" t="s">
        <v>2133</v>
      </c>
      <c r="C256" s="152" t="s">
        <v>2127</v>
      </c>
      <c r="D256" s="152" t="s">
        <v>2127</v>
      </c>
      <c r="E256" s="152" t="s">
        <v>2128</v>
      </c>
      <c r="F256" s="152" t="s">
        <v>2128</v>
      </c>
      <c r="G256" s="152" t="s">
        <v>2083</v>
      </c>
      <c r="H256" s="152"/>
      <c r="I256" s="152" t="s">
        <v>2083</v>
      </c>
      <c r="J256" s="152" t="s">
        <v>2131</v>
      </c>
      <c r="K256" s="152"/>
      <c r="L256" s="152" t="s">
        <v>2131</v>
      </c>
    </row>
    <row r="257" spans="1:12" s="124" customFormat="1" ht="16">
      <c r="A257" s="386"/>
      <c r="B257" s="151" t="s">
        <v>2135</v>
      </c>
      <c r="C257" s="152">
        <v>2</v>
      </c>
      <c r="D257" s="152" t="s">
        <v>2136</v>
      </c>
      <c r="E257" s="152">
        <v>2</v>
      </c>
      <c r="F257" s="152" t="s">
        <v>2136</v>
      </c>
      <c r="G257" s="152">
        <v>2</v>
      </c>
      <c r="H257" s="152"/>
      <c r="I257" s="152" t="s">
        <v>2136</v>
      </c>
      <c r="J257" s="152">
        <v>3</v>
      </c>
      <c r="K257" s="152"/>
      <c r="L257" s="152" t="s">
        <v>2137</v>
      </c>
    </row>
    <row r="258" spans="1:12" s="124" customFormat="1" ht="16">
      <c r="A258" s="386"/>
      <c r="B258" s="151" t="s">
        <v>2138</v>
      </c>
      <c r="C258" s="152"/>
      <c r="D258" s="152"/>
      <c r="E258" s="152"/>
      <c r="F258" s="152"/>
      <c r="G258" s="152" t="s">
        <v>2139</v>
      </c>
      <c r="H258" s="152"/>
      <c r="I258" s="152" t="s">
        <v>2139</v>
      </c>
      <c r="J258" s="152" t="s">
        <v>2139</v>
      </c>
      <c r="K258" s="152"/>
      <c r="L258" s="152" t="s">
        <v>2140</v>
      </c>
    </row>
    <row r="259" spans="1:12" s="124" customFormat="1" ht="16">
      <c r="A259" s="386"/>
      <c r="B259" s="151" t="s">
        <v>2141</v>
      </c>
      <c r="C259" s="152"/>
      <c r="D259" s="152"/>
      <c r="E259" s="152"/>
      <c r="F259" s="152"/>
      <c r="G259" s="152" t="s">
        <v>2142</v>
      </c>
      <c r="H259" s="152"/>
      <c r="I259" s="152"/>
      <c r="J259" s="152" t="s">
        <v>2142</v>
      </c>
      <c r="K259" s="152"/>
      <c r="L259" s="152" t="s">
        <v>2142</v>
      </c>
    </row>
    <row r="260" spans="1:12" s="124" customFormat="1" ht="16">
      <c r="A260" s="386"/>
      <c r="B260" s="151" t="s">
        <v>2143</v>
      </c>
      <c r="C260" s="152"/>
      <c r="D260" s="152"/>
      <c r="E260" s="152"/>
      <c r="F260" s="152"/>
      <c r="G260" s="152"/>
      <c r="H260" s="152"/>
      <c r="I260" s="152"/>
      <c r="J260" s="152"/>
      <c r="K260" s="152"/>
      <c r="L260" s="152" t="s">
        <v>2144</v>
      </c>
    </row>
    <row r="261" spans="1:12" s="124" customFormat="1" ht="16">
      <c r="A261" s="387"/>
      <c r="B261" s="134" t="s">
        <v>2096</v>
      </c>
      <c r="C261" s="136"/>
      <c r="D261" s="136"/>
      <c r="E261" s="136"/>
      <c r="F261" s="136"/>
      <c r="G261" s="136"/>
      <c r="H261" s="136"/>
      <c r="I261" s="136"/>
      <c r="J261" s="136"/>
      <c r="K261" s="136"/>
      <c r="L261" s="136"/>
    </row>
    <row r="262" spans="1:12" s="124" customFormat="1" ht="16">
      <c r="A262" s="202"/>
      <c r="D262" s="123"/>
      <c r="E262" s="123"/>
      <c r="F262" s="123"/>
      <c r="G262" s="123"/>
      <c r="H262" s="123"/>
      <c r="I262" s="123"/>
      <c r="J262" s="123"/>
      <c r="K262" s="123"/>
      <c r="L262" s="123"/>
    </row>
    <row r="263" spans="1:12" s="124" customFormat="1" ht="55">
      <c r="A263" s="385" t="s">
        <v>2186</v>
      </c>
      <c r="B263" s="195" t="s">
        <v>2158</v>
      </c>
      <c r="C263" s="184">
        <v>2</v>
      </c>
      <c r="D263" s="184">
        <v>3</v>
      </c>
      <c r="E263" s="184">
        <v>4</v>
      </c>
      <c r="F263" s="184">
        <v>5</v>
      </c>
      <c r="G263" s="184">
        <v>6</v>
      </c>
      <c r="H263" s="184"/>
      <c r="I263" s="184">
        <v>7</v>
      </c>
      <c r="J263" s="184">
        <v>9</v>
      </c>
      <c r="K263" s="184"/>
      <c r="L263" s="184"/>
    </row>
    <row r="264" spans="1:12" s="124" customFormat="1" ht="16">
      <c r="A264" s="386"/>
      <c r="B264" s="151" t="s">
        <v>2133</v>
      </c>
      <c r="C264" s="152" t="s">
        <v>2127</v>
      </c>
      <c r="D264" s="152" t="s">
        <v>2127</v>
      </c>
      <c r="E264" s="152" t="s">
        <v>2128</v>
      </c>
      <c r="F264" s="152" t="s">
        <v>2128</v>
      </c>
      <c r="G264" s="152" t="s">
        <v>2083</v>
      </c>
      <c r="H264" s="152"/>
      <c r="I264" s="152" t="s">
        <v>2083</v>
      </c>
      <c r="J264" s="152" t="s">
        <v>2130</v>
      </c>
      <c r="K264" s="152"/>
      <c r="L264" s="152"/>
    </row>
    <row r="265" spans="1:12" s="124" customFormat="1" ht="16">
      <c r="A265" s="386"/>
      <c r="B265" s="151" t="s">
        <v>2135</v>
      </c>
      <c r="C265" s="152">
        <v>2</v>
      </c>
      <c r="D265" s="152" t="s">
        <v>2136</v>
      </c>
      <c r="E265" s="152">
        <v>2</v>
      </c>
      <c r="F265" s="152" t="s">
        <v>2136</v>
      </c>
      <c r="G265" s="152">
        <v>2</v>
      </c>
      <c r="H265" s="152"/>
      <c r="I265" s="152" t="s">
        <v>2136</v>
      </c>
      <c r="J265" s="152" t="s">
        <v>2136</v>
      </c>
      <c r="K265" s="152"/>
      <c r="L265" s="152"/>
    </row>
    <row r="266" spans="1:12" s="124" customFormat="1" ht="16">
      <c r="A266" s="386"/>
      <c r="B266" s="151" t="s">
        <v>2138</v>
      </c>
      <c r="C266" s="152"/>
      <c r="D266" s="152"/>
      <c r="E266" s="152"/>
      <c r="F266" s="152"/>
      <c r="G266" s="152"/>
      <c r="H266" s="152"/>
      <c r="I266" s="152"/>
      <c r="J266" s="152"/>
      <c r="K266" s="152"/>
      <c r="L266" s="152"/>
    </row>
    <row r="267" spans="1:12" s="124" customFormat="1" ht="16">
      <c r="A267" s="386"/>
      <c r="B267" s="151" t="s">
        <v>2141</v>
      </c>
      <c r="C267" s="152"/>
      <c r="D267" s="152"/>
      <c r="E267" s="152"/>
      <c r="F267" s="152"/>
      <c r="G267" s="152"/>
      <c r="H267" s="152"/>
      <c r="I267" s="152"/>
      <c r="J267" s="152"/>
      <c r="K267" s="152"/>
      <c r="L267" s="152"/>
    </row>
    <row r="268" spans="1:12" s="124" customFormat="1" ht="16">
      <c r="A268" s="386"/>
      <c r="B268" s="151" t="s">
        <v>2143</v>
      </c>
      <c r="C268" s="152"/>
      <c r="D268" s="152"/>
      <c r="E268" s="152"/>
      <c r="F268" s="152"/>
      <c r="G268" s="152"/>
      <c r="H268" s="152"/>
      <c r="I268" s="152"/>
      <c r="J268" s="152"/>
      <c r="K268" s="152"/>
      <c r="L268" s="152"/>
    </row>
    <row r="269" spans="1:12" s="124" customFormat="1" ht="16">
      <c r="A269" s="387"/>
      <c r="B269" s="134" t="s">
        <v>2096</v>
      </c>
      <c r="C269" s="136"/>
      <c r="D269" s="136"/>
      <c r="E269" s="136"/>
      <c r="F269" s="136"/>
      <c r="G269" s="136"/>
      <c r="H269" s="136"/>
      <c r="I269" s="136"/>
      <c r="J269" s="136"/>
      <c r="K269" s="136"/>
      <c r="L269" s="136"/>
    </row>
    <row r="270" spans="1:12" s="124" customFormat="1" ht="16">
      <c r="A270" s="203"/>
      <c r="L270" s="123"/>
    </row>
    <row r="271" spans="1:12" s="124" customFormat="1" ht="55">
      <c r="A271" s="385" t="s">
        <v>2187</v>
      </c>
      <c r="B271" s="195" t="s">
        <v>2160</v>
      </c>
      <c r="C271" s="184">
        <v>2</v>
      </c>
      <c r="D271" s="184">
        <v>3</v>
      </c>
      <c r="E271" s="184">
        <v>4</v>
      </c>
      <c r="F271" s="184">
        <v>5</v>
      </c>
      <c r="G271" s="184">
        <v>6</v>
      </c>
      <c r="H271" s="184"/>
      <c r="I271" s="184">
        <v>7</v>
      </c>
      <c r="J271" s="184">
        <v>9</v>
      </c>
      <c r="K271" s="184"/>
      <c r="L271" s="184">
        <v>12</v>
      </c>
    </row>
    <row r="272" spans="1:12" s="124" customFormat="1" ht="16">
      <c r="A272" s="386"/>
      <c r="B272" s="151" t="s">
        <v>2133</v>
      </c>
      <c r="C272" s="152" t="s">
        <v>2083</v>
      </c>
      <c r="D272" s="152" t="s">
        <v>2083</v>
      </c>
      <c r="E272" s="152" t="s">
        <v>2131</v>
      </c>
      <c r="F272" s="152" t="s">
        <v>2131</v>
      </c>
      <c r="G272" s="152" t="s">
        <v>2131</v>
      </c>
      <c r="H272" s="152"/>
      <c r="I272" s="152" t="s">
        <v>2131</v>
      </c>
      <c r="J272" s="152" t="s">
        <v>2131</v>
      </c>
      <c r="K272" s="152"/>
      <c r="L272" s="152" t="s">
        <v>2131</v>
      </c>
    </row>
    <row r="273" spans="1:15" s="124" customFormat="1" ht="16">
      <c r="A273" s="386"/>
      <c r="B273" s="151" t="s">
        <v>2135</v>
      </c>
      <c r="C273" s="152">
        <v>2</v>
      </c>
      <c r="D273" s="152" t="s">
        <v>2136</v>
      </c>
      <c r="E273" s="152">
        <v>2</v>
      </c>
      <c r="F273" s="152" t="s">
        <v>2136</v>
      </c>
      <c r="G273" s="152" t="s">
        <v>2136</v>
      </c>
      <c r="H273" s="152"/>
      <c r="I273" s="152">
        <v>2</v>
      </c>
      <c r="J273" s="152">
        <v>2</v>
      </c>
      <c r="K273" s="152"/>
      <c r="L273" s="152" t="s">
        <v>2136</v>
      </c>
    </row>
    <row r="274" spans="1:15" s="124" customFormat="1" ht="16">
      <c r="A274" s="386"/>
      <c r="B274" s="151" t="s">
        <v>2138</v>
      </c>
      <c r="C274" s="152" t="s">
        <v>2139</v>
      </c>
      <c r="D274" s="152" t="s">
        <v>2139</v>
      </c>
      <c r="E274" s="152" t="s">
        <v>2139</v>
      </c>
      <c r="F274" s="152" t="s">
        <v>2139</v>
      </c>
      <c r="G274" s="152" t="s">
        <v>2139</v>
      </c>
      <c r="H274" s="152"/>
      <c r="I274" s="152" t="s">
        <v>2140</v>
      </c>
      <c r="J274" s="152" t="s">
        <v>2140</v>
      </c>
      <c r="K274" s="152"/>
      <c r="L274" s="152" t="s">
        <v>2140</v>
      </c>
    </row>
    <row r="275" spans="1:15" s="124" customFormat="1" ht="16">
      <c r="A275" s="386"/>
      <c r="B275" s="151" t="s">
        <v>2141</v>
      </c>
      <c r="C275" s="152" t="s">
        <v>2142</v>
      </c>
      <c r="D275" s="152" t="s">
        <v>2142</v>
      </c>
      <c r="E275" s="152" t="s">
        <v>2142</v>
      </c>
      <c r="F275" s="152" t="s">
        <v>2142</v>
      </c>
      <c r="G275" s="152" t="s">
        <v>2148</v>
      </c>
      <c r="H275" s="152"/>
      <c r="I275" s="152"/>
      <c r="J275" s="152"/>
      <c r="K275" s="152"/>
      <c r="L275" s="152"/>
    </row>
    <row r="276" spans="1:15" s="124" customFormat="1" ht="16">
      <c r="A276" s="386"/>
      <c r="B276" s="151" t="s">
        <v>2143</v>
      </c>
      <c r="C276" s="152"/>
      <c r="D276" s="152"/>
      <c r="E276" s="152"/>
      <c r="F276" s="152"/>
      <c r="G276" s="152"/>
      <c r="H276" s="152"/>
      <c r="I276" s="152" t="s">
        <v>2149</v>
      </c>
      <c r="J276" s="152" t="s">
        <v>2149</v>
      </c>
      <c r="K276" s="152"/>
      <c r="L276" s="152" t="s">
        <v>2144</v>
      </c>
    </row>
    <row r="277" spans="1:15" s="124" customFormat="1" ht="16">
      <c r="A277" s="387"/>
      <c r="B277" s="134" t="s">
        <v>2096</v>
      </c>
      <c r="C277" s="136"/>
      <c r="D277" s="136"/>
      <c r="E277" s="136"/>
      <c r="F277" s="136"/>
      <c r="G277" s="136"/>
      <c r="H277" s="136"/>
      <c r="I277" s="136" t="s">
        <v>2150</v>
      </c>
      <c r="J277" s="136" t="s">
        <v>2097</v>
      </c>
      <c r="K277" s="136"/>
      <c r="L277" s="136"/>
    </row>
    <row r="278" spans="1:15" s="124" customFormat="1" ht="16">
      <c r="C278" s="123"/>
      <c r="D278" s="123"/>
      <c r="E278" s="123"/>
      <c r="F278" s="123"/>
      <c r="G278" s="123"/>
      <c r="H278" s="123"/>
      <c r="I278" s="123"/>
      <c r="J278" s="123"/>
      <c r="K278" s="123"/>
      <c r="L278" s="123"/>
    </row>
    <row r="279" spans="1:15" s="124" customFormat="1" ht="74">
      <c r="A279" s="385" t="s">
        <v>2188</v>
      </c>
      <c r="B279" s="195" t="s">
        <v>2162</v>
      </c>
      <c r="C279" s="184">
        <v>2</v>
      </c>
      <c r="D279" s="184">
        <v>3</v>
      </c>
      <c r="E279" s="184">
        <v>4</v>
      </c>
      <c r="F279" s="184">
        <v>5</v>
      </c>
      <c r="G279" s="184">
        <v>6</v>
      </c>
      <c r="H279" s="184"/>
      <c r="I279" s="184">
        <v>7</v>
      </c>
      <c r="J279" s="184"/>
      <c r="K279" s="184"/>
      <c r="L279" s="184"/>
    </row>
    <row r="280" spans="1:15" s="124" customFormat="1" ht="16">
      <c r="A280" s="386"/>
      <c r="B280" s="151" t="s">
        <v>2133</v>
      </c>
      <c r="C280" s="152" t="s">
        <v>2083</v>
      </c>
      <c r="D280" s="152" t="s">
        <v>2083</v>
      </c>
      <c r="E280" s="152" t="s">
        <v>2130</v>
      </c>
      <c r="F280" s="152" t="s">
        <v>2130</v>
      </c>
      <c r="G280" s="152" t="s">
        <v>2129</v>
      </c>
      <c r="H280" s="152"/>
      <c r="I280" s="152" t="s">
        <v>2129</v>
      </c>
      <c r="J280" s="152"/>
      <c r="K280" s="152"/>
      <c r="L280" s="152"/>
    </row>
    <row r="281" spans="1:15" s="124" customFormat="1" ht="16">
      <c r="A281" s="386"/>
      <c r="B281" s="151" t="s">
        <v>2135</v>
      </c>
      <c r="C281" s="152">
        <v>2</v>
      </c>
      <c r="D281" s="152" t="s">
        <v>2136</v>
      </c>
      <c r="E281" s="152">
        <v>2</v>
      </c>
      <c r="F281" s="152" t="s">
        <v>2136</v>
      </c>
      <c r="G281" s="152">
        <v>2</v>
      </c>
      <c r="H281" s="152"/>
      <c r="I281" s="152" t="s">
        <v>2136</v>
      </c>
      <c r="J281" s="152"/>
      <c r="K281" s="152"/>
      <c r="L281" s="152"/>
    </row>
    <row r="282" spans="1:15" s="124" customFormat="1" ht="16">
      <c r="A282" s="386"/>
      <c r="B282" s="151" t="s">
        <v>2138</v>
      </c>
      <c r="C282" s="152"/>
      <c r="D282" s="152"/>
      <c r="E282" s="152"/>
      <c r="F282" s="152"/>
      <c r="G282" s="152"/>
      <c r="H282" s="152"/>
      <c r="I282" s="152"/>
      <c r="J282" s="152"/>
      <c r="K282" s="152"/>
      <c r="L282" s="152"/>
    </row>
    <row r="283" spans="1:15" s="124" customFormat="1" ht="16">
      <c r="A283" s="386"/>
      <c r="B283" s="151" t="s">
        <v>2141</v>
      </c>
      <c r="C283" s="152"/>
      <c r="D283" s="152"/>
      <c r="E283" s="152"/>
      <c r="F283" s="152"/>
      <c r="G283" s="152"/>
      <c r="H283" s="152"/>
      <c r="I283" s="152"/>
      <c r="J283" s="152"/>
      <c r="K283" s="152"/>
      <c r="L283" s="152"/>
    </row>
    <row r="284" spans="1:15" s="124" customFormat="1" ht="16">
      <c r="A284" s="386"/>
      <c r="B284" s="151" t="s">
        <v>2143</v>
      </c>
      <c r="C284" s="152"/>
      <c r="D284" s="152"/>
      <c r="E284" s="152"/>
      <c r="F284" s="152"/>
      <c r="G284" s="152"/>
      <c r="H284" s="152"/>
      <c r="I284" s="152"/>
      <c r="J284" s="152"/>
      <c r="K284" s="152"/>
      <c r="L284" s="152"/>
    </row>
    <row r="285" spans="1:15" s="124" customFormat="1" ht="16">
      <c r="A285" s="387"/>
      <c r="B285" s="134" t="s">
        <v>2096</v>
      </c>
      <c r="C285" s="136"/>
      <c r="D285" s="136"/>
      <c r="E285" s="136"/>
      <c r="F285" s="136"/>
      <c r="G285" s="136"/>
      <c r="H285" s="136"/>
      <c r="I285" s="136"/>
      <c r="J285" s="136"/>
      <c r="K285" s="136"/>
      <c r="L285" s="136"/>
    </row>
    <row r="286" spans="1:15" s="124" customFormat="1" ht="16">
      <c r="O286" s="125"/>
    </row>
  </sheetData>
  <mergeCells count="30">
    <mergeCell ref="A19:A21"/>
    <mergeCell ref="A51:A60"/>
    <mergeCell ref="A61:A68"/>
    <mergeCell ref="A75:A77"/>
    <mergeCell ref="B75:B77"/>
    <mergeCell ref="A178:A185"/>
    <mergeCell ref="C94:C101"/>
    <mergeCell ref="C102:C103"/>
    <mergeCell ref="A106:A112"/>
    <mergeCell ref="A114:A120"/>
    <mergeCell ref="A122:A128"/>
    <mergeCell ref="A130:A136"/>
    <mergeCell ref="B94:B103"/>
    <mergeCell ref="A138:A144"/>
    <mergeCell ref="A146:A152"/>
    <mergeCell ref="A154:A160"/>
    <mergeCell ref="A162:A168"/>
    <mergeCell ref="A170:A176"/>
    <mergeCell ref="A279:A285"/>
    <mergeCell ref="A187:A194"/>
    <mergeCell ref="A196:A203"/>
    <mergeCell ref="A205:A212"/>
    <mergeCell ref="A214:A221"/>
    <mergeCell ref="A223:A229"/>
    <mergeCell ref="A231:A237"/>
    <mergeCell ref="A239:A245"/>
    <mergeCell ref="A247:A253"/>
    <mergeCell ref="A255:A261"/>
    <mergeCell ref="A263:A269"/>
    <mergeCell ref="A271:A277"/>
  </mergeCells>
  <phoneticPr fontId="24" type="noConversion"/>
  <conditionalFormatting sqref="A25:N29">
    <cfRule type="cellIs" dxfId="9" priority="1" stopIfTrue="1" operator="equal">
      <formula>0</formula>
    </cfRule>
  </conditionalFormatting>
  <conditionalFormatting sqref="C4:C8 A4:A19 K7:L12 D9:G10 B9:C23 M9:N23 A30:G35">
    <cfRule type="cellIs" dxfId="8" priority="8" stopIfTrue="1" operator="equal">
      <formula>0</formula>
    </cfRule>
  </conditionalFormatting>
  <conditionalFormatting sqref="D36:G42 A36:A45 B36:C74 A47 P48:AD50">
    <cfRule type="cellIs" dxfId="7" priority="10" stopIfTrue="1" operator="equal">
      <formula>0</formula>
    </cfRule>
  </conditionalFormatting>
  <conditionalFormatting sqref="D44:J61">
    <cfRule type="cellIs" dxfId="6" priority="7" stopIfTrue="1" operator="equal">
      <formula>0</formula>
    </cfRule>
  </conditionalFormatting>
  <conditionalFormatting sqref="D59:O59">
    <cfRule type="expression" dxfId="5" priority="3">
      <formula>OR(D51="4G1",D51="4G2")</formula>
    </cfRule>
  </conditionalFormatting>
  <conditionalFormatting sqref="H44:H48">
    <cfRule type="cellIs" dxfId="4" priority="6" stopIfTrue="1" operator="equal">
      <formula>0</formula>
    </cfRule>
  </conditionalFormatting>
  <conditionalFormatting sqref="H7:J10 D11:J12">
    <cfRule type="cellIs" dxfId="3" priority="5" stopIfTrue="1" operator="equal">
      <formula>0</formula>
    </cfRule>
  </conditionalFormatting>
  <conditionalFormatting sqref="K51:L53">
    <cfRule type="cellIs" dxfId="2" priority="2" stopIfTrue="1" operator="equal">
      <formula>0</formula>
    </cfRule>
  </conditionalFormatting>
  <conditionalFormatting sqref="K54:L61 D13:L23 H30:N42 K44:N50 H63:K80 H84:N103 C102:G102">
    <cfRule type="cellIs" dxfId="1" priority="4" stopIfTrue="1" operator="equal">
      <formula>0</formula>
    </cfRule>
  </conditionalFormatting>
  <conditionalFormatting sqref="M51:AD59 B3 D4:H5 Q4:Q5 Z4:AA5 B5:B8 L6:T6 D7:G7 O7 E8:G8 A22:A23 A51 M60:N74 P60:AD74 D62:L62 D63:G74 L63:L74 O68 A75:B75 C75:G77 L75:N80 D78:G80 B78:C94 P78:AD103 D81:N83 D84:G101 O94:O103 D103:G103 B104:AA104 AC104:AQ104 S105:S106 N105:O113 A105:M116 P105:R116 T105:BF116 S108:S116 B119 A122 B123 B127 A130:A132 B131 B135 A138:A140 B139 B143 A146 B147 B151 A153:A156 B155 B159 A162 B163 B167 A170:A172 B171 B175 A178:A180 B179 B184 A187:A189 B188 B193 A196:A198 B197 B202 A205:A207 B206 B211 A214:A216 B215 B220 A223 B224 B228 A230:A233 B232 B236 A239 B240 B244 A247:A249 B248 B252 A255 B256 B260 A262:A265 B264 B268 A271 B272 B276 A279:A281 B280">
    <cfRule type="cellIs" dxfId="0" priority="11" stopIfTrue="1" operator="equal">
      <formula>0</formula>
    </cfRule>
  </conditionalFormatting>
  <pageMargins left="0.25" right="0.25" top="0.25" bottom="0.25" header="0" footer="0"/>
  <pageSetup paperSize="154" scale="70" orientation="portrait" horizontalDpi="4294967293" vertic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30</vt:i4>
      </vt:variant>
    </vt:vector>
  </HeadingPairs>
  <TitlesOfParts>
    <vt:vector size="36" baseType="lpstr">
      <vt:lpstr>Items</vt:lpstr>
      <vt:lpstr>Client List</vt:lpstr>
      <vt:lpstr>INVOICE</vt:lpstr>
      <vt:lpstr>Customer Base</vt:lpstr>
      <vt:lpstr>T</vt:lpstr>
      <vt:lpstr>CABLE SIZING TOOL</vt:lpstr>
      <vt:lpstr>BYD_Lithium</vt:lpstr>
      <vt:lpstr>BYD_Solar_Panel</vt:lpstr>
      <vt:lpstr>Deye</vt:lpstr>
      <vt:lpstr>EasySolar</vt:lpstr>
      <vt:lpstr>EasySolar_II</vt:lpstr>
      <vt:lpstr>Eco</vt:lpstr>
      <vt:lpstr>Galvo</vt:lpstr>
      <vt:lpstr>Gen_24_Primo</vt:lpstr>
      <vt:lpstr>Gen_24_Symo</vt:lpstr>
      <vt:lpstr>Hoppecke_Lead_Acid</vt:lpstr>
      <vt:lpstr>Hoppecke_OPzV</vt:lpstr>
      <vt:lpstr>Huawei</vt:lpstr>
      <vt:lpstr>Huawei_Lithium</vt:lpstr>
      <vt:lpstr>Jinko_Lithium</vt:lpstr>
      <vt:lpstr>Jinko_Solar_Panel</vt:lpstr>
      <vt:lpstr>Multiplus</vt:lpstr>
      <vt:lpstr>Multiplus_II</vt:lpstr>
      <vt:lpstr>Multiplus_II_GX</vt:lpstr>
      <vt:lpstr>Phocos_B</vt:lpstr>
      <vt:lpstr>Phocos_H</vt:lpstr>
      <vt:lpstr>Phoenix</vt:lpstr>
      <vt:lpstr>Primo</vt:lpstr>
      <vt:lpstr>INVOICE!Print_Area</vt:lpstr>
      <vt:lpstr>Quattro</vt:lpstr>
      <vt:lpstr>Sharp_Solar_Panel</vt:lpstr>
      <vt:lpstr>Symo</vt:lpstr>
      <vt:lpstr>Tauro</vt:lpstr>
      <vt:lpstr>Victron_AGM</vt:lpstr>
      <vt:lpstr>Victron_Gel</vt:lpstr>
      <vt:lpstr>Victron_Solar_Panel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Microsoft Office User</cp:lastModifiedBy>
  <cp:lastPrinted>2024-11-17T21:29:34Z</cp:lastPrinted>
  <dcterms:created xsi:type="dcterms:W3CDTF">2019-09-10T17:01:16Z</dcterms:created>
  <dcterms:modified xsi:type="dcterms:W3CDTF">2024-11-25T13:19:05Z</dcterms:modified>
</cp:coreProperties>
</file>