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96355864-96A9-8A45-9BA8-299A582E0FF4}"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J11" i="6" l="1"/>
  <c r="U160" i="13"/>
  <c r="U161" i="13"/>
  <c r="U162" i="13"/>
  <c r="U163" i="13"/>
  <c r="U164" i="13"/>
  <c r="U165" i="13"/>
  <c r="U166" i="13"/>
  <c r="U167" i="13"/>
  <c r="U168" i="13"/>
  <c r="U169" i="13"/>
  <c r="U170" i="13"/>
  <c r="U171" i="13"/>
  <c r="U172" i="13"/>
  <c r="U173" i="13"/>
  <c r="U174" i="13"/>
  <c r="U175" i="13"/>
  <c r="U176" i="13"/>
  <c r="U177" i="13"/>
  <c r="U178" i="13"/>
  <c r="U179" i="13"/>
  <c r="U180" i="13"/>
  <c r="U181" i="13"/>
  <c r="U182" i="13"/>
  <c r="U183" i="13"/>
  <c r="U184" i="13"/>
  <c r="U185" i="13"/>
  <c r="U186" i="13"/>
  <c r="U187" i="13"/>
  <c r="U188" i="13"/>
  <c r="U189" i="13"/>
  <c r="U190" i="13"/>
  <c r="U191" i="13"/>
  <c r="U192" i="13"/>
  <c r="U193" i="13"/>
  <c r="U194" i="13"/>
  <c r="U195" i="13"/>
  <c r="U196" i="13"/>
  <c r="U197" i="13"/>
  <c r="U198" i="13"/>
  <c r="U199" i="13"/>
  <c r="U200" i="13"/>
  <c r="U102" i="13"/>
  <c r="U103" i="13"/>
  <c r="U104" i="13"/>
  <c r="U105" i="13"/>
  <c r="U106" i="13"/>
  <c r="U107" i="13"/>
  <c r="U108" i="13"/>
  <c r="U109" i="13"/>
  <c r="U110" i="13"/>
  <c r="U111" i="13"/>
  <c r="U112" i="13"/>
  <c r="U113" i="13"/>
  <c r="U114" i="13"/>
  <c r="U115" i="13"/>
  <c r="U116" i="13"/>
  <c r="U117" i="13"/>
  <c r="U118" i="13"/>
  <c r="U119" i="13"/>
  <c r="U120" i="13"/>
  <c r="U121" i="13"/>
  <c r="U122" i="13"/>
  <c r="U123" i="13"/>
  <c r="U124" i="13"/>
  <c r="U125" i="13"/>
  <c r="U126" i="13"/>
  <c r="U127" i="13"/>
  <c r="U128" i="13"/>
  <c r="U129" i="13"/>
  <c r="U130" i="13"/>
  <c r="U131" i="13"/>
  <c r="U132" i="13"/>
  <c r="U133" i="13"/>
  <c r="U134" i="13"/>
  <c r="U135" i="13"/>
  <c r="U136" i="13"/>
  <c r="U137" i="13"/>
  <c r="U138" i="13"/>
  <c r="U139" i="13"/>
  <c r="U140" i="13"/>
  <c r="U141" i="13"/>
  <c r="U142" i="13"/>
  <c r="U143" i="13"/>
  <c r="U144" i="13"/>
  <c r="U145" i="13"/>
  <c r="U146" i="13"/>
  <c r="U147" i="13"/>
  <c r="U148" i="13"/>
  <c r="U149" i="13"/>
  <c r="U150" i="13"/>
  <c r="U151" i="13"/>
  <c r="U152" i="13"/>
  <c r="U153" i="13"/>
  <c r="U154" i="13"/>
  <c r="U155" i="13"/>
  <c r="U156" i="13"/>
  <c r="U157" i="13"/>
  <c r="U158" i="13"/>
  <c r="U159" i="13"/>
  <c r="A248" i="12"/>
  <c r="X17" i="6"/>
  <c r="A207" i="12"/>
  <c r="Q13" i="2"/>
  <c r="U4" i="6"/>
  <c r="K12" i="2"/>
  <c r="I560" i="12"/>
  <c r="H560" i="12"/>
  <c r="G560" i="12"/>
  <c r="F560" i="12"/>
  <c r="E560" i="12"/>
  <c r="D560"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6" i="12"/>
  <c r="L497" i="12"/>
  <c r="L498" i="12"/>
  <c r="L499" i="12"/>
  <c r="L500" i="12"/>
  <c r="L501" i="12"/>
  <c r="L502" i="12"/>
  <c r="L503" i="12"/>
  <c r="L504" i="12"/>
  <c r="L507" i="12"/>
  <c r="L508" i="12"/>
  <c r="L511" i="12"/>
  <c r="L512" i="12"/>
  <c r="L514" i="12"/>
  <c r="L515" i="12"/>
  <c r="L516" i="12"/>
  <c r="L517" i="12"/>
  <c r="L518" i="12"/>
  <c r="L519" i="12"/>
  <c r="L521" i="12"/>
  <c r="L522" i="12"/>
  <c r="L523" i="12"/>
  <c r="L524" i="12"/>
  <c r="L525" i="12"/>
  <c r="L526" i="12"/>
  <c r="L528" i="12"/>
  <c r="L529" i="12"/>
  <c r="L530" i="12"/>
  <c r="L531" i="12"/>
  <c r="L532" i="12"/>
  <c r="L533" i="12"/>
  <c r="L534" i="12"/>
  <c r="L535" i="12"/>
  <c r="L536" i="12"/>
  <c r="L537" i="12"/>
  <c r="L538" i="12"/>
  <c r="L539" i="12"/>
  <c r="L542" i="12"/>
  <c r="L543" i="12"/>
  <c r="L545" i="12"/>
  <c r="L548" i="12"/>
  <c r="L549"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11" i="12"/>
  <c r="J512" i="12"/>
  <c r="J513" i="12"/>
  <c r="J514" i="12"/>
  <c r="J515" i="12"/>
  <c r="J516" i="12"/>
  <c r="J517" i="12"/>
  <c r="J518" i="12"/>
  <c r="J519" i="12"/>
  <c r="J521" i="12"/>
  <c r="J522" i="12"/>
  <c r="J523" i="12"/>
  <c r="J524" i="12"/>
  <c r="J525" i="12"/>
  <c r="J526" i="12"/>
  <c r="J527" i="12"/>
  <c r="J528" i="12"/>
  <c r="J529" i="12"/>
  <c r="J530" i="12"/>
  <c r="J531" i="12"/>
  <c r="J532" i="12"/>
  <c r="J533" i="12"/>
  <c r="J534" i="12"/>
  <c r="J535" i="12"/>
  <c r="J536" i="12"/>
  <c r="J537" i="12"/>
  <c r="J538" i="12"/>
  <c r="J539" i="12"/>
  <c r="J542" i="12"/>
  <c r="J543" i="12"/>
  <c r="J545" i="12"/>
  <c r="J546" i="12"/>
  <c r="J547" i="12"/>
  <c r="J548" i="12"/>
  <c r="J549" i="12"/>
  <c r="J558" i="12"/>
  <c r="J559" i="12"/>
  <c r="J301" i="12"/>
  <c r="J300" i="12"/>
  <c r="O303" i="12"/>
  <c r="O304" i="12"/>
  <c r="O305" i="12"/>
  <c r="O306" i="12"/>
  <c r="O307" i="12"/>
  <c r="O308" i="12"/>
  <c r="O309" i="12"/>
  <c r="O310" i="12"/>
  <c r="O311" i="12"/>
  <c r="O312" i="12"/>
  <c r="O313" i="12"/>
  <c r="O314" i="12"/>
  <c r="O315" i="12"/>
  <c r="O316" i="12"/>
  <c r="O317" i="12"/>
  <c r="O318" i="12"/>
  <c r="O319" i="12"/>
  <c r="O320" i="12"/>
  <c r="O321" i="12"/>
  <c r="O324" i="12"/>
  <c r="O325" i="12"/>
  <c r="O326" i="12"/>
  <c r="O328" i="12"/>
  <c r="O329" i="12"/>
  <c r="O330" i="12"/>
  <c r="O332" i="12"/>
  <c r="O333" i="12"/>
  <c r="O334" i="12"/>
  <c r="O338" i="12"/>
  <c r="O339" i="12"/>
  <c r="O340" i="12"/>
  <c r="O341" i="12"/>
  <c r="O342" i="12"/>
  <c r="O343" i="12"/>
  <c r="O344" i="12"/>
  <c r="O345" i="12"/>
  <c r="O346" i="12"/>
  <c r="O347" i="12"/>
  <c r="O348" i="12"/>
  <c r="O349" i="12"/>
  <c r="O350" i="12"/>
  <c r="O351" i="12"/>
  <c r="O352" i="12"/>
  <c r="O353" i="12"/>
  <c r="O354" i="12"/>
  <c r="O355" i="12"/>
  <c r="O356" i="12"/>
  <c r="O359" i="12"/>
  <c r="O362" i="12"/>
  <c r="O363" i="12"/>
  <c r="O364" i="12"/>
  <c r="O365" i="12"/>
  <c r="O375" i="12"/>
  <c r="O383" i="12"/>
  <c r="O393" i="12"/>
  <c r="O394" i="12"/>
  <c r="O395" i="12"/>
  <c r="O397" i="12"/>
  <c r="O398" i="12"/>
  <c r="O399" i="12"/>
  <c r="O400" i="12"/>
  <c r="O401" i="12"/>
  <c r="O404" i="12"/>
  <c r="O405" i="12"/>
  <c r="O407" i="12"/>
  <c r="O409" i="12"/>
  <c r="O410" i="12"/>
  <c r="O412" i="12"/>
  <c r="O413" i="12"/>
  <c r="O414" i="12"/>
  <c r="O415" i="12"/>
  <c r="O416" i="12"/>
  <c r="O417" i="12"/>
  <c r="O418" i="12"/>
  <c r="O419" i="12"/>
  <c r="O420" i="12"/>
  <c r="O421" i="12"/>
  <c r="O422" i="12"/>
  <c r="O423" i="12"/>
  <c r="O424" i="12"/>
  <c r="O425" i="12"/>
  <c r="O426" i="12"/>
  <c r="O428"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76" i="12"/>
  <c r="O485" i="12"/>
  <c r="O486" i="12"/>
  <c r="O487" i="12"/>
  <c r="O493" i="12"/>
  <c r="O495" i="12"/>
  <c r="O496" i="12"/>
  <c r="O497" i="12"/>
  <c r="O498" i="12"/>
  <c r="O500" i="12"/>
  <c r="O501" i="12"/>
  <c r="O503" i="12"/>
  <c r="O504" i="12"/>
  <c r="O508" i="12"/>
  <c r="O511" i="12"/>
  <c r="O512" i="12"/>
  <c r="O513" i="12"/>
  <c r="O514" i="12"/>
  <c r="O515" i="12"/>
  <c r="O516" i="12"/>
  <c r="O517" i="12"/>
  <c r="O518" i="12"/>
  <c r="O519" i="12"/>
  <c r="O520" i="12"/>
  <c r="O521" i="12"/>
  <c r="O522" i="12"/>
  <c r="O523" i="12"/>
  <c r="O524" i="12"/>
  <c r="O525" i="12"/>
  <c r="O526" i="12"/>
  <c r="O527" i="12"/>
  <c r="O528" i="12"/>
  <c r="O533" i="12"/>
  <c r="O539" i="12"/>
  <c r="O541" i="12"/>
  <c r="O542" i="12"/>
  <c r="O543" i="12"/>
  <c r="O544" i="12"/>
  <c r="O545" i="12"/>
  <c r="O546" i="12"/>
  <c r="O547" i="12"/>
  <c r="O548" i="12"/>
  <c r="O549" i="12"/>
  <c r="O551" i="12"/>
  <c r="O552" i="12"/>
  <c r="O553" i="12"/>
  <c r="O554" i="12"/>
  <c r="O557" i="12"/>
  <c r="O558" i="12"/>
  <c r="O559"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J7" i="6"/>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E27" i="6" l="1"/>
  <c r="P2" i="12"/>
  <c r="J36" i="12"/>
  <c r="L36" i="12" s="1"/>
  <c r="J37" i="12"/>
  <c r="L37" i="12" s="1"/>
  <c r="J57" i="2"/>
  <c r="J58" i="2"/>
  <c r="J59" i="2"/>
  <c r="E520" i="12"/>
  <c r="D520" i="12"/>
  <c r="J520" i="12" s="1"/>
  <c r="A429" i="12" l="1"/>
  <c r="O429" i="12" s="1"/>
  <c r="A427" i="12"/>
  <c r="O427" i="12" s="1"/>
  <c r="H485" i="12"/>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O406" i="12" s="1"/>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A301" i="12" s="1"/>
  <c r="O301" i="12" s="1"/>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O502" i="12" s="1"/>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O560" i="12" s="1"/>
  <c r="H390" i="12"/>
  <c r="I390" i="12" s="1"/>
  <c r="H391" i="12"/>
  <c r="I391" i="12" s="1"/>
  <c r="F391" i="12"/>
  <c r="G391" i="12" s="1"/>
  <c r="F390" i="12"/>
  <c r="G390" i="12" s="1"/>
  <c r="H388" i="12"/>
  <c r="I388" i="12" s="1"/>
  <c r="F388" i="12"/>
  <c r="G388" i="12" s="1"/>
  <c r="J57" i="20"/>
  <c r="N1" i="13" l="1"/>
  <c r="O103" i="12"/>
  <c r="A134" i="12"/>
  <c r="AO429" i="12"/>
  <c r="AO211" i="12"/>
  <c r="A210" i="12"/>
  <c r="A534" i="12"/>
  <c r="O534" i="12" s="1"/>
  <c r="L541" i="12"/>
  <c r="A535" i="12"/>
  <c r="O535" i="12" s="1"/>
  <c r="A536" i="12"/>
  <c r="O536" i="12" s="1"/>
  <c r="A537" i="12"/>
  <c r="O537" i="12" s="1"/>
  <c r="A538" i="12"/>
  <c r="O538" i="12" s="1"/>
  <c r="AO298" i="12"/>
  <c r="A302" i="12"/>
  <c r="O302" i="12" s="1"/>
  <c r="A506" i="12"/>
  <c r="O506" i="12" s="1"/>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O322" i="12" s="1"/>
  <c r="A360" i="12"/>
  <c r="O360" i="12" s="1"/>
  <c r="A361" i="12"/>
  <c r="O361" i="12" s="1"/>
  <c r="EM490" i="13"/>
  <c r="L23" i="20"/>
  <c r="K23" i="20"/>
  <c r="L5" i="12"/>
  <c r="I23" i="20"/>
  <c r="EL483" i="13"/>
  <c r="EL484" i="13"/>
  <c r="EM484" i="13" s="1"/>
  <c r="EM489" i="13"/>
  <c r="A499" i="12"/>
  <c r="O499" i="12" s="1"/>
  <c r="A170" i="12" l="1"/>
  <c r="A169" i="12"/>
  <c r="A168" i="12"/>
  <c r="A167" i="12"/>
  <c r="A166" i="12"/>
  <c r="A163" i="12"/>
  <c r="O120" i="13"/>
  <c r="O101" i="13"/>
  <c r="O109" i="13"/>
  <c r="O117" i="13"/>
  <c r="O125" i="13"/>
  <c r="O133" i="13"/>
  <c r="O141" i="13"/>
  <c r="O149" i="13"/>
  <c r="O157" i="13"/>
  <c r="O165" i="13"/>
  <c r="O173" i="13"/>
  <c r="O181" i="13"/>
  <c r="O189" i="13"/>
  <c r="O197" i="13"/>
  <c r="O168" i="13"/>
  <c r="O102" i="13"/>
  <c r="O110" i="13"/>
  <c r="O118" i="13"/>
  <c r="O126" i="13"/>
  <c r="O134" i="13"/>
  <c r="O142" i="13"/>
  <c r="O150" i="13"/>
  <c r="O158" i="13"/>
  <c r="O166" i="13"/>
  <c r="O174" i="13"/>
  <c r="O182" i="13"/>
  <c r="O190" i="13"/>
  <c r="O198" i="13"/>
  <c r="O103" i="13"/>
  <c r="O111" i="13"/>
  <c r="O119" i="13"/>
  <c r="O127" i="13"/>
  <c r="O135" i="13"/>
  <c r="O143" i="13"/>
  <c r="O151" i="13"/>
  <c r="O159" i="13"/>
  <c r="O167" i="13"/>
  <c r="O175" i="13"/>
  <c r="O183" i="13"/>
  <c r="O191" i="13"/>
  <c r="O199" i="13"/>
  <c r="O112" i="13"/>
  <c r="O128" i="13"/>
  <c r="O136" i="13"/>
  <c r="O144" i="13"/>
  <c r="O152" i="13"/>
  <c r="O160" i="13"/>
  <c r="O176" i="13"/>
  <c r="O184" i="13"/>
  <c r="O192" i="13"/>
  <c r="O200" i="13"/>
  <c r="O104" i="13"/>
  <c r="O105" i="13"/>
  <c r="O113" i="13"/>
  <c r="O121" i="13"/>
  <c r="O129" i="13"/>
  <c r="O137" i="13"/>
  <c r="O145" i="13"/>
  <c r="O153" i="13"/>
  <c r="O161" i="13"/>
  <c r="O169" i="13"/>
  <c r="O177" i="13"/>
  <c r="O185" i="13"/>
  <c r="O193" i="13"/>
  <c r="O106" i="13"/>
  <c r="O114" i="13"/>
  <c r="O122" i="13"/>
  <c r="O130" i="13"/>
  <c r="O138" i="13"/>
  <c r="O146" i="13"/>
  <c r="O154" i="13"/>
  <c r="O162" i="13"/>
  <c r="O170" i="13"/>
  <c r="O178" i="13"/>
  <c r="O186" i="13"/>
  <c r="O194" i="13"/>
  <c r="O115" i="13"/>
  <c r="O123" i="13"/>
  <c r="O131" i="13"/>
  <c r="O139" i="13"/>
  <c r="O147" i="13"/>
  <c r="O155" i="13"/>
  <c r="O163" i="13"/>
  <c r="O171" i="13"/>
  <c r="O179" i="13"/>
  <c r="O187" i="13"/>
  <c r="O195" i="13"/>
  <c r="O107" i="13"/>
  <c r="O108" i="13"/>
  <c r="O116" i="13"/>
  <c r="O124" i="13"/>
  <c r="O132" i="13"/>
  <c r="O140" i="13"/>
  <c r="O148" i="13"/>
  <c r="O156" i="13"/>
  <c r="O164" i="13"/>
  <c r="O172" i="13"/>
  <c r="O180" i="13"/>
  <c r="O188" i="13"/>
  <c r="O196" i="13"/>
  <c r="O27" i="13"/>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O510" i="12" s="1"/>
  <c r="A509" i="12"/>
  <c r="O509" i="12" s="1"/>
  <c r="A358" i="12"/>
  <c r="O358" i="12" s="1"/>
  <c r="A357" i="12"/>
  <c r="O357" i="12" s="1"/>
  <c r="E69" i="20"/>
  <c r="D69" i="20"/>
  <c r="C1" i="12" l="1"/>
  <c r="P1" i="13"/>
  <c r="P108" i="13"/>
  <c r="P116" i="13"/>
  <c r="P124" i="13"/>
  <c r="P132" i="13"/>
  <c r="P140" i="13"/>
  <c r="P148" i="13"/>
  <c r="P156" i="13"/>
  <c r="P164" i="13"/>
  <c r="P172" i="13"/>
  <c r="P180" i="13"/>
  <c r="P188" i="13"/>
  <c r="P196" i="13"/>
  <c r="P150" i="13"/>
  <c r="P168" i="13"/>
  <c r="P176" i="13"/>
  <c r="P101" i="13"/>
  <c r="P109" i="13"/>
  <c r="P117" i="13"/>
  <c r="P125" i="13"/>
  <c r="P133" i="13"/>
  <c r="P141" i="13"/>
  <c r="P149" i="13"/>
  <c r="P157" i="13"/>
  <c r="P165" i="13"/>
  <c r="P173" i="13"/>
  <c r="P181" i="13"/>
  <c r="P189" i="13"/>
  <c r="P197" i="13"/>
  <c r="P166" i="13"/>
  <c r="P198" i="13"/>
  <c r="P110" i="13"/>
  <c r="P118" i="13"/>
  <c r="P126" i="13"/>
  <c r="P134" i="13"/>
  <c r="P142" i="13"/>
  <c r="P158" i="13"/>
  <c r="P174" i="13"/>
  <c r="P182" i="13"/>
  <c r="P190" i="13"/>
  <c r="P102" i="13"/>
  <c r="P152" i="13"/>
  <c r="P111" i="13"/>
  <c r="P119" i="13"/>
  <c r="P127" i="13"/>
  <c r="P135" i="13"/>
  <c r="P143" i="13"/>
  <c r="P151" i="13"/>
  <c r="P159" i="13"/>
  <c r="P167" i="13"/>
  <c r="P175" i="13"/>
  <c r="P183" i="13"/>
  <c r="P191" i="13"/>
  <c r="P199" i="13"/>
  <c r="P103" i="13"/>
  <c r="P104" i="13"/>
  <c r="P112" i="13"/>
  <c r="P120" i="13"/>
  <c r="P128" i="13"/>
  <c r="P160" i="13"/>
  <c r="P184" i="13"/>
  <c r="P113" i="13"/>
  <c r="P121" i="13"/>
  <c r="P129" i="13"/>
  <c r="P137" i="13"/>
  <c r="P145" i="13"/>
  <c r="P153" i="13"/>
  <c r="P161" i="13"/>
  <c r="P169" i="13"/>
  <c r="P177" i="13"/>
  <c r="P185" i="13"/>
  <c r="P193" i="13"/>
  <c r="P123" i="13"/>
  <c r="P147" i="13"/>
  <c r="P163" i="13"/>
  <c r="P179" i="13"/>
  <c r="P195" i="13"/>
  <c r="P136" i="13"/>
  <c r="P105" i="13"/>
  <c r="P131" i="13"/>
  <c r="P200" i="13"/>
  <c r="P106" i="13"/>
  <c r="P114" i="13"/>
  <c r="P122" i="13"/>
  <c r="P130" i="13"/>
  <c r="P138" i="13"/>
  <c r="P146" i="13"/>
  <c r="P154" i="13"/>
  <c r="P162" i="13"/>
  <c r="P170" i="13"/>
  <c r="P178" i="13"/>
  <c r="P186" i="13"/>
  <c r="P194" i="13"/>
  <c r="P115" i="13"/>
  <c r="P139" i="13"/>
  <c r="P155" i="13"/>
  <c r="P171" i="13"/>
  <c r="P187" i="13"/>
  <c r="P144" i="13"/>
  <c r="P107" i="13"/>
  <c r="P192" i="13"/>
  <c r="P4" i="13"/>
  <c r="P82" i="13"/>
  <c r="P37" i="13"/>
  <c r="P86" i="13"/>
  <c r="P47" i="13"/>
  <c r="P50" i="13"/>
  <c r="P10" i="13"/>
  <c r="P6" i="13"/>
  <c r="P20" i="13"/>
  <c r="P14" i="13"/>
  <c r="P33" i="13"/>
  <c r="P28"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600" i="13" l="1" a="1"/>
  <c r="Y600" i="13" s="1"/>
  <c r="Y599" i="13" a="1"/>
  <c r="Y599" i="13" s="1"/>
  <c r="Y601" i="13" a="1"/>
  <c r="Y601" i="13" s="1"/>
  <c r="Y575" i="13" a="1"/>
  <c r="Y575" i="13" s="1"/>
  <c r="Y589" i="13" a="1"/>
  <c r="Y589" i="13" s="1"/>
  <c r="Y580" i="13" a="1"/>
  <c r="Y580" i="13" s="1"/>
  <c r="Y542" i="13" a="1"/>
  <c r="Y542" i="13" s="1"/>
  <c r="Y588" i="13" a="1"/>
  <c r="Y588" i="13" s="1"/>
  <c r="Y516" i="13" a="1"/>
  <c r="Y516" i="13" s="1"/>
  <c r="Y523" i="13" a="1"/>
  <c r="Y523" i="13" s="1"/>
  <c r="Y576" i="13" a="1"/>
  <c r="Y576" i="13" s="1"/>
  <c r="Y514" i="13" a="1"/>
  <c r="Y514" i="13" s="1"/>
  <c r="Y546" i="13" a="1"/>
  <c r="Y546" i="13" s="1"/>
  <c r="Y571" i="13" a="1"/>
  <c r="Y571" i="13" s="1"/>
  <c r="Y512" i="13" a="1"/>
  <c r="Y512" i="13" s="1"/>
  <c r="Y585" i="13" a="1"/>
  <c r="Y585" i="13" s="1"/>
  <c r="Y567" i="13" a="1"/>
  <c r="Y567" i="13" s="1"/>
  <c r="Y556" i="13" a="1"/>
  <c r="Y556" i="13" s="1"/>
  <c r="Y558" i="13" a="1"/>
  <c r="Y558" i="13" s="1"/>
  <c r="Y520" i="13" a="1"/>
  <c r="Y520" i="13" s="1"/>
  <c r="Y549" i="13" a="1"/>
  <c r="Y549" i="13" s="1"/>
  <c r="Y515" i="13" a="1"/>
  <c r="Y515" i="13" s="1"/>
  <c r="Y561" i="13" a="1"/>
  <c r="Y561" i="13" s="1"/>
  <c r="Y509" i="13" a="1"/>
  <c r="Y509" i="13" s="1"/>
  <c r="Y593" i="13" a="1"/>
  <c r="Y593" i="13" s="1"/>
  <c r="Y539" i="13" a="1"/>
  <c r="Y539" i="13" s="1"/>
  <c r="Y594" i="13" a="1"/>
  <c r="Y594" i="13" s="1"/>
  <c r="Y506" i="13" a="1"/>
  <c r="Y506" i="13" s="1"/>
  <c r="Y524" i="13" a="1"/>
  <c r="Y524" i="13" s="1"/>
  <c r="Y508" i="13" a="1"/>
  <c r="Y508" i="13" s="1"/>
  <c r="Y584" i="13" a="1"/>
  <c r="Y584" i="13" s="1"/>
  <c r="Y553" i="13" a="1"/>
  <c r="Y553" i="13" s="1"/>
  <c r="Y527" i="13" a="1"/>
  <c r="Y527" i="13" s="1"/>
  <c r="Y519" i="13" a="1"/>
  <c r="Y519" i="13" s="1"/>
  <c r="Y513" i="13" a="1"/>
  <c r="Y513" i="13" s="1"/>
  <c r="Y510" i="13" a="1"/>
  <c r="Y510" i="13" s="1"/>
  <c r="Y540" i="13" a="1"/>
  <c r="Y540" i="13" s="1"/>
  <c r="Y528" i="13" a="1"/>
  <c r="Y528" i="13" s="1"/>
  <c r="Y507" i="13" a="1"/>
  <c r="Y507" i="13" s="1"/>
  <c r="Y525" i="13" a="1"/>
  <c r="Y525" i="13" s="1"/>
  <c r="Y545" i="13" a="1"/>
  <c r="Y545" i="13" s="1"/>
  <c r="Y568" i="13" a="1"/>
  <c r="Y568" i="13" s="1"/>
  <c r="Y550" i="13" a="1"/>
  <c r="Y550" i="13" s="1"/>
  <c r="Y536" i="13" a="1"/>
  <c r="Y536" i="13" s="1"/>
  <c r="Y578" i="13" a="1"/>
  <c r="Y578" i="13" s="1"/>
  <c r="Y564" i="13" a="1"/>
  <c r="Y564" i="13" s="1"/>
  <c r="Y579" i="13" a="1"/>
  <c r="Y579" i="13" s="1"/>
  <c r="Y563" i="13" a="1"/>
  <c r="Y563" i="13" s="1"/>
  <c r="Y518" i="13" a="1"/>
  <c r="Y518" i="13" s="1"/>
  <c r="Y560" i="13" a="1"/>
  <c r="Y560" i="13" s="1"/>
  <c r="Y547" i="13" a="1"/>
  <c r="Y547" i="13" s="1"/>
  <c r="Y531" i="13" a="1"/>
  <c r="Y531" i="13" s="1"/>
  <c r="Y529" i="13" a="1"/>
  <c r="Y529" i="13" s="1"/>
  <c r="Y532" i="13" a="1"/>
  <c r="Y532" i="13" s="1"/>
  <c r="Y503" i="13" a="1"/>
  <c r="Y503" i="13" s="1"/>
  <c r="Y572" i="13" a="1"/>
  <c r="Y572" i="13" s="1"/>
  <c r="Y598" i="13" a="1"/>
  <c r="Y598" i="13" s="1"/>
  <c r="Y552" i="13" a="1"/>
  <c r="Y552" i="13" s="1"/>
  <c r="Y586" i="13" a="1"/>
  <c r="Y586" i="13" s="1"/>
  <c r="Y597" i="13" a="1"/>
  <c r="Y597" i="13" s="1"/>
  <c r="Y535" i="13" a="1"/>
  <c r="Y535" i="13" s="1"/>
  <c r="Q1" i="13" a="1"/>
  <c r="Q1" i="13" s="1"/>
  <c r="Y501" i="13" a="1"/>
  <c r="Y501" i="13" s="1"/>
  <c r="Y517" i="13" a="1"/>
  <c r="Y517" i="13" s="1"/>
  <c r="Y543" i="13" a="1"/>
  <c r="Y543" i="13" s="1"/>
  <c r="Y554" i="13" a="1"/>
  <c r="Y554" i="13" s="1"/>
  <c r="Y587" i="13" a="1"/>
  <c r="Y587" i="13" s="1"/>
  <c r="Y544" i="13" a="1"/>
  <c r="Y544" i="13" s="1"/>
  <c r="Y537" i="13" a="1"/>
  <c r="Y537" i="13" s="1"/>
  <c r="Y569" i="13" a="1"/>
  <c r="Y569" i="13" s="1"/>
  <c r="Y522" i="13" a="1"/>
  <c r="Y522" i="13" s="1"/>
  <c r="Y581" i="13" a="1"/>
  <c r="Y581" i="13" s="1"/>
  <c r="Y559" i="13" a="1"/>
  <c r="Y559" i="13" s="1"/>
  <c r="Y565" i="13" a="1"/>
  <c r="Y565" i="13" s="1"/>
  <c r="Y583" i="13" a="1"/>
  <c r="Y583" i="13" s="1"/>
  <c r="Y590" i="13" a="1"/>
  <c r="Y590" i="13" s="1"/>
  <c r="Y596" i="13" a="1"/>
  <c r="Y596" i="13" s="1"/>
  <c r="Y562" i="13" a="1"/>
  <c r="Y562" i="13" s="1"/>
  <c r="Y591" i="13" a="1"/>
  <c r="Y591" i="13" s="1"/>
  <c r="Y511" i="13" a="1"/>
  <c r="Y511" i="13" s="1"/>
  <c r="Y541" i="13" a="1"/>
  <c r="Y541" i="13" s="1"/>
  <c r="Y538" i="13" a="1"/>
  <c r="Y538" i="13" s="1"/>
  <c r="Y577" i="13" a="1"/>
  <c r="Y577" i="13" s="1"/>
  <c r="Y526" i="13" a="1"/>
  <c r="Y526" i="13" s="1"/>
  <c r="Y582" i="13" a="1"/>
  <c r="Y582" i="13" s="1"/>
  <c r="Y592" i="13" a="1"/>
  <c r="Y592" i="13" s="1"/>
  <c r="Y574" i="13" a="1"/>
  <c r="Y574" i="13" s="1"/>
  <c r="Y557" i="13" a="1"/>
  <c r="Y557" i="13" s="1"/>
  <c r="Y566" i="13" a="1"/>
  <c r="Y566" i="13" s="1"/>
  <c r="Y595" i="13" a="1"/>
  <c r="Y595" i="13" s="1"/>
  <c r="Y533" i="13" a="1"/>
  <c r="Y533" i="13" s="1"/>
  <c r="Y530" i="13" a="1"/>
  <c r="Y530" i="13" s="1"/>
  <c r="Y570" i="13" a="1"/>
  <c r="Y570" i="13" s="1"/>
  <c r="Y505" i="13" a="1"/>
  <c r="Y505" i="13" s="1"/>
  <c r="Y551" i="13" a="1"/>
  <c r="Y551" i="13" s="1"/>
  <c r="Y573" i="13" a="1"/>
  <c r="Y573" i="13" s="1"/>
  <c r="Y521" i="13" a="1"/>
  <c r="Y521" i="13" s="1"/>
  <c r="Y548" i="13" a="1"/>
  <c r="Y548" i="13" s="1"/>
  <c r="Y534" i="13" a="1"/>
  <c r="Y534" i="13" s="1"/>
  <c r="Y502" i="13" a="1"/>
  <c r="Y502" i="13" s="1"/>
  <c r="Y555" i="13" a="1"/>
  <c r="Y555" i="13" s="1"/>
  <c r="Y504" i="13" a="1"/>
  <c r="Y504" i="13" s="1"/>
  <c r="BC12" i="12" a="1"/>
  <c r="BC12" i="12" s="1"/>
  <c r="BC13" i="12" s="1" a="1"/>
  <c r="BC13" i="12" s="1"/>
  <c r="AZ11" i="12" a="1"/>
  <c r="AZ11" i="12" s="1"/>
  <c r="BA12" i="12" a="1"/>
  <c r="BA12" i="12" s="1"/>
  <c r="BD14" i="12" a="1"/>
  <c r="BD14" i="12" s="1"/>
  <c r="O5" i="12"/>
  <c r="BC14" i="12" l="1"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599" i="13" a="1"/>
  <c r="Z518" i="13" a="1"/>
  <c r="Z531" i="13" a="1"/>
  <c r="Z545" i="13" a="1"/>
  <c r="Z586" i="13" a="1"/>
  <c r="Z592" i="13" a="1"/>
  <c r="Z597" i="13" a="1"/>
  <c r="Z543" i="13" a="1"/>
  <c r="Z569" i="13" a="1"/>
  <c r="Z522" i="13" a="1"/>
  <c r="Z567" i="13" a="1"/>
  <c r="Z530" i="13" a="1"/>
  <c r="Z557" i="13" a="1"/>
  <c r="Z591" i="13" a="1"/>
  <c r="Z588" i="13" a="1"/>
  <c r="Z542" i="13" a="1"/>
  <c r="Z565" i="13" a="1"/>
  <c r="Z568" i="13" a="1"/>
  <c r="Z527" i="13" a="1"/>
  <c r="Z594" i="13" a="1"/>
  <c r="Z589" i="13" a="1"/>
  <c r="Z563" i="13" a="1"/>
  <c r="Z537" i="13" a="1"/>
  <c r="Z526" i="13" a="1"/>
  <c r="Z601" i="13" a="1"/>
  <c r="Z524" i="13" a="1"/>
  <c r="Z596" i="13" a="1"/>
  <c r="Z535" i="13" a="1"/>
  <c r="Z541" i="13" a="1"/>
  <c r="Z582" i="13" a="1"/>
  <c r="Z574" i="13" a="1"/>
  <c r="Z551" i="13" a="1"/>
  <c r="Z555" i="13" a="1"/>
  <c r="Z564" i="13" a="1"/>
  <c r="Z536" i="13" a="1"/>
  <c r="Z578" i="13" a="1"/>
  <c r="Z521" i="13" a="1"/>
  <c r="Z559" i="13" a="1"/>
  <c r="Z585" i="13" a="1"/>
  <c r="Z552" i="13" a="1"/>
  <c r="Z533" i="13" a="1"/>
  <c r="Z558" i="13" a="1"/>
  <c r="Z554" i="13" a="1"/>
  <c r="Z579" i="13" a="1"/>
  <c r="Z528" i="13" a="1"/>
  <c r="Z538" i="13" a="1"/>
  <c r="Z539" i="13" a="1"/>
  <c r="Z575" i="13" a="1"/>
  <c r="Z571" i="13" a="1"/>
  <c r="Z550" i="13" a="1"/>
  <c r="Z570" i="13" a="1"/>
  <c r="Z540" i="13" a="1"/>
  <c r="Z547" i="13" a="1"/>
  <c r="Z520" i="13" a="1"/>
  <c r="Z560" i="13" a="1"/>
  <c r="Z553" i="13" a="1"/>
  <c r="Z583" i="13" a="1"/>
  <c r="Z529" i="13" a="1"/>
  <c r="Z600" i="13" a="1"/>
  <c r="Z580" i="13" a="1"/>
  <c r="Z561" i="13" a="1"/>
  <c r="Z562" i="13" a="1"/>
  <c r="Z595" i="13" a="1"/>
  <c r="Z519" i="13" a="1"/>
  <c r="Z525" i="13" a="1"/>
  <c r="Z572" i="13" a="1"/>
  <c r="Z587" i="13" a="1"/>
  <c r="Z549" i="13" a="1"/>
  <c r="Z598" i="13" a="1"/>
  <c r="Z577" i="13" a="1"/>
  <c r="Z517" i="13" a="1"/>
  <c r="Z566" i="13" a="1"/>
  <c r="Z593" i="13" a="1"/>
  <c r="Z546" i="13" a="1"/>
  <c r="Z556" i="13" a="1"/>
  <c r="Z584" i="13" a="1"/>
  <c r="Z532" i="13" a="1"/>
  <c r="Z590" i="13" a="1"/>
  <c r="Z534" i="13" a="1"/>
  <c r="Z581" i="13" a="1"/>
  <c r="Z523" i="13" a="1"/>
  <c r="Z544" i="13" a="1"/>
  <c r="Z573" i="13" a="1"/>
  <c r="Z548" i="13" a="1"/>
  <c r="Z576"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O331" i="12" s="1"/>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O327" i="12" s="1"/>
  <c r="A323" i="12"/>
  <c r="O323" i="12" s="1"/>
  <c r="A530" i="12"/>
  <c r="O530" i="12" s="1"/>
  <c r="A529" i="12"/>
  <c r="O529" i="12" s="1"/>
  <c r="A531" i="12"/>
  <c r="O531" i="12" s="1"/>
  <c r="A532" i="12"/>
  <c r="O532" i="12" s="1"/>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O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F552" i="12"/>
  <c r="I549" i="12"/>
  <c r="G549" i="12"/>
  <c r="H547" i="12"/>
  <c r="F547" i="12"/>
  <c r="G547" i="12" s="1"/>
  <c r="H546" i="12"/>
  <c r="L546" i="12" s="1"/>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L527" i="12" s="1"/>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L505" i="12" s="1"/>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L494" i="12" s="1"/>
  <c r="F494" i="12"/>
  <c r="H493" i="12"/>
  <c r="L493" i="12" s="1"/>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552" i="12" l="1"/>
  <c r="L513" i="12"/>
  <c r="L547" i="12"/>
  <c r="L495" i="12"/>
  <c r="L506" i="12"/>
  <c r="F400" i="12"/>
  <c r="D400" i="12" s="1"/>
  <c r="H400" i="12"/>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J552" i="12" l="1"/>
  <c r="E400" i="12"/>
  <c r="J400" i="12" s="1"/>
  <c r="L400" i="12"/>
  <c r="L520" i="12"/>
  <c r="F73" i="12"/>
  <c r="L73" i="12" s="1"/>
  <c r="E541" i="12"/>
  <c r="G73" i="12" l="1"/>
  <c r="K59" i="2"/>
  <c r="K58" i="2"/>
  <c r="K57" i="2"/>
  <c r="D541" i="12" l="1"/>
  <c r="J541" i="12" s="1"/>
  <c r="P29" i="12" l="1"/>
  <c r="D9" i="20"/>
  <c r="J9" i="20" l="1"/>
  <c r="J11" i="20" s="1"/>
  <c r="J13" i="20" s="1"/>
  <c r="J41" i="20" s="1"/>
  <c r="D11" i="20"/>
  <c r="D13" i="20" s="1"/>
  <c r="D15" i="20" s="1"/>
  <c r="D17" i="20" s="1"/>
  <c r="J15" i="20" l="1"/>
  <c r="J17" i="20" s="1"/>
  <c r="J39" i="20" s="1"/>
  <c r="D23" i="20"/>
  <c r="D39" i="20"/>
  <c r="D41" i="20"/>
  <c r="J23" i="20" l="1"/>
  <c r="J27" i="20" s="1"/>
  <c r="D51" i="20"/>
  <c r="D53" i="20" s="1"/>
  <c r="D27" i="20"/>
  <c r="D62" i="20" s="1"/>
  <c r="A471" i="12" l="1"/>
  <c r="O471" i="12" s="1"/>
  <c r="A491" i="12"/>
  <c r="O491" i="12" s="1"/>
  <c r="A475" i="12"/>
  <c r="O475" i="12" s="1"/>
  <c r="A484" i="12"/>
  <c r="O484" i="12" s="1"/>
  <c r="A148" i="12"/>
  <c r="A146" i="12"/>
  <c r="A472" i="12"/>
  <c r="O472" i="12" s="1"/>
  <c r="A490" i="12"/>
  <c r="O490" i="12" s="1"/>
  <c r="A474" i="12"/>
  <c r="O474" i="12" s="1"/>
  <c r="A473" i="12"/>
  <c r="O473" i="12" s="1"/>
  <c r="A469" i="12"/>
  <c r="O469" i="12" s="1"/>
  <c r="A483" i="12"/>
  <c r="O483" i="12" s="1"/>
  <c r="A143" i="12"/>
  <c r="A470" i="12"/>
  <c r="O470" i="12" s="1"/>
  <c r="A489" i="12"/>
  <c r="O489" i="12" s="1"/>
  <c r="A488" i="12"/>
  <c r="O488" i="12" s="1"/>
  <c r="A149" i="12"/>
  <c r="A147" i="12"/>
  <c r="A482" i="12"/>
  <c r="O482" i="12" s="1"/>
  <c r="A479" i="12"/>
  <c r="O479" i="12" s="1"/>
  <c r="A152" i="12"/>
  <c r="A481" i="12"/>
  <c r="O481" i="12" s="1"/>
  <c r="A151" i="12"/>
  <c r="AO151" i="12" s="1"/>
  <c r="A466" i="12"/>
  <c r="O466" i="12" s="1"/>
  <c r="A480" i="12"/>
  <c r="O480" i="12" s="1"/>
  <c r="A477" i="12"/>
  <c r="O477" i="12" s="1"/>
  <c r="A145" i="12"/>
  <c r="A144" i="12"/>
  <c r="A468" i="12"/>
  <c r="O468" i="12" s="1"/>
  <c r="A150" i="12"/>
  <c r="O150" i="12" s="1"/>
  <c r="A467" i="12"/>
  <c r="O467" i="12" s="1"/>
  <c r="A492" i="12"/>
  <c r="O492" i="12" s="1"/>
  <c r="A478" i="12"/>
  <c r="O478" i="12" s="1"/>
  <c r="J51" i="20"/>
  <c r="J53" i="20" s="1"/>
  <c r="A153" i="12"/>
  <c r="AO471" i="12"/>
  <c r="AO491" i="12"/>
  <c r="AO149" i="12"/>
  <c r="O149" i="12"/>
  <c r="J29" i="20"/>
  <c r="J100" i="20" s="1"/>
  <c r="J76" i="20" a="1"/>
  <c r="J76" i="20" s="1"/>
  <c r="J77" i="20" a="1"/>
  <c r="J77" i="20" s="1"/>
  <c r="D76" i="20" a="1"/>
  <c r="D76" i="20" s="1"/>
  <c r="D35" i="20"/>
  <c r="D80" i="20" a="1"/>
  <c r="D80" i="20" s="1"/>
  <c r="D29" i="20"/>
  <c r="D100" i="20" s="1"/>
  <c r="D77" i="20" a="1"/>
  <c r="D77" i="20" s="1"/>
  <c r="AO482" i="12" l="1"/>
  <c r="AO484" i="12"/>
  <c r="AO481" i="12"/>
  <c r="AO479" i="12"/>
  <c r="AO478" i="12"/>
  <c r="AO466" i="12"/>
  <c r="J80" i="20" a="1"/>
  <c r="J80" i="20" s="1"/>
  <c r="AO475" i="12"/>
  <c r="AO477" i="12"/>
  <c r="J35" i="20"/>
  <c r="O151" i="12"/>
  <c r="AO472" i="12"/>
  <c r="AO474" i="12"/>
  <c r="AO488" i="12"/>
  <c r="AO470" i="12"/>
  <c r="AO489" i="12"/>
  <c r="AO150" i="12"/>
  <c r="AO480" i="12"/>
  <c r="AO473" i="12"/>
  <c r="AO468" i="12"/>
  <c r="AO467" i="12"/>
  <c r="AO490" i="12"/>
  <c r="AO483" i="12"/>
  <c r="AO492" i="12"/>
  <c r="AO469" i="12"/>
  <c r="O143" i="12"/>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O505" i="12" s="1"/>
  <c r="C17" i="2"/>
  <c r="A507" i="12" l="1"/>
  <c r="O507" i="12" s="1"/>
  <c r="E554" i="12"/>
  <c r="H554" i="12" s="1"/>
  <c r="D554" i="12"/>
  <c r="D544" i="12"/>
  <c r="E544" i="12"/>
  <c r="H544" i="12" s="1"/>
  <c r="AO505" i="12"/>
  <c r="BM10" i="12"/>
  <c r="BL9" i="12"/>
  <c r="BL10" i="12"/>
  <c r="BL6" i="12"/>
  <c r="BM9" i="12"/>
  <c r="BM8" i="12"/>
  <c r="BL8" i="12"/>
  <c r="BM6" i="12"/>
  <c r="BM7" i="12"/>
  <c r="BL7" i="12"/>
  <c r="P30" i="12"/>
  <c r="P33" i="12"/>
  <c r="P31" i="12"/>
  <c r="P32" i="12"/>
  <c r="F550" i="12"/>
  <c r="H550" i="12"/>
  <c r="F510" i="12"/>
  <c r="D510" i="12" s="1"/>
  <c r="O170" i="12"/>
  <c r="O168" i="12"/>
  <c r="O169" i="12"/>
  <c r="O167" i="12"/>
  <c r="O166" i="12"/>
  <c r="A165" i="12"/>
  <c r="O165" i="12" s="1"/>
  <c r="O163" i="12"/>
  <c r="A164" i="12"/>
  <c r="O164" i="12" s="1"/>
  <c r="F509" i="12"/>
  <c r="D509" i="12" s="1"/>
  <c r="BM5" i="12"/>
  <c r="BL4" i="12"/>
  <c r="BM4" i="12"/>
  <c r="H509" i="12"/>
  <c r="BL5" i="12"/>
  <c r="H551" i="12"/>
  <c r="H510" i="12"/>
  <c r="F551" i="12"/>
  <c r="J554" i="12" l="1"/>
  <c r="L510" i="12"/>
  <c r="I544" i="12"/>
  <c r="J544" i="12"/>
  <c r="E509" i="12"/>
  <c r="J509" i="12" s="1"/>
  <c r="L509" i="12"/>
  <c r="L551" i="12"/>
  <c r="L550" i="12"/>
  <c r="AO507" i="12"/>
  <c r="E510" i="12"/>
  <c r="J510" i="12" s="1"/>
  <c r="F554" i="12"/>
  <c r="G554" i="12" s="1"/>
  <c r="I554" i="12"/>
  <c r="AO164" i="12"/>
  <c r="AO166" i="12"/>
  <c r="AO165" i="12"/>
  <c r="AO169" i="12"/>
  <c r="AO167" i="12"/>
  <c r="AO168" i="12"/>
  <c r="AO170" i="12"/>
  <c r="AO163" i="12"/>
  <c r="BM12" i="12"/>
  <c r="BO14" i="12" s="1"/>
  <c r="BL12" i="12"/>
  <c r="BN14" i="12" s="1"/>
  <c r="G510" i="12"/>
  <c r="A408" i="12"/>
  <c r="O408" i="12" s="1"/>
  <c r="A178" i="12"/>
  <c r="O178" i="12" s="1"/>
  <c r="A177" i="12"/>
  <c r="O177" i="12" s="1"/>
  <c r="A176" i="12"/>
  <c r="O176" i="12" s="1"/>
  <c r="G550" i="12"/>
  <c r="F553" i="12"/>
  <c r="D550" i="12"/>
  <c r="I509" i="12"/>
  <c r="D551" i="12"/>
  <c r="G551" i="12"/>
  <c r="H553" i="12"/>
  <c r="E550" i="12"/>
  <c r="I550" i="12"/>
  <c r="I510" i="12"/>
  <c r="G509" i="12"/>
  <c r="E551" i="12"/>
  <c r="I551" i="12"/>
  <c r="Z501" i="13" a="1"/>
  <c r="L554" i="12" l="1"/>
  <c r="L553" i="12"/>
  <c r="J551" i="12"/>
  <c r="J550" i="12"/>
  <c r="AO408" i="12"/>
  <c r="AO177" i="12"/>
  <c r="AO176" i="12"/>
  <c r="AO178" i="12"/>
  <c r="BM18" i="12"/>
  <c r="Z501" i="13"/>
  <c r="A403" i="12"/>
  <c r="O403" i="12" s="1"/>
  <c r="A402" i="12"/>
  <c r="O402" i="12" s="1"/>
  <c r="A179" i="12"/>
  <c r="O179" i="12" s="1"/>
  <c r="D553" i="12"/>
  <c r="G553" i="12"/>
  <c r="I553" i="12"/>
  <c r="E553" i="12"/>
  <c r="Z516" i="13" a="1"/>
  <c r="Z506" i="13" a="1"/>
  <c r="Z511" i="13" a="1"/>
  <c r="Z512" i="13" a="1"/>
  <c r="Z509" i="13" a="1"/>
  <c r="Z510" i="13" a="1"/>
  <c r="Z505" i="13" a="1"/>
  <c r="Z514" i="13" a="1"/>
  <c r="Z503" i="13" a="1"/>
  <c r="Z504" i="13" a="1"/>
  <c r="Z502" i="13" a="1"/>
  <c r="Z507" i="13" a="1"/>
  <c r="Z515" i="13" a="1"/>
  <c r="Z508" i="13" a="1"/>
  <c r="Z513" i="13" a="1"/>
  <c r="J553" i="12" l="1"/>
  <c r="AO403" i="12"/>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AG498" i="13" s="1"/>
  <c r="AB501" i="13"/>
  <c r="W517" i="13" s="1"/>
  <c r="W502" i="13" l="1"/>
  <c r="W509" i="13"/>
  <c r="W512" i="13"/>
  <c r="W506" i="13"/>
  <c r="W510" i="13"/>
  <c r="W503" i="13"/>
  <c r="W505" i="13"/>
  <c r="W511" i="13"/>
  <c r="W514" i="13"/>
  <c r="W516" i="13"/>
  <c r="W513" i="13"/>
  <c r="W515" i="13"/>
  <c r="W507" i="13"/>
  <c r="AE495" i="13"/>
  <c r="AE496" i="13"/>
  <c r="AE499" i="13"/>
  <c r="AE497" i="13"/>
  <c r="AE498" i="13" s="1"/>
  <c r="W501" i="13"/>
  <c r="W508" i="13"/>
  <c r="W504" i="13"/>
  <c r="BT477" i="13" l="1"/>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84" i="13"/>
  <c r="AR484" i="13"/>
  <c r="AS484" i="13"/>
  <c r="AT484" i="13"/>
  <c r="AQ485" i="13"/>
  <c r="AR485" i="13"/>
  <c r="AS485" i="13"/>
  <c r="AT485" i="13"/>
  <c r="AQ483" i="13"/>
  <c r="AS483" i="13"/>
  <c r="AT483" i="13"/>
  <c r="AR483"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C498" i="13"/>
  <c r="AC496" i="13"/>
  <c r="AC495" i="13"/>
  <c r="AC499" i="13"/>
  <c r="AC497" i="13"/>
  <c r="EC477" i="13" l="1" a="1"/>
  <c r="EC477" i="13" s="1"/>
  <c r="EC483" i="13" a="1"/>
  <c r="EC483" i="13" s="1"/>
  <c r="EC479" i="13" a="1"/>
  <c r="EC479" i="13" s="1"/>
  <c r="EC478" i="13" a="1"/>
  <c r="EC478" i="13" s="1"/>
  <c r="EC485" i="13" a="1"/>
  <c r="EC485" i="13" s="1"/>
  <c r="EC484" i="13" a="1"/>
  <c r="EC484" i="13" s="1"/>
  <c r="G557" i="12" l="1"/>
  <c r="L560" i="12" l="1"/>
  <c r="F557" i="12" l="1"/>
  <c r="L557" i="12" s="1"/>
  <c r="D557" i="12" l="1"/>
  <c r="J557" i="12" s="1"/>
  <c r="F544" i="12" l="1"/>
  <c r="L544" i="12" s="1"/>
  <c r="G544" i="12" l="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O387" i="12"/>
  <c r="AO392" i="12"/>
  <c r="AO388" i="12"/>
  <c r="AO386" i="12"/>
  <c r="AO391" i="12"/>
  <c r="AO378" i="12"/>
  <c r="AO385" i="12"/>
  <c r="AO390" i="12"/>
  <c r="C5" i="6" l="1"/>
  <c r="K68" i="2"/>
  <c r="K69" i="2"/>
  <c r="K67" i="2"/>
  <c r="A555" i="12"/>
  <c r="F555" i="12" l="1"/>
  <c r="AO555" i="12"/>
  <c r="O555" i="12"/>
  <c r="G555" i="12"/>
  <c r="H555" i="12"/>
  <c r="I555" i="12"/>
  <c r="E555" i="12" l="1"/>
  <c r="L555" i="12"/>
  <c r="D555" i="12"/>
  <c r="J555" i="12" s="1"/>
  <c r="EN491" i="13"/>
  <c r="AF491" i="13"/>
  <c r="AF490" i="13"/>
  <c r="DP489" i="13"/>
  <c r="CU489" i="13"/>
  <c r="AW491" i="13"/>
  <c r="HU491" i="13"/>
  <c r="CH491" i="13"/>
  <c r="AU491" i="13"/>
  <c r="DK489" i="13"/>
  <c r="CU491" i="13"/>
  <c r="FO491" i="13"/>
  <c r="BL490" i="13"/>
  <c r="EZ491" i="13"/>
  <c r="BU491" i="13"/>
  <c r="BV489" i="13"/>
  <c r="BC491" i="13"/>
  <c r="FZ491" i="13"/>
  <c r="BH489" i="13"/>
  <c r="BW490" i="13"/>
  <c r="AO491" i="13"/>
  <c r="CG491" i="13"/>
  <c r="FP491" i="13"/>
  <c r="HN491" i="13"/>
  <c r="AG489" i="13"/>
  <c r="GS491" i="13"/>
  <c r="CH490" i="13"/>
  <c r="DG491" i="13"/>
  <c r="GG491" i="13"/>
  <c r="BI490" i="13"/>
  <c r="DI490" i="13"/>
  <c r="BX489" i="13"/>
  <c r="GM491" i="13"/>
  <c r="BN490" i="13"/>
  <c r="FE491" i="13"/>
  <c r="CP489" i="13"/>
  <c r="FR491" i="13"/>
  <c r="AR489" i="13"/>
  <c r="DL489" i="13"/>
  <c r="BH490" i="13"/>
  <c r="CF489" i="13"/>
  <c r="BN491" i="13"/>
  <c r="DU489" i="13"/>
  <c r="BD491" i="13"/>
  <c r="BA489" i="13"/>
  <c r="DP490" i="13"/>
  <c r="BZ489" i="13"/>
  <c r="BM490" i="13"/>
  <c r="EU491" i="13"/>
  <c r="BG491" i="13"/>
  <c r="HD491" i="13"/>
  <c r="CZ490" i="13"/>
  <c r="CO490" i="13"/>
  <c r="IG491" i="13"/>
  <c r="FG491" i="13"/>
  <c r="AO490" i="13"/>
  <c r="BL491" i="13"/>
  <c r="BB491" i="13"/>
  <c r="FL491" i="13"/>
  <c r="GR491" i="13"/>
  <c r="DI491" i="13"/>
  <c r="CX491" i="13"/>
  <c r="II491" i="13"/>
  <c r="CJ490" i="13"/>
  <c r="AT490" i="13"/>
  <c r="BF490" i="13"/>
  <c r="HY491" i="13"/>
  <c r="DL491" i="13"/>
  <c r="BE490" i="13"/>
  <c r="DV491" i="13"/>
  <c r="HT491" i="13"/>
  <c r="IF491" i="13"/>
  <c r="DV490" i="13"/>
  <c r="BL489" i="13"/>
  <c r="AT489" i="13"/>
  <c r="CT490" i="13"/>
  <c r="ER491" i="13"/>
  <c r="AR491" i="13"/>
  <c r="AP490" i="13"/>
  <c r="FC491" i="13"/>
  <c r="GP491" i="13"/>
  <c r="AG491" i="13"/>
  <c r="BR489" i="13"/>
  <c r="DJ489" i="13"/>
  <c r="BU490" i="13"/>
  <c r="EA489" i="13"/>
  <c r="DS490" i="13"/>
  <c r="BD490" i="13"/>
  <c r="GL491" i="13"/>
  <c r="CZ489" i="13"/>
  <c r="IA491" i="13"/>
  <c r="EW491" i="13"/>
  <c r="EO491" i="13"/>
  <c r="CF490" i="13"/>
  <c r="EA491" i="13"/>
  <c r="CE491" i="13"/>
  <c r="CK491" i="13"/>
  <c r="DF491" i="13"/>
  <c r="DH491" i="13"/>
  <c r="FW491" i="13"/>
  <c r="DO489" i="13"/>
  <c r="DM490" i="13"/>
  <c r="FN491" i="13"/>
  <c r="HQ491" i="13"/>
  <c r="BK489" i="13"/>
  <c r="DI489" i="13"/>
  <c r="ET491" i="13"/>
  <c r="BE489" i="13"/>
  <c r="DW490" i="13"/>
  <c r="CT491" i="13"/>
  <c r="FF491" i="13"/>
  <c r="DS489" i="13"/>
  <c r="DC489" i="13"/>
  <c r="BJ491" i="13"/>
  <c r="AV489" i="13"/>
  <c r="AJ490" i="13"/>
  <c r="BT491" i="13"/>
  <c r="CB490" i="13"/>
  <c r="HE491" i="13"/>
  <c r="DX491" i="13"/>
  <c r="HV491" i="13"/>
  <c r="BU489" i="13"/>
  <c r="HX491" i="13"/>
  <c r="HP491" i="13"/>
  <c r="AG490" i="13"/>
  <c r="BG490" i="13"/>
  <c r="DB490" i="13"/>
  <c r="DT490" i="13"/>
  <c r="BS490" i="13"/>
  <c r="ES491" i="13"/>
  <c r="AJ491" i="13"/>
  <c r="DE489" i="13"/>
  <c r="CB491" i="13"/>
  <c r="BY490" i="13"/>
  <c r="CW490" i="13"/>
  <c r="DE491" i="13"/>
  <c r="BX491" i="13"/>
  <c r="DA489" i="13"/>
  <c r="CL489" i="13"/>
  <c r="BQ490" i="13"/>
  <c r="GI491" i="13"/>
  <c r="EY491" i="13"/>
  <c r="CI490" i="13"/>
  <c r="EP491" i="13"/>
  <c r="CD491" i="13"/>
  <c r="HB491" i="13"/>
  <c r="CZ491" i="13"/>
  <c r="FH491" i="13"/>
  <c r="HC491" i="13"/>
  <c r="BJ490" i="13"/>
  <c r="CO491" i="13"/>
  <c r="BW489" i="13"/>
  <c r="AO489" i="13"/>
  <c r="BP491" i="13"/>
  <c r="CV491" i="13"/>
  <c r="CO489" i="13"/>
  <c r="FD491" i="13"/>
  <c r="CN489" i="13"/>
  <c r="CA491" i="13"/>
  <c r="BZ491" i="13"/>
  <c r="CL491" i="13"/>
  <c r="AI490" i="13"/>
  <c r="BN489" i="13"/>
  <c r="HJ491" i="13"/>
  <c r="DX489" i="13"/>
  <c r="GN491" i="13"/>
  <c r="GD491" i="13"/>
  <c r="DN490" i="13"/>
  <c r="AU489" i="13"/>
  <c r="CK490" i="13"/>
  <c r="BG489" i="13"/>
  <c r="CN490" i="13"/>
  <c r="DO490" i="13"/>
  <c r="DR489" i="13"/>
  <c r="EQ491" i="13"/>
  <c r="FU491" i="13"/>
  <c r="AW489" i="13"/>
  <c r="DM491" i="13"/>
  <c r="CX489" i="13"/>
  <c r="ID491" i="13"/>
  <c r="CW491" i="13"/>
  <c r="CR490" i="13"/>
  <c r="AH491" i="13"/>
  <c r="GU491" i="13"/>
  <c r="AY490" i="13"/>
  <c r="AP489" i="13"/>
  <c r="GT491" i="13"/>
  <c r="GV491" i="13"/>
  <c r="DJ491" i="13"/>
  <c r="AI489" i="13"/>
  <c r="HI491" i="13"/>
  <c r="CD489" i="13"/>
  <c r="CM490" i="13"/>
  <c r="DF489" i="13"/>
  <c r="GC491" i="13"/>
  <c r="AL491" i="13"/>
  <c r="AT491" i="13"/>
  <c r="BX490" i="13"/>
  <c r="DG490" i="13"/>
  <c r="CY490" i="13"/>
  <c r="BT489" i="13"/>
  <c r="CI491" i="13"/>
  <c r="HW491" i="13"/>
  <c r="AZ491" i="13"/>
  <c r="IB491" i="13"/>
  <c r="CF491" i="13"/>
  <c r="BQ489" i="13"/>
  <c r="GF491" i="13"/>
  <c r="IE491" i="13"/>
  <c r="AY489" i="13"/>
  <c r="AR490" i="13"/>
  <c r="FS491" i="13"/>
  <c r="DD489" i="13"/>
  <c r="AY491" i="13"/>
  <c r="GJ491" i="13"/>
  <c r="AV491" i="13"/>
  <c r="DZ491" i="13"/>
  <c r="AL490" i="13"/>
  <c r="BA491" i="13"/>
  <c r="CK489" i="13"/>
  <c r="AX489" i="13"/>
  <c r="HA491" i="13"/>
  <c r="BS491" i="13"/>
  <c r="DT491" i="13"/>
  <c r="AV490" i="13"/>
  <c r="BY489" i="13"/>
  <c r="GA491" i="13"/>
  <c r="DZ490" i="13"/>
  <c r="CH489" i="13"/>
  <c r="AM489" i="13"/>
  <c r="GE491" i="13"/>
  <c r="BP490" i="13"/>
  <c r="CC491" i="13"/>
  <c r="DY490" i="13"/>
  <c r="FM491" i="13"/>
  <c r="CJ489" i="13"/>
  <c r="CM491" i="13"/>
  <c r="BR491" i="13"/>
  <c r="DK490" i="13"/>
  <c r="AH490" i="13"/>
  <c r="AW490" i="13"/>
  <c r="BT490" i="13"/>
  <c r="GK491" i="13"/>
  <c r="CP490" i="13"/>
  <c r="DR491" i="13"/>
  <c r="AS491" i="13"/>
  <c r="FT491" i="13"/>
  <c r="AN489" i="13"/>
  <c r="DW491" i="13"/>
  <c r="AZ490" i="13"/>
  <c r="HO491" i="13"/>
  <c r="FI491" i="13"/>
  <c r="HL491" i="13"/>
  <c r="DP491" i="13"/>
  <c r="CB489" i="13"/>
  <c r="HG491" i="13"/>
  <c r="EV491" i="13"/>
  <c r="BO490" i="13"/>
  <c r="CY491" i="13"/>
  <c r="CS490" i="13"/>
  <c r="CX490" i="13"/>
  <c r="CR491" i="13"/>
  <c r="DA491" i="13"/>
  <c r="AS489" i="13"/>
  <c r="AM491" i="13"/>
  <c r="HK491" i="13"/>
  <c r="DJ490" i="13"/>
  <c r="GQ491" i="13"/>
  <c r="CJ491" i="13"/>
  <c r="CC490" i="13"/>
  <c r="AH489" i="13"/>
  <c r="BD489" i="13"/>
  <c r="HS491" i="13"/>
  <c r="DU490" i="13"/>
  <c r="AS490" i="13"/>
  <c r="FX491" i="13"/>
  <c r="AK489" i="13"/>
  <c r="DH490" i="13"/>
  <c r="AX490" i="13"/>
  <c r="DB489" i="13"/>
  <c r="GZ491" i="13"/>
  <c r="CL490" i="13"/>
  <c r="CY489" i="13"/>
  <c r="BI489" i="13"/>
  <c r="GW491" i="13"/>
  <c r="AJ489" i="13"/>
  <c r="AX491" i="13"/>
  <c r="BC489" i="13"/>
  <c r="DC490" i="13"/>
  <c r="CS489" i="13"/>
  <c r="BK490" i="13"/>
  <c r="BP489" i="13"/>
  <c r="GH491" i="13"/>
  <c r="DN489" i="13"/>
  <c r="DD490" i="13"/>
  <c r="HR491" i="13"/>
  <c r="DT489" i="13"/>
  <c r="CQ490" i="13"/>
  <c r="CI489" i="13"/>
  <c r="BW491" i="13"/>
  <c r="AP491" i="13"/>
  <c r="AQ490" i="13"/>
  <c r="AQ491" i="13"/>
  <c r="BH491" i="13"/>
  <c r="BO489" i="13"/>
  <c r="BM491" i="13"/>
  <c r="HM491" i="13"/>
  <c r="BB490" i="13"/>
  <c r="FV491" i="13"/>
  <c r="HF491" i="13"/>
  <c r="HH491" i="13"/>
  <c r="CT489" i="13"/>
  <c r="BM489" i="13"/>
  <c r="BK491" i="13"/>
  <c r="BF489" i="13"/>
  <c r="AN490" i="13"/>
  <c r="BO491" i="13"/>
  <c r="GO491" i="13"/>
  <c r="GX491" i="13"/>
  <c r="DY489" i="13"/>
  <c r="BC490" i="13"/>
  <c r="BI491" i="13"/>
  <c r="DH489" i="13"/>
  <c r="CC489" i="13"/>
  <c r="DF490" i="13"/>
  <c r="BF491" i="13"/>
  <c r="CS491" i="13"/>
  <c r="FK491" i="13"/>
  <c r="AN491" i="13"/>
  <c r="CW489" i="13"/>
  <c r="DK491" i="13"/>
  <c r="CQ491" i="13"/>
  <c r="AL489" i="13"/>
  <c r="FB491" i="13"/>
  <c r="AK491" i="13"/>
  <c r="CP491" i="13"/>
  <c r="AU490" i="13"/>
  <c r="BV490" i="13"/>
  <c r="BE491" i="13"/>
  <c r="DA490" i="13"/>
  <c r="AM490" i="13"/>
  <c r="FQ491" i="13"/>
  <c r="CM489" i="13"/>
  <c r="AQ489" i="13"/>
  <c r="IH491" i="13"/>
  <c r="BQ491" i="13"/>
  <c r="BS489" i="13"/>
  <c r="DO491" i="13"/>
  <c r="FJ491" i="13"/>
  <c r="BA490" i="13"/>
  <c r="CR489" i="13"/>
  <c r="DC491" i="13"/>
  <c r="CN491" i="13"/>
  <c r="DR490" i="13"/>
  <c r="CQ489" i="13"/>
  <c r="DU491" i="13"/>
  <c r="CD490" i="13"/>
  <c r="DW489" i="13"/>
  <c r="CV490" i="13"/>
  <c r="CV489" i="13"/>
  <c r="BR490" i="13"/>
  <c r="DV489" i="13"/>
  <c r="CE489" i="13"/>
  <c r="DE490" i="13"/>
  <c r="FA491" i="13"/>
  <c r="DB491" i="13"/>
  <c r="CU490" i="13"/>
  <c r="GB491" i="13"/>
  <c r="CG490" i="13"/>
  <c r="EX491" i="13"/>
  <c r="BZ490" i="13"/>
  <c r="FY491" i="13"/>
  <c r="DN491" i="13"/>
  <c r="BY491" i="13"/>
  <c r="BV491" i="13"/>
  <c r="DX490" i="13"/>
  <c r="DQ489" i="13"/>
  <c r="DQ490" i="13"/>
  <c r="CG489" i="13"/>
  <c r="DL490" i="13"/>
  <c r="HZ491" i="13"/>
  <c r="CA490" i="13"/>
  <c r="AZ489" i="13"/>
  <c r="DD491" i="13"/>
  <c r="DY491" i="13"/>
  <c r="BJ489" i="13"/>
  <c r="DS491" i="13"/>
  <c r="CA489" i="13"/>
  <c r="DQ491" i="13"/>
  <c r="AI491" i="13"/>
  <c r="EA490" i="13"/>
  <c r="AK490" i="13"/>
  <c r="GY491" i="13"/>
  <c r="BB489" i="13"/>
  <c r="DZ489" i="13"/>
  <c r="IC491" i="13"/>
  <c r="DG489" i="13"/>
  <c r="DM489" i="13"/>
  <c r="CE490" i="13"/>
  <c r="AF489" i="13"/>
  <c r="IK491" i="13" l="1" a="1"/>
  <c r="IK491" i="13" s="1"/>
  <c r="EC489" i="13" a="1"/>
  <c r="EC489" i="13" s="1"/>
  <c r="EC491" i="13" a="1"/>
  <c r="EC491" i="13" s="1"/>
  <c r="EC490" i="13" a="1"/>
  <c r="EC490" i="13" s="1"/>
  <c r="EC474" i="13" l="1"/>
  <c r="ED489" i="13" s="1" a="1"/>
  <c r="ED489" i="13" s="1"/>
  <c r="ED484" i="13" l="1" a="1"/>
  <c r="ED484" i="13" s="1"/>
  <c r="ED478" i="13" a="1"/>
  <c r="ED478" i="13" s="1"/>
  <c r="ED483" i="13" a="1"/>
  <c r="ED483" i="13" s="1"/>
  <c r="ED477" i="13" a="1"/>
  <c r="ED477" i="13" s="1"/>
  <c r="ED485" i="13" a="1"/>
  <c r="ED485" i="13" s="1"/>
  <c r="ED491" i="13" a="1"/>
  <c r="ED491" i="13" s="1"/>
  <c r="ED479" i="13" a="1"/>
  <c r="ED479" i="13" s="1"/>
  <c r="ED490" i="13" a="1"/>
  <c r="ED490" i="13" s="1"/>
  <c r="ED474" i="13" l="1"/>
  <c r="EE485" i="13" s="1"/>
  <c r="GZ490" i="13"/>
  <c r="GA490" i="13"/>
  <c r="EQ489" i="13"/>
  <c r="FW489" i="13"/>
  <c r="GR489" i="13"/>
  <c r="GI490" i="13"/>
  <c r="FQ490" i="13"/>
  <c r="GV489" i="13"/>
  <c r="ID489" i="13"/>
  <c r="FL490" i="13"/>
  <c r="FB490" i="13"/>
  <c r="HS484" i="13"/>
  <c r="IH478" i="13"/>
  <c r="FE485" i="13"/>
  <c r="FF479" i="13"/>
  <c r="GU479" i="13"/>
  <c r="GR479" i="13"/>
  <c r="GS483" i="13"/>
  <c r="HZ479" i="13"/>
  <c r="HR484" i="13"/>
  <c r="HO485" i="13"/>
  <c r="FY478" i="13"/>
  <c r="GF483" i="13"/>
  <c r="FS483" i="13"/>
  <c r="HF478" i="13"/>
  <c r="HX483" i="13"/>
  <c r="FS485" i="13"/>
  <c r="GN477" i="13"/>
  <c r="GF485" i="13"/>
  <c r="HF477" i="13"/>
  <c r="GH477" i="13"/>
  <c r="IG485" i="13"/>
  <c r="FK479" i="13"/>
  <c r="HX479" i="13"/>
  <c r="HZ485" i="13"/>
  <c r="ID479" i="13"/>
  <c r="GL483" i="13"/>
  <c r="HI477" i="13"/>
  <c r="HO478" i="13"/>
  <c r="GJ483" i="13"/>
  <c r="HP483" i="13"/>
  <c r="HI483" i="13"/>
  <c r="GY490" i="13"/>
  <c r="FV490" i="13"/>
  <c r="FK490" i="13"/>
  <c r="GH490" i="13"/>
  <c r="FC489" i="13"/>
  <c r="EY490" i="13"/>
  <c r="GT489" i="13"/>
  <c r="FQ489" i="13"/>
  <c r="FN490" i="13"/>
  <c r="FS490" i="13"/>
  <c r="IE490" i="13"/>
  <c r="HA489" i="13"/>
  <c r="GR484" i="13"/>
  <c r="HX478" i="13"/>
  <c r="HH478" i="13"/>
  <c r="IC479" i="13"/>
  <c r="HO484" i="13"/>
  <c r="FI479" i="13"/>
  <c r="ER478" i="13"/>
  <c r="EU484" i="13"/>
  <c r="FU477" i="13"/>
  <c r="EN489" i="13"/>
  <c r="GD489" i="13"/>
  <c r="EX489" i="13"/>
  <c r="GA489" i="13"/>
  <c r="HU490" i="13"/>
  <c r="GF490" i="13"/>
  <c r="HL489" i="13"/>
  <c r="GV490" i="13"/>
  <c r="ET489" i="13"/>
  <c r="GG489" i="13"/>
  <c r="GJ489" i="13"/>
  <c r="EO490" i="13"/>
  <c r="GC490" i="13"/>
  <c r="HP485" i="13"/>
  <c r="GE477" i="13"/>
  <c r="IF477" i="13"/>
  <c r="GA484" i="13"/>
  <c r="GY477" i="13"/>
  <c r="FU479" i="13"/>
  <c r="HG477" i="13"/>
  <c r="GE484" i="13"/>
  <c r="IA484" i="13"/>
  <c r="IF485" i="13"/>
  <c r="GH485" i="13"/>
  <c r="HV485" i="13"/>
  <c r="FN484" i="13"/>
  <c r="GD479" i="13"/>
  <c r="FM479" i="13"/>
  <c r="ER479" i="13"/>
  <c r="GT485" i="13"/>
  <c r="GP484" i="13"/>
  <c r="HH479" i="13"/>
  <c r="GT484" i="13"/>
  <c r="ES484" i="13"/>
  <c r="FI484" i="13"/>
  <c r="FG484" i="13"/>
  <c r="GS478" i="13"/>
  <c r="HE478" i="13"/>
  <c r="GD485" i="13"/>
  <c r="GZ485" i="13"/>
  <c r="EZ485" i="13"/>
  <c r="FG483" i="13"/>
  <c r="FQ477" i="13"/>
  <c r="FO478" i="13"/>
  <c r="EN479" i="13"/>
  <c r="HV490" i="13"/>
  <c r="GU490" i="13"/>
  <c r="GI489" i="13"/>
  <c r="GB490" i="13"/>
  <c r="FP490" i="13"/>
  <c r="FV489" i="13"/>
  <c r="HI490" i="13"/>
  <c r="FG490" i="13"/>
  <c r="GT490" i="13"/>
  <c r="HL490" i="13"/>
  <c r="HC489" i="13"/>
  <c r="II490" i="13"/>
  <c r="GK490" i="13"/>
  <c r="GA483" i="13"/>
  <c r="FA483" i="13"/>
  <c r="GO477" i="13"/>
  <c r="FD483" i="13"/>
  <c r="EU483" i="13"/>
  <c r="FZ484" i="13"/>
  <c r="FE477" i="13"/>
  <c r="EV483" i="13"/>
  <c r="FW477" i="13"/>
  <c r="IC484" i="13"/>
  <c r="GZ484" i="13"/>
  <c r="EU479" i="13"/>
  <c r="FP483" i="13"/>
  <c r="IF484" i="13"/>
  <c r="HV484" i="13"/>
  <c r="HP479" i="13"/>
  <c r="HY485" i="13"/>
  <c r="EN490" i="13"/>
  <c r="IF490" i="13"/>
  <c r="HK490" i="13"/>
  <c r="IA490" i="13"/>
  <c r="GS489" i="13"/>
  <c r="HP489" i="13"/>
  <c r="HG490" i="13"/>
  <c r="HC490" i="13"/>
  <c r="FE490" i="13"/>
  <c r="HD489" i="13"/>
  <c r="HQ477" i="13"/>
  <c r="FS484" i="13"/>
  <c r="GF484" i="13"/>
  <c r="FX478" i="13"/>
  <c r="GJ479" i="13"/>
  <c r="FV479" i="13"/>
  <c r="HW485" i="13"/>
  <c r="GS485" i="13"/>
  <c r="GY485" i="13"/>
  <c r="FU483" i="13"/>
  <c r="FR479" i="13"/>
  <c r="GW483" i="13"/>
  <c r="GN484" i="13"/>
  <c r="GY483" i="13"/>
  <c r="HN483" i="13"/>
  <c r="FI478" i="13"/>
  <c r="GG485" i="13"/>
  <c r="FX479" i="13"/>
  <c r="GR478" i="13"/>
  <c r="FL484" i="13"/>
  <c r="FP478" i="13"/>
  <c r="IG477" i="13"/>
  <c r="HD483" i="13"/>
  <c r="EO478" i="13"/>
  <c r="HQ485" i="13"/>
  <c r="IC483" i="13"/>
  <c r="IH484" i="13"/>
  <c r="HX484" i="13"/>
  <c r="HL484" i="13"/>
  <c r="FF478" i="13"/>
  <c r="EP485" i="13"/>
  <c r="EX477" i="13"/>
  <c r="HJ484" i="13"/>
  <c r="GX479" i="13"/>
  <c r="GD484" i="13"/>
  <c r="EQ477" i="13"/>
  <c r="FR478" i="13"/>
  <c r="GX477" i="13"/>
  <c r="HM484" i="13"/>
  <c r="FN485" i="13"/>
  <c r="GR477" i="13"/>
  <c r="FC477" i="13"/>
  <c r="FY485" i="13"/>
  <c r="GO489" i="13"/>
  <c r="EP489" i="13"/>
  <c r="IB490" i="13"/>
  <c r="FJ490" i="13"/>
  <c r="IC490" i="13"/>
  <c r="HT490" i="13"/>
  <c r="HN490" i="13"/>
  <c r="FK489" i="13"/>
  <c r="HG489" i="13"/>
  <c r="EZ478" i="13"/>
  <c r="EY485" i="13"/>
  <c r="ET485" i="13"/>
  <c r="EP483" i="13"/>
  <c r="HA478" i="13"/>
  <c r="GN479" i="13"/>
  <c r="FM483" i="13"/>
  <c r="FR485" i="13"/>
  <c r="IB478" i="13"/>
  <c r="HI479" i="13"/>
  <c r="GL477" i="13"/>
  <c r="HZ484" i="13"/>
  <c r="HD485" i="13"/>
  <c r="HW477" i="13"/>
  <c r="HF479" i="13"/>
  <c r="GY478" i="13"/>
  <c r="HQ484" i="13"/>
  <c r="FV484" i="13"/>
  <c r="HG478" i="13"/>
  <c r="GU483" i="13"/>
  <c r="GJ485" i="13"/>
  <c r="IA483" i="13"/>
  <c r="HD477" i="13"/>
  <c r="HL483" i="13"/>
  <c r="HE483" i="13"/>
  <c r="HR479" i="13"/>
  <c r="EO484" i="13"/>
  <c r="EN483" i="13"/>
  <c r="FU490" i="13"/>
  <c r="GG490" i="13"/>
  <c r="HY489" i="13"/>
  <c r="FT489" i="13"/>
  <c r="HM489" i="13"/>
  <c r="EU489" i="13"/>
  <c r="FG489" i="13"/>
  <c r="IF489" i="13"/>
  <c r="GE489" i="13"/>
  <c r="HM485" i="13"/>
  <c r="FC483" i="13"/>
  <c r="GQ483" i="13"/>
  <c r="FY483" i="13"/>
  <c r="GK478" i="13"/>
  <c r="GK479" i="13"/>
  <c r="FD484" i="13"/>
  <c r="HY484" i="13"/>
  <c r="HP478" i="13"/>
  <c r="FN479" i="13"/>
  <c r="FH485" i="13"/>
  <c r="HF483" i="13"/>
  <c r="FW485" i="13"/>
  <c r="HC484" i="13"/>
  <c r="HE477" i="13"/>
  <c r="HO479" i="13"/>
  <c r="EZ483" i="13"/>
  <c r="IC478" i="13"/>
  <c r="HR478" i="13"/>
  <c r="HA477" i="13"/>
  <c r="GA477" i="13"/>
  <c r="GG483" i="13"/>
  <c r="HT479" i="13"/>
  <c r="IH485" i="13"/>
  <c r="HZ478" i="13"/>
  <c r="HS478" i="13"/>
  <c r="GA478" i="13"/>
  <c r="FQ483" i="13"/>
  <c r="FT479" i="13"/>
  <c r="FZ483" i="13"/>
  <c r="ET483" i="13"/>
  <c r="IE485" i="13"/>
  <c r="FT490" i="13"/>
  <c r="GD490" i="13"/>
  <c r="FY490" i="13"/>
  <c r="EW489" i="13"/>
  <c r="HU489" i="13"/>
  <c r="FL478" i="13"/>
  <c r="HM478" i="13"/>
  <c r="GZ477" i="13"/>
  <c r="EW478" i="13"/>
  <c r="GQ477" i="13"/>
  <c r="HK489" i="13"/>
  <c r="HE490" i="13"/>
  <c r="ES489" i="13"/>
  <c r="IC489" i="13"/>
  <c r="GX489" i="13"/>
  <c r="HR489" i="13"/>
  <c r="HF489" i="13"/>
  <c r="FH490" i="13"/>
  <c r="GW489" i="13"/>
  <c r="FE478" i="13"/>
  <c r="EV477" i="13"/>
  <c r="HI485" i="13"/>
  <c r="HY477" i="13"/>
  <c r="HN479" i="13"/>
  <c r="FT477" i="13"/>
  <c r="IA485" i="13"/>
  <c r="HC478" i="13"/>
  <c r="FS477" i="13"/>
  <c r="II484" i="13"/>
  <c r="HW483" i="13"/>
  <c r="GM485" i="13"/>
  <c r="GE483" i="13"/>
  <c r="GI484" i="13"/>
  <c r="HB478" i="13"/>
  <c r="HR485" i="13"/>
  <c r="FA484" i="13"/>
  <c r="EW479" i="13"/>
  <c r="HQ478" i="13"/>
  <c r="GU478" i="13"/>
  <c r="FN483" i="13"/>
  <c r="HK483" i="13"/>
  <c r="GQ479" i="13"/>
  <c r="GP477" i="13"/>
  <c r="FJ484" i="13"/>
  <c r="FJ483" i="13"/>
  <c r="FH477" i="13"/>
  <c r="HQ483" i="13"/>
  <c r="FW484" i="13"/>
  <c r="EZ479" i="13"/>
  <c r="FR477" i="13"/>
  <c r="FP477" i="13"/>
  <c r="HD490" i="13"/>
  <c r="HY490" i="13"/>
  <c r="HW489" i="13"/>
  <c r="FP489" i="13"/>
  <c r="HF484" i="13"/>
  <c r="GA485" i="13"/>
  <c r="FF477" i="13"/>
  <c r="IG490" i="13"/>
  <c r="FW490" i="13"/>
  <c r="HQ489" i="13"/>
  <c r="HV489" i="13"/>
  <c r="HO490" i="13"/>
  <c r="II489" i="13"/>
  <c r="FJ489" i="13"/>
  <c r="IH489" i="13"/>
  <c r="GM489" i="13"/>
  <c r="FD479" i="13"/>
  <c r="HS477" i="13"/>
  <c r="GM478" i="13"/>
  <c r="HN485" i="13"/>
  <c r="FC479" i="13"/>
  <c r="HQ479" i="13"/>
  <c r="GT478" i="13"/>
  <c r="FP485" i="13"/>
  <c r="ES483" i="13"/>
  <c r="HW478" i="13"/>
  <c r="HS485" i="13"/>
  <c r="HP477" i="13"/>
  <c r="ET484" i="13"/>
  <c r="EX484" i="13"/>
  <c r="FY479" i="13"/>
  <c r="FK477" i="13"/>
  <c r="HU479" i="13"/>
  <c r="IG478" i="13"/>
  <c r="GI485" i="13"/>
  <c r="FQ479" i="13"/>
  <c r="HX477" i="13"/>
  <c r="GH484" i="13"/>
  <c r="HN484" i="13"/>
  <c r="GL479" i="13"/>
  <c r="FH478" i="13"/>
  <c r="EU485" i="13"/>
  <c r="FT478" i="13"/>
  <c r="HD484" i="13"/>
  <c r="HZ483" i="13"/>
  <c r="FP484" i="13"/>
  <c r="FM477" i="13"/>
  <c r="FO477" i="13"/>
  <c r="HT483" i="13"/>
  <c r="EX478" i="13"/>
  <c r="ER484" i="13"/>
  <c r="HE484" i="13"/>
  <c r="GE478" i="13"/>
  <c r="FA485" i="13"/>
  <c r="GT479" i="13"/>
  <c r="FT484" i="13"/>
  <c r="EQ478" i="13"/>
  <c r="GI477" i="13"/>
  <c r="GZ483" i="13"/>
  <c r="IA478" i="13"/>
  <c r="FW478" i="13"/>
  <c r="FQ485" i="13"/>
  <c r="IG489" i="13"/>
  <c r="EO489" i="13"/>
  <c r="FZ489" i="13"/>
  <c r="FD489" i="13"/>
  <c r="FM489" i="13"/>
  <c r="GF489" i="13"/>
  <c r="HJ489" i="13"/>
  <c r="HT489" i="13"/>
  <c r="EZ489" i="13"/>
  <c r="FD478" i="13"/>
  <c r="HT484" i="13"/>
  <c r="FB479" i="13"/>
  <c r="EU477" i="13"/>
  <c r="II485" i="13"/>
  <c r="FN477" i="13"/>
  <c r="FO484" i="13"/>
  <c r="HT478" i="13"/>
  <c r="FC478" i="13"/>
  <c r="IC485" i="13"/>
  <c r="HV477" i="13"/>
  <c r="EP478" i="13"/>
  <c r="GJ478" i="13"/>
  <c r="FG477" i="13"/>
  <c r="HM483" i="13"/>
  <c r="FA490" i="13"/>
  <c r="GP490" i="13"/>
  <c r="HH489" i="13"/>
  <c r="HS490" i="13"/>
  <c r="HE489" i="13"/>
  <c r="FN489" i="13"/>
  <c r="GN490" i="13"/>
  <c r="GC489" i="13"/>
  <c r="HX489" i="13"/>
  <c r="ES479" i="13"/>
  <c r="HT477" i="13"/>
  <c r="FG485" i="13"/>
  <c r="IA477" i="13"/>
  <c r="ID484" i="13"/>
  <c r="HJ485" i="13"/>
  <c r="EQ484" i="13"/>
  <c r="EY478" i="13"/>
  <c r="GA479" i="13"/>
  <c r="FX485" i="13"/>
  <c r="IB484" i="13"/>
  <c r="FE479" i="13"/>
  <c r="FK485" i="13"/>
  <c r="IE477" i="13"/>
  <c r="FX484" i="13"/>
  <c r="GP483" i="13"/>
  <c r="FM484" i="13"/>
  <c r="ID483" i="13"/>
  <c r="FW479" i="13"/>
  <c r="HX485" i="13"/>
  <c r="FU485" i="13"/>
  <c r="EY479" i="13"/>
  <c r="II483" i="13"/>
  <c r="GH479" i="13"/>
  <c r="FX490" i="13"/>
  <c r="GS490" i="13"/>
  <c r="FB489" i="13"/>
  <c r="HX490" i="13"/>
  <c r="HJ490" i="13"/>
  <c r="ID490" i="13"/>
  <c r="GB489" i="13"/>
  <c r="GH489" i="13"/>
  <c r="FD490" i="13"/>
  <c r="IB477" i="13"/>
  <c r="GW477" i="13"/>
  <c r="EV478" i="13"/>
  <c r="IE483" i="13"/>
  <c r="ES485" i="13"/>
  <c r="FK478" i="13"/>
  <c r="EW483" i="13"/>
  <c r="FA479" i="13"/>
  <c r="GW485" i="13"/>
  <c r="HA479" i="13"/>
  <c r="IG484" i="13"/>
  <c r="HL479" i="13"/>
  <c r="GZ478" i="13"/>
  <c r="FL483" i="13"/>
  <c r="EV485" i="13"/>
  <c r="ET478" i="13"/>
  <c r="GX485" i="13"/>
  <c r="HU477" i="13"/>
  <c r="FE483" i="13"/>
  <c r="FF485" i="13"/>
  <c r="FL485" i="13"/>
  <c r="GF479" i="13"/>
  <c r="IG479" i="13"/>
  <c r="GB483" i="13"/>
  <c r="GO485" i="13"/>
  <c r="FO485" i="13"/>
  <c r="ET479" i="13"/>
  <c r="GD483" i="13"/>
  <c r="GR485" i="13"/>
  <c r="HO483" i="13"/>
  <c r="FK484" i="13"/>
  <c r="IF479" i="13"/>
  <c r="EP479" i="13"/>
  <c r="HK478" i="13"/>
  <c r="GV483" i="13"/>
  <c r="FU484" i="13"/>
  <c r="HV479" i="13"/>
  <c r="EZ477" i="13"/>
  <c r="II477" i="13"/>
  <c r="HP484" i="13"/>
  <c r="EX485" i="13"/>
  <c r="GD478" i="13"/>
  <c r="GU484" i="13"/>
  <c r="IE489" i="13"/>
  <c r="GQ489" i="13"/>
  <c r="IA489" i="13"/>
  <c r="GN489" i="13"/>
  <c r="GL489" i="13"/>
  <c r="GJ490" i="13"/>
  <c r="HA490" i="13"/>
  <c r="ER490" i="13"/>
  <c r="GM490" i="13"/>
  <c r="FV478" i="13"/>
  <c r="FQ484" i="13"/>
  <c r="HG483" i="13"/>
  <c r="FH484" i="13"/>
  <c r="HA483" i="13"/>
  <c r="HM479" i="13"/>
  <c r="GV485" i="13"/>
  <c r="HK477" i="13"/>
  <c r="GY479" i="13"/>
  <c r="GU485" i="13"/>
  <c r="GM484" i="13"/>
  <c r="EX479" i="13"/>
  <c r="GM477" i="13"/>
  <c r="HD478" i="13"/>
  <c r="HV483" i="13"/>
  <c r="GV479" i="13"/>
  <c r="EW485" i="13"/>
  <c r="HH485" i="13"/>
  <c r="HB485" i="13"/>
  <c r="HU483" i="13"/>
  <c r="HV478" i="13"/>
  <c r="IE484" i="13"/>
  <c r="IB485" i="13"/>
  <c r="GF478" i="13"/>
  <c r="EX483" i="13"/>
  <c r="EN484" i="13"/>
  <c r="HB490" i="13"/>
  <c r="IB489" i="13"/>
  <c r="EZ490" i="13"/>
  <c r="EV489" i="13"/>
  <c r="EX490" i="13"/>
  <c r="EW490" i="13"/>
  <c r="FX489" i="13"/>
  <c r="FO489" i="13"/>
  <c r="HB489" i="13"/>
  <c r="FH489" i="13"/>
  <c r="HJ483" i="13"/>
  <c r="GV478" i="13"/>
  <c r="GS479" i="13"/>
  <c r="EQ479" i="13"/>
  <c r="FH483" i="13"/>
  <c r="ID485" i="13"/>
  <c r="EZ484" i="13"/>
  <c r="GB485" i="13"/>
  <c r="GK485" i="13"/>
  <c r="HB484" i="13"/>
  <c r="GX478" i="13"/>
  <c r="HI478" i="13"/>
  <c r="HN477" i="13"/>
  <c r="FK483" i="13"/>
  <c r="FT485" i="13"/>
  <c r="GP479" i="13"/>
  <c r="EO477" i="13"/>
  <c r="IH477" i="13"/>
  <c r="ER485" i="13"/>
  <c r="HM477" i="13"/>
  <c r="HT485" i="13"/>
  <c r="GQ484" i="13"/>
  <c r="HJ477" i="13"/>
  <c r="HH483" i="13"/>
  <c r="GG477" i="13"/>
  <c r="EU478" i="13"/>
  <c r="GG479" i="13"/>
  <c r="GZ489" i="13"/>
  <c r="ER489" i="13"/>
  <c r="IH490" i="13"/>
  <c r="FA489" i="13"/>
  <c r="HZ489" i="13"/>
  <c r="FL489" i="13"/>
  <c r="HH490" i="13"/>
  <c r="GW490" i="13"/>
  <c r="EV490" i="13"/>
  <c r="FR490" i="13"/>
  <c r="FX483" i="13"/>
  <c r="FJ477" i="13"/>
  <c r="GX484" i="13"/>
  <c r="HE485" i="13"/>
  <c r="HS479" i="13"/>
  <c r="GE479" i="13"/>
  <c r="FT483" i="13"/>
  <c r="FD485" i="13"/>
  <c r="HG479" i="13"/>
  <c r="HC485" i="13"/>
  <c r="HU484" i="13"/>
  <c r="GB478" i="13"/>
  <c r="ER483" i="13"/>
  <c r="FL477" i="13"/>
  <c r="FI483" i="13"/>
  <c r="ID478" i="13"/>
  <c r="FF483" i="13"/>
  <c r="GE485" i="13"/>
  <c r="GN478" i="13"/>
  <c r="GX483" i="13"/>
  <c r="GY484" i="13"/>
  <c r="HG484" i="13"/>
  <c r="GB484" i="13"/>
  <c r="GK477" i="13"/>
  <c r="GU477" i="13"/>
  <c r="FB477" i="13"/>
  <c r="GO478" i="13"/>
  <c r="HE479" i="13"/>
  <c r="FR484" i="13"/>
  <c r="IF483" i="13"/>
  <c r="GJ477" i="13"/>
  <c r="IE479" i="13"/>
  <c r="GI483" i="13"/>
  <c r="HR477" i="13"/>
  <c r="HC477" i="13"/>
  <c r="FO479" i="13"/>
  <c r="FF484" i="13"/>
  <c r="GH483" i="13"/>
  <c r="IE478" i="13"/>
  <c r="ER477" i="13"/>
  <c r="IB479" i="13"/>
  <c r="HI484" i="13"/>
  <c r="GK489" i="13"/>
  <c r="GO490" i="13"/>
  <c r="FE489" i="13"/>
  <c r="FF489" i="13"/>
  <c r="GP489" i="13"/>
  <c r="GQ490" i="13"/>
  <c r="GY489" i="13"/>
  <c r="GL490" i="13"/>
  <c r="GE490" i="13"/>
  <c r="FC490" i="13"/>
  <c r="HK484" i="13"/>
  <c r="FG479" i="13"/>
  <c r="FB483" i="13"/>
  <c r="GB477" i="13"/>
  <c r="GO484" i="13"/>
  <c r="HL485" i="13"/>
  <c r="HL478" i="13"/>
  <c r="HU485" i="13"/>
  <c r="GP478" i="13"/>
  <c r="EO483" i="13"/>
  <c r="GG478" i="13"/>
  <c r="GJ484" i="13"/>
  <c r="GP485" i="13"/>
  <c r="GR483" i="13"/>
  <c r="HB483" i="13"/>
  <c r="GL484" i="13"/>
  <c r="GI479" i="13"/>
  <c r="GS477" i="13"/>
  <c r="HN478" i="13"/>
  <c r="EN485" i="13"/>
  <c r="HQ490" i="13"/>
  <c r="FO490" i="13"/>
  <c r="HO489" i="13"/>
  <c r="FR489" i="13"/>
  <c r="HI489" i="13"/>
  <c r="EU490" i="13"/>
  <c r="HP490" i="13"/>
  <c r="ES490" i="13"/>
  <c r="HZ490" i="13"/>
  <c r="HS489" i="13"/>
  <c r="FB484" i="13"/>
  <c r="GM479" i="13"/>
  <c r="ET477" i="13"/>
  <c r="FP479" i="13"/>
  <c r="EY483" i="13"/>
  <c r="GD477" i="13"/>
  <c r="GO479" i="13"/>
  <c r="FH479" i="13"/>
  <c r="GG484" i="13"/>
  <c r="IG483" i="13"/>
  <c r="ES478" i="13"/>
  <c r="FA478" i="13"/>
  <c r="EW477" i="13"/>
  <c r="GT483" i="13"/>
  <c r="FO483" i="13"/>
  <c r="ES477" i="13"/>
  <c r="GW479" i="13"/>
  <c r="FA477" i="13"/>
  <c r="IF478" i="13"/>
  <c r="EV479" i="13"/>
  <c r="EQ485" i="13"/>
  <c r="FJ479" i="13"/>
  <c r="HU478" i="13"/>
  <c r="GC485" i="13"/>
  <c r="HL477" i="13"/>
  <c r="HY479" i="13"/>
  <c r="EP490" i="13"/>
  <c r="FC484" i="13"/>
  <c r="HK479" i="13"/>
  <c r="II479" i="13"/>
  <c r="FC485" i="13"/>
  <c r="GC478" i="13"/>
  <c r="FV483" i="13"/>
  <c r="FU478" i="13"/>
  <c r="FU489" i="13"/>
  <c r="HM490" i="13"/>
  <c r="FS479" i="13"/>
  <c r="FI485" i="13"/>
  <c r="HB477" i="13"/>
  <c r="HK485" i="13"/>
  <c r="EV484" i="13"/>
  <c r="GC483" i="13"/>
  <c r="HO477" i="13"/>
  <c r="FJ485" i="13"/>
  <c r="FE484" i="13"/>
  <c r="GR490" i="13"/>
  <c r="GK484" i="13"/>
  <c r="FM478" i="13"/>
  <c r="IA479" i="13"/>
  <c r="IH479" i="13"/>
  <c r="EY477" i="13"/>
  <c r="HH477" i="13"/>
  <c r="GM483" i="13"/>
  <c r="GN485" i="13"/>
  <c r="FB485" i="13"/>
  <c r="EO479" i="13"/>
  <c r="GW484" i="13"/>
  <c r="FY477" i="13"/>
  <c r="EP484" i="13"/>
  <c r="FI490" i="13"/>
  <c r="FQ478" i="13"/>
  <c r="GQ485" i="13"/>
  <c r="GC477" i="13"/>
  <c r="HH484" i="13"/>
  <c r="EY484" i="13"/>
  <c r="FS478" i="13"/>
  <c r="GO483" i="13"/>
  <c r="GZ479" i="13"/>
  <c r="EY489" i="13"/>
  <c r="HC479" i="13"/>
  <c r="ET490" i="13"/>
  <c r="FZ479" i="13"/>
  <c r="FY484" i="13"/>
  <c r="FI489" i="13"/>
  <c r="HJ478" i="13"/>
  <c r="EO485" i="13"/>
  <c r="HB479" i="13"/>
  <c r="FD477" i="13"/>
  <c r="HD479" i="13"/>
  <c r="HR483" i="13"/>
  <c r="II478" i="13"/>
  <c r="HA485" i="13"/>
  <c r="HF485" i="13"/>
  <c r="HS483" i="13"/>
  <c r="FS489" i="13"/>
  <c r="FZ485" i="13"/>
  <c r="IB483" i="13"/>
  <c r="IC477" i="13"/>
  <c r="FZ477" i="13"/>
  <c r="FR483" i="13"/>
  <c r="GW478" i="13"/>
  <c r="HZ477" i="13"/>
  <c r="HY483" i="13"/>
  <c r="FW483" i="13"/>
  <c r="FM490" i="13"/>
  <c r="GF477" i="13"/>
  <c r="FX477" i="13"/>
  <c r="HW490" i="13"/>
  <c r="ID477" i="13"/>
  <c r="GS484" i="13"/>
  <c r="GV484" i="13"/>
  <c r="EP477" i="13"/>
  <c r="HJ479" i="13"/>
  <c r="FB478" i="13"/>
  <c r="EQ490" i="13"/>
  <c r="FN478" i="13"/>
  <c r="GC484" i="13"/>
  <c r="FG478" i="13"/>
  <c r="GU489" i="13"/>
  <c r="GC479" i="13"/>
  <c r="GH478" i="13"/>
  <c r="HW479" i="13"/>
  <c r="GQ478" i="13"/>
  <c r="GK483" i="13"/>
  <c r="FJ478" i="13"/>
  <c r="GV477" i="13"/>
  <c r="GT477" i="13"/>
  <c r="GN483" i="13"/>
  <c r="HA484" i="13"/>
  <c r="GX490" i="13"/>
  <c r="GL478" i="13"/>
  <c r="HC483" i="13"/>
  <c r="GB479" i="13"/>
  <c r="HG485" i="13"/>
  <c r="GI478" i="13"/>
  <c r="GL485" i="13"/>
  <c r="FV477" i="13"/>
  <c r="HY478" i="13"/>
  <c r="FY489" i="13"/>
  <c r="FM485" i="13"/>
  <c r="FL479" i="13"/>
  <c r="HR490" i="13"/>
  <c r="HN489" i="13"/>
  <c r="EQ483" i="13"/>
  <c r="FZ478" i="13"/>
  <c r="IH483" i="13"/>
  <c r="HW484" i="13"/>
  <c r="FV485" i="13"/>
  <c r="EW484" i="13"/>
  <c r="FZ490" i="13"/>
  <c r="FI477" i="13"/>
  <c r="EE477" i="13"/>
  <c r="FF490" i="13" l="1"/>
  <c r="HF490" i="13"/>
  <c r="EN478" i="13"/>
  <c r="EN477" i="13"/>
  <c r="IK477" i="13" s="1" a="1"/>
  <c r="IK477" i="13" s="1"/>
  <c r="EE491" i="13"/>
  <c r="EE490" i="13"/>
  <c r="EE478" i="13"/>
  <c r="EE489" i="13"/>
  <c r="EE479" i="13"/>
  <c r="EE483" i="13"/>
  <c r="EE484" i="13"/>
  <c r="IK485" i="13" a="1"/>
  <c r="IK485" i="13" s="1"/>
  <c r="IK483" i="13" a="1"/>
  <c r="IK483" i="13" s="1"/>
  <c r="IK489" i="13" a="1"/>
  <c r="IK489" i="13" s="1"/>
  <c r="IK484" i="13" a="1"/>
  <c r="IK484" i="13" s="1"/>
  <c r="IK478" i="13" a="1"/>
  <c r="IK478" i="13" s="1"/>
  <c r="IK479" i="13" a="1"/>
  <c r="IK479" i="13" s="1"/>
  <c r="IK490" i="13" a="1"/>
  <c r="IK490" i="13" s="1"/>
  <c r="EE474" i="13" l="1"/>
  <c r="EG474" i="13"/>
  <c r="IK474" i="13"/>
  <c r="EF474" i="13" l="1"/>
  <c r="EH474" i="13" s="1"/>
  <c r="IL484" i="13" a="1"/>
  <c r="IL484" i="13" s="1"/>
  <c r="IL479" i="13" a="1"/>
  <c r="IL479" i="13" s="1"/>
  <c r="IL485" i="13" a="1"/>
  <c r="IL485" i="13" s="1"/>
  <c r="IL490" i="13" a="1"/>
  <c r="IL490" i="13" s="1"/>
  <c r="IL483" i="13" a="1"/>
  <c r="IL483" i="13" s="1"/>
  <c r="IL489" i="13" a="1"/>
  <c r="IL489" i="13" s="1"/>
  <c r="IL491" i="13" a="1"/>
  <c r="IL491" i="13" s="1"/>
  <c r="IL477" i="13" a="1"/>
  <c r="IL477" i="13" s="1"/>
  <c r="IL478" i="13" a="1"/>
  <c r="IL478" i="13" s="1"/>
  <c r="IL474" i="13" l="1"/>
  <c r="E25" i="6" s="1"/>
  <c r="IM484" i="13" l="1"/>
  <c r="IM479" i="13"/>
  <c r="IM485" i="13"/>
  <c r="IM490" i="13"/>
  <c r="IM489" i="13"/>
  <c r="IM477" i="13"/>
  <c r="IM483" i="13"/>
  <c r="IM491" i="13"/>
  <c r="IM478" i="13"/>
  <c r="IM474" i="13" l="1"/>
  <c r="IO474" i="13"/>
  <c r="L1" i="12" l="1"/>
  <c r="A494" i="12" s="1"/>
  <c r="A337" i="12"/>
  <c r="A335" i="12"/>
  <c r="A336" i="12"/>
  <c r="E23" i="20"/>
  <c r="AC493" i="13" s="1"/>
  <c r="IN474" i="13"/>
  <c r="IP474" i="13" s="1"/>
  <c r="A263" i="12" s="1"/>
  <c r="A270" i="12" l="1"/>
  <c r="N1" i="12"/>
  <c r="AD493" i="13"/>
  <c r="A281" i="12"/>
  <c r="AO281" i="12" s="1"/>
  <c r="A260" i="12"/>
  <c r="A274" i="12"/>
  <c r="A261" i="12"/>
  <c r="A277" i="12"/>
  <c r="A265" i="12"/>
  <c r="A279" i="12"/>
  <c r="A262" i="12"/>
  <c r="A272" i="12"/>
  <c r="A264" i="12"/>
  <c r="A268" i="12"/>
  <c r="G23" i="20"/>
  <c r="G27" i="20" s="1"/>
  <c r="H23" i="20"/>
  <c r="H27" i="20" s="1"/>
  <c r="E27" i="20"/>
  <c r="F23" i="20"/>
  <c r="F27" i="20" s="1"/>
  <c r="O336" i="12"/>
  <c r="AO336" i="12"/>
  <c r="O494" i="12"/>
  <c r="AO494" i="12"/>
  <c r="AO337" i="12"/>
  <c r="O337" i="12"/>
  <c r="AO335" i="12"/>
  <c r="O335" i="12"/>
  <c r="O281" i="12" l="1"/>
  <c r="AC478" i="13"/>
  <c r="AC477" i="13"/>
  <c r="AC489" i="13"/>
  <c r="AC485" i="13"/>
  <c r="AC491" i="13"/>
  <c r="AC479" i="13"/>
  <c r="AC483" i="13"/>
  <c r="AC484" i="13"/>
  <c r="AC490" i="13"/>
  <c r="L104" i="20"/>
  <c r="K104" i="20"/>
  <c r="AO265" i="12"/>
  <c r="O265" i="12"/>
  <c r="AO272" i="12"/>
  <c r="O272" i="12"/>
  <c r="AO270" i="12"/>
  <c r="O270" i="12"/>
  <c r="AO274" i="12"/>
  <c r="O274" i="12"/>
  <c r="O264" i="12"/>
  <c r="AO264" i="12"/>
  <c r="O260" i="12"/>
  <c r="A370" i="12"/>
  <c r="AO260" i="12"/>
  <c r="A411" i="12"/>
  <c r="E9" i="20"/>
  <c r="O262" i="12"/>
  <c r="AO262" i="12"/>
  <c r="O277" i="12"/>
  <c r="AO277" i="12"/>
  <c r="F35" i="20"/>
  <c r="F29" i="20"/>
  <c r="F80" i="20" a="1"/>
  <c r="F80" i="20" s="1"/>
  <c r="F76" i="20" a="1"/>
  <c r="F76" i="20" s="1"/>
  <c r="F77" i="20" a="1"/>
  <c r="F77" i="20" s="1"/>
  <c r="O268" i="12"/>
  <c r="AO268" i="12"/>
  <c r="O261" i="12"/>
  <c r="AO261" i="12"/>
  <c r="O279" i="12"/>
  <c r="AO279" i="12"/>
  <c r="O263" i="12"/>
  <c r="AO263" i="12"/>
  <c r="E80" i="20" a="1"/>
  <c r="E80" i="20" s="1"/>
  <c r="E76" i="20" a="1"/>
  <c r="E76" i="20" s="1"/>
  <c r="E29" i="20"/>
  <c r="E77" i="20" a="1"/>
  <c r="E77" i="20" s="1"/>
  <c r="E35" i="20"/>
  <c r="H77" i="20" a="1"/>
  <c r="H77" i="20" s="1"/>
  <c r="H76" i="20" a="1"/>
  <c r="H76" i="20" s="1"/>
  <c r="H80" i="20" a="1"/>
  <c r="H80" i="20" s="1"/>
  <c r="H35" i="20"/>
  <c r="H29" i="20"/>
  <c r="G77" i="20" a="1"/>
  <c r="G77" i="20" s="1"/>
  <c r="G80" i="20" a="1"/>
  <c r="G80" i="20" s="1"/>
  <c r="G29" i="20"/>
  <c r="G76" i="20" a="1"/>
  <c r="G76" i="20" s="1"/>
  <c r="G35" i="20"/>
  <c r="AD491" i="13" l="1"/>
  <c r="AE491" i="13" s="1"/>
  <c r="AD490" i="13" s="1"/>
  <c r="AE490" i="13" s="1"/>
  <c r="AD489" i="13" s="1"/>
  <c r="AD485" i="13" s="1"/>
  <c r="AE485" i="13" s="1"/>
  <c r="G101" i="20"/>
  <c r="G79" i="20"/>
  <c r="G34" i="20"/>
  <c r="G75" i="20" a="1"/>
  <c r="G75" i="20" s="1"/>
  <c r="G78" i="20" s="1"/>
  <c r="G100" i="20"/>
  <c r="G103" i="20"/>
  <c r="G102" i="20"/>
  <c r="G33" i="20"/>
  <c r="G99" i="20"/>
  <c r="G98" i="20"/>
  <c r="G9" i="20"/>
  <c r="G11" i="20" s="1"/>
  <c r="G13" i="20" s="1"/>
  <c r="F9" i="20"/>
  <c r="F11" i="20" s="1"/>
  <c r="F13" i="20" s="1"/>
  <c r="H9" i="20"/>
  <c r="H11" i="20" s="1"/>
  <c r="H13" i="20" s="1"/>
  <c r="E11" i="20"/>
  <c r="E13" i="20" s="1"/>
  <c r="O411" i="12"/>
  <c r="AO411" i="12"/>
  <c r="H79" i="20"/>
  <c r="H99" i="20"/>
  <c r="H75" i="20" a="1"/>
  <c r="H75" i="20" s="1"/>
  <c r="H78" i="20" s="1"/>
  <c r="H103" i="20"/>
  <c r="H101" i="20"/>
  <c r="H34" i="20"/>
  <c r="H98" i="20"/>
  <c r="H100" i="20"/>
  <c r="H33" i="20"/>
  <c r="H102" i="20"/>
  <c r="AO370" i="12"/>
  <c r="O370" i="12"/>
  <c r="E75" i="20" a="1"/>
  <c r="E75" i="20" s="1"/>
  <c r="E78" i="20" s="1"/>
  <c r="E98" i="20"/>
  <c r="E79" i="20"/>
  <c r="E101" i="20"/>
  <c r="E103" i="20"/>
  <c r="E33" i="20"/>
  <c r="E34" i="20"/>
  <c r="E100" i="20"/>
  <c r="E99" i="20"/>
  <c r="E102" i="20"/>
  <c r="F98" i="20"/>
  <c r="F33" i="20"/>
  <c r="F102" i="20"/>
  <c r="F99" i="20"/>
  <c r="F103" i="20"/>
  <c r="F75" i="20" a="1"/>
  <c r="F75" i="20" s="1"/>
  <c r="F78" i="20" s="1"/>
  <c r="F34" i="20"/>
  <c r="F79" i="20"/>
  <c r="F101" i="20"/>
  <c r="F100" i="20"/>
  <c r="AE489" i="13" l="1"/>
  <c r="AD484" i="13"/>
  <c r="AE484" i="13" s="1"/>
  <c r="AD483" i="13" s="1"/>
  <c r="AE483" i="13" s="1"/>
  <c r="H31" i="20"/>
  <c r="E85" i="20"/>
  <c r="E89" i="20" s="1"/>
  <c r="E45" i="20"/>
  <c r="E94" i="20"/>
  <c r="E81" i="20" s="1" a="1"/>
  <c r="E81" i="20" s="1"/>
  <c r="E95" i="20" s="1"/>
  <c r="G45" i="20"/>
  <c r="G85" i="20"/>
  <c r="G89" i="20" s="1"/>
  <c r="G94" i="20"/>
  <c r="F45" i="20"/>
  <c r="F85" i="20"/>
  <c r="F89" i="20" s="1"/>
  <c r="F94" i="20"/>
  <c r="H85" i="20"/>
  <c r="H89" i="20" s="1"/>
  <c r="H45" i="20"/>
  <c r="H94" i="20"/>
  <c r="F31" i="20"/>
  <c r="E31" i="20"/>
  <c r="E41" i="20"/>
  <c r="E15" i="20"/>
  <c r="E17" i="20" s="1"/>
  <c r="E39" i="20" s="1"/>
  <c r="H15" i="20"/>
  <c r="H17" i="20" s="1"/>
  <c r="H39" i="20" s="1"/>
  <c r="H41" i="20"/>
  <c r="F41" i="20"/>
  <c r="F15" i="20"/>
  <c r="F17" i="20" s="1"/>
  <c r="F39" i="20" s="1"/>
  <c r="G15" i="20"/>
  <c r="G17" i="20" s="1"/>
  <c r="G39" i="20" s="1"/>
  <c r="G41" i="20"/>
  <c r="G31" i="20"/>
  <c r="AD479" i="13" l="1"/>
  <c r="AE479" i="13" s="1"/>
  <c r="H48" i="20"/>
  <c r="H47" i="20"/>
  <c r="G43" i="20"/>
  <c r="H43" i="20"/>
  <c r="G81" i="20" a="1"/>
  <c r="G81" i="20" s="1"/>
  <c r="G95" i="20" s="1"/>
  <c r="E82" i="20" a="1"/>
  <c r="E82" i="20" s="1"/>
  <c r="E96" i="20" s="1"/>
  <c r="E83" i="20" s="1" a="1"/>
  <c r="E83" i="20" s="1"/>
  <c r="E43" i="20"/>
  <c r="F43" i="20"/>
  <c r="F47" i="20"/>
  <c r="F48" i="20"/>
  <c r="G48" i="20"/>
  <c r="G47" i="20"/>
  <c r="E48" i="20"/>
  <c r="E47" i="20"/>
  <c r="H81" i="20" a="1"/>
  <c r="H81" i="20" s="1"/>
  <c r="H95" i="20" s="1"/>
  <c r="H82" i="20" s="1" a="1"/>
  <c r="H82" i="20" s="1"/>
  <c r="H96" i="20" s="1"/>
  <c r="F81" i="20" a="1"/>
  <c r="F81" i="20" s="1"/>
  <c r="F95" i="20" s="1"/>
  <c r="F82" i="20" s="1" a="1"/>
  <c r="F82" i="20" s="1"/>
  <c r="F96" i="20" s="1"/>
  <c r="AD478" i="13" l="1"/>
  <c r="AE478" i="13" s="1"/>
  <c r="AD477" i="13" s="1"/>
  <c r="AE477" i="13" s="1"/>
  <c r="E88" i="20"/>
  <c r="E91" i="20" s="1"/>
  <c r="E92" i="20" s="1"/>
  <c r="E104" i="20"/>
  <c r="E97" i="20"/>
  <c r="F83" i="20" a="1"/>
  <c r="F83" i="20" s="1"/>
  <c r="G82" i="20" a="1"/>
  <c r="G82" i="20" s="1"/>
  <c r="G96" i="20" s="1"/>
  <c r="G83" i="20" s="1" a="1"/>
  <c r="G83" i="20" s="1"/>
  <c r="H83" i="20" a="1"/>
  <c r="H83" i="20" s="1"/>
  <c r="A366" i="12" l="1"/>
  <c r="G88" i="20"/>
  <c r="G91" i="20" s="1"/>
  <c r="G92" i="20" s="1"/>
  <c r="G104" i="20"/>
  <c r="G97" i="20"/>
  <c r="H88" i="20"/>
  <c r="H91" i="20" s="1"/>
  <c r="H92" i="20" s="1"/>
  <c r="H104" i="20"/>
  <c r="H97" i="20"/>
  <c r="F88" i="20"/>
  <c r="F91" i="20" s="1"/>
  <c r="F92" i="20" s="1"/>
  <c r="F104" i="20"/>
  <c r="A367" i="12" s="1"/>
  <c r="F97" i="20"/>
  <c r="A369" i="12" l="1"/>
  <c r="AO369" i="12" s="1"/>
  <c r="C2" i="12"/>
  <c r="A368" i="12"/>
  <c r="A396" i="12" s="1"/>
  <c r="A540" i="12" s="1"/>
  <c r="O367" i="12"/>
  <c r="AO367" i="12"/>
  <c r="AO366" i="12"/>
  <c r="O366" i="12"/>
  <c r="O369" i="12" l="1"/>
  <c r="AO540" i="12"/>
  <c r="O540" i="12"/>
  <c r="H540" i="12"/>
  <c r="I540" i="12"/>
  <c r="O396" i="12"/>
  <c r="AO396" i="12"/>
  <c r="AO368" i="12"/>
  <c r="O368" i="12"/>
  <c r="A2" i="12" a="1"/>
  <c r="A2" i="12" s="1"/>
  <c r="F540" i="12" s="1"/>
  <c r="L540" i="12" l="1"/>
  <c r="E540" i="12"/>
  <c r="A556" i="12"/>
  <c r="A550" i="12"/>
  <c r="G540" i="12"/>
  <c r="D540" i="12" s="1"/>
  <c r="J540" i="12" s="1"/>
  <c r="O550" i="12" l="1"/>
  <c r="AO550" i="12"/>
  <c r="B25" i="2" a="1"/>
  <c r="B25" i="2" s="1"/>
  <c r="B28" i="2" a="1"/>
  <c r="B28" i="2" s="1"/>
  <c r="B24" i="2" a="1"/>
  <c r="B24" i="2" s="1"/>
  <c r="B18" i="2" a="1"/>
  <c r="B18" i="2" s="1"/>
  <c r="B43" i="2" a="1"/>
  <c r="B43" i="2" s="1"/>
  <c r="B56" i="2" a="1"/>
  <c r="B56" i="2" s="1"/>
  <c r="B27" i="2" a="1"/>
  <c r="B27" i="2" s="1"/>
  <c r="B36" i="2" a="1"/>
  <c r="B36" i="2" s="1"/>
  <c r="B19" i="2" a="1"/>
  <c r="B19" i="2" s="1"/>
  <c r="B26" i="2" a="1"/>
  <c r="B26" i="2" s="1"/>
  <c r="B50" i="2" a="1"/>
  <c r="B50" i="2" s="1"/>
  <c r="B48" i="2" a="1"/>
  <c r="B48" i="2" s="1"/>
  <c r="B49" i="2" a="1"/>
  <c r="B49" i="2" s="1"/>
  <c r="B40" i="2" a="1"/>
  <c r="B40" i="2" s="1"/>
  <c r="B46" i="2" a="1"/>
  <c r="B46" i="2" s="1"/>
  <c r="B47" i="2" a="1"/>
  <c r="B47" i="2" s="1"/>
  <c r="B51" i="2" a="1"/>
  <c r="B51" i="2" s="1"/>
  <c r="B55" i="2" a="1"/>
  <c r="B55" i="2" s="1"/>
  <c r="B54" i="2" a="1"/>
  <c r="B54" i="2" s="1"/>
  <c r="B42" i="2" a="1"/>
  <c r="B42" i="2" s="1"/>
  <c r="B52" i="2" a="1"/>
  <c r="B52" i="2" s="1"/>
  <c r="B35" i="2" a="1"/>
  <c r="B35" i="2" s="1"/>
  <c r="B38" i="2" a="1"/>
  <c r="B38" i="2" s="1"/>
  <c r="B44" i="2" a="1"/>
  <c r="B44" i="2" s="1"/>
  <c r="B30" i="2" a="1"/>
  <c r="B30" i="2" s="1"/>
  <c r="B32" i="2" a="1"/>
  <c r="B32" i="2" s="1"/>
  <c r="B22" i="2" a="1"/>
  <c r="B22" i="2" s="1"/>
  <c r="B39" i="2" a="1"/>
  <c r="B39" i="2" s="1"/>
  <c r="B29" i="2" a="1"/>
  <c r="B29" i="2" s="1"/>
  <c r="B37" i="2" a="1"/>
  <c r="B37" i="2" s="1"/>
  <c r="B53" i="2" a="1"/>
  <c r="B53" i="2" s="1"/>
  <c r="B31" i="2" a="1"/>
  <c r="B31" i="2" s="1"/>
  <c r="B33" i="2" a="1"/>
  <c r="B33" i="2" s="1"/>
  <c r="B34" i="2" a="1"/>
  <c r="B34" i="2" s="1"/>
  <c r="B41" i="2" a="1"/>
  <c r="B41" i="2" s="1"/>
  <c r="B21" i="2" a="1"/>
  <c r="B21" i="2" s="1"/>
  <c r="B23" i="2" a="1"/>
  <c r="B23" i="2" s="1"/>
  <c r="B20" i="2" a="1"/>
  <c r="B20" i="2" s="1"/>
  <c r="B45" i="2" a="1"/>
  <c r="B45" i="2" s="1"/>
  <c r="H556" i="12"/>
  <c r="F556" i="12"/>
  <c r="I556" i="12"/>
  <c r="O556" i="12"/>
  <c r="G556" i="12"/>
  <c r="AO556" i="12"/>
  <c r="D556" i="12" l="1"/>
  <c r="L556" i="12"/>
  <c r="E556" i="12"/>
  <c r="C47" i="2" a="1"/>
  <c r="C47" i="2" s="1"/>
  <c r="J47" i="2" s="1"/>
  <c r="K47" i="2" s="1"/>
  <c r="C36" i="2" a="1"/>
  <c r="C36" i="2" s="1"/>
  <c r="J36" i="2" s="1"/>
  <c r="K36" i="2" s="1"/>
  <c r="C55" i="2" a="1"/>
  <c r="C55" i="2" s="1"/>
  <c r="J55" i="2" s="1"/>
  <c r="K55" i="2" s="1"/>
  <c r="C28" i="2" a="1"/>
  <c r="C28" i="2" s="1"/>
  <c r="J28" i="2" s="1"/>
  <c r="K28" i="2" s="1"/>
  <c r="C29" i="2" a="1"/>
  <c r="C29" i="2" s="1"/>
  <c r="J29" i="2" s="1"/>
  <c r="K29" i="2" s="1"/>
  <c r="C32" i="2" a="1"/>
  <c r="C32" i="2" s="1"/>
  <c r="J32" i="2" s="1"/>
  <c r="K32" i="2" s="1"/>
  <c r="C45" i="2" a="1"/>
  <c r="C45" i="2" s="1"/>
  <c r="J45" i="2" s="1"/>
  <c r="K45" i="2" s="1"/>
  <c r="C40" i="2" a="1"/>
  <c r="C40" i="2" s="1"/>
  <c r="J40" i="2" s="1"/>
  <c r="K40" i="2" s="1"/>
  <c r="C38" i="2" a="1"/>
  <c r="C38" i="2" s="1"/>
  <c r="J38" i="2" s="1"/>
  <c r="K38" i="2" s="1"/>
  <c r="C52" i="2" a="1"/>
  <c r="C52" i="2" s="1"/>
  <c r="J52" i="2" s="1"/>
  <c r="K52" i="2" s="1"/>
  <c r="C53" i="2" a="1"/>
  <c r="C53" i="2" s="1"/>
  <c r="J53" i="2" s="1"/>
  <c r="K53" i="2" s="1"/>
  <c r="C48" i="2" a="1"/>
  <c r="C48" i="2" s="1"/>
  <c r="J48" i="2" s="1"/>
  <c r="K48" i="2" s="1"/>
  <c r="C23" i="2" a="1"/>
  <c r="C23" i="2" s="1"/>
  <c r="J23" i="2" s="1"/>
  <c r="K23" i="2" s="1"/>
  <c r="C44" i="2" a="1"/>
  <c r="C44" i="2" s="1"/>
  <c r="J44" i="2" s="1"/>
  <c r="K44" i="2" s="1"/>
  <c r="C18" i="2" a="1"/>
  <c r="C18" i="2" s="1"/>
  <c r="J18" i="2" s="1"/>
  <c r="K18" i="2" s="1"/>
  <c r="C39" i="2" a="1"/>
  <c r="C39" i="2" s="1"/>
  <c r="J39" i="2" s="1"/>
  <c r="K39" i="2" s="1"/>
  <c r="C43" i="2" a="1"/>
  <c r="C43" i="2" s="1"/>
  <c r="J43" i="2" s="1"/>
  <c r="K43" i="2" s="1"/>
  <c r="C54" i="2" a="1"/>
  <c r="C54" i="2" s="1"/>
  <c r="J54" i="2" s="1"/>
  <c r="K54" i="2" s="1"/>
  <c r="C46" i="2" a="1"/>
  <c r="C46" i="2" s="1"/>
  <c r="J46" i="2" s="1"/>
  <c r="K46" i="2" s="1"/>
  <c r="C19" i="2" a="1"/>
  <c r="C19" i="2" s="1"/>
  <c r="J19" i="2" s="1"/>
  <c r="K19" i="2" s="1"/>
  <c r="C50" i="2" a="1"/>
  <c r="C50" i="2" s="1"/>
  <c r="J50" i="2" s="1"/>
  <c r="K50" i="2" s="1"/>
  <c r="C34" i="2" a="1"/>
  <c r="C34" i="2" s="1"/>
  <c r="J34" i="2" s="1"/>
  <c r="K34" i="2" s="1"/>
  <c r="C42" i="2" a="1"/>
  <c r="C42" i="2" s="1"/>
  <c r="J42" i="2" s="1"/>
  <c r="K42" i="2" s="1"/>
  <c r="C27" i="2" a="1"/>
  <c r="C27" i="2" s="1"/>
  <c r="J27" i="2" s="1"/>
  <c r="K27" i="2" s="1"/>
  <c r="C25" i="2" a="1"/>
  <c r="C25" i="2" s="1"/>
  <c r="J25" i="2" s="1"/>
  <c r="K25" i="2" s="1"/>
  <c r="C21" i="2" a="1"/>
  <c r="C21" i="2" s="1"/>
  <c r="J21" i="2" s="1"/>
  <c r="K21" i="2" s="1"/>
  <c r="C20" i="2" a="1"/>
  <c r="C20" i="2" s="1"/>
  <c r="J20" i="2" s="1"/>
  <c r="K20" i="2" s="1"/>
  <c r="C35" i="2" a="1"/>
  <c r="C35" i="2" s="1"/>
  <c r="J35" i="2" s="1"/>
  <c r="K35" i="2" s="1"/>
  <c r="C51" i="2" a="1"/>
  <c r="C51" i="2" s="1"/>
  <c r="J51" i="2" s="1"/>
  <c r="K51" i="2" s="1"/>
  <c r="C37" i="2" a="1"/>
  <c r="C37" i="2" s="1"/>
  <c r="J37" i="2" s="1"/>
  <c r="K37" i="2" s="1"/>
  <c r="C41" i="2" a="1"/>
  <c r="C41" i="2" s="1"/>
  <c r="J41" i="2" s="1"/>
  <c r="K41" i="2" s="1"/>
  <c r="C30" i="2" a="1"/>
  <c r="C30" i="2" s="1"/>
  <c r="J30" i="2" s="1"/>
  <c r="K30" i="2" s="1"/>
  <c r="C24" i="2" a="1"/>
  <c r="C24" i="2" s="1"/>
  <c r="J24" i="2" s="1"/>
  <c r="K24" i="2" s="1"/>
  <c r="C22" i="2" a="1"/>
  <c r="C22" i="2" s="1"/>
  <c r="J22" i="2" s="1"/>
  <c r="K22" i="2" s="1"/>
  <c r="C49" i="2" a="1"/>
  <c r="C49" i="2" s="1"/>
  <c r="J49" i="2" s="1"/>
  <c r="K49" i="2" s="1"/>
  <c r="C26" i="2" a="1"/>
  <c r="C26" i="2" s="1"/>
  <c r="J26" i="2" s="1"/>
  <c r="K26" i="2" s="1"/>
  <c r="C56" i="2" a="1"/>
  <c r="C56" i="2" s="1"/>
  <c r="J56" i="2" s="1"/>
  <c r="K56" i="2" s="1"/>
  <c r="C31" i="2" a="1"/>
  <c r="C31" i="2" s="1"/>
  <c r="J31" i="2" s="1"/>
  <c r="K31" i="2" s="1"/>
  <c r="C33" i="2" a="1"/>
  <c r="C33" i="2" s="1"/>
  <c r="J33" i="2" s="1"/>
  <c r="K33" i="2" s="1"/>
  <c r="K66" i="2" l="1"/>
  <c r="K70" i="2" s="1"/>
  <c r="D39" i="6" s="1"/>
  <c r="J556" i="12"/>
  <c r="J4"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<sst xmlns="http://schemas.openxmlformats.org/spreadsheetml/2006/main" count="5558" uniqueCount="2840">
  <si>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</si>
  <si>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</si>
  <si>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</si>
  <si>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</si>
  <si>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</si>
  <si>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</si>
  <si>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</si>
  <si>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</si>
  <si>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</si>
  <si>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</si>
  <si>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</si>
  <si>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</si>
  <si>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</si>
  <si>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</si>
  <si>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</si>
  <si>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</si>
  <si>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</si>
  <si>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</si>
  <si>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</si>
  <si>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</si>
  <si>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</si>
  <si>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</si>
  <si>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</si>
  <si>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</si>
  <si>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</si>
  <si>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</si>
  <si>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</si>
  <si>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</si>
  <si>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</si>
  <si>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</si>
  <si>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</si>
  <si>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</si>
  <si>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</si>
  <si>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</si>
  <si>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</si>
  <si>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</si>
  <si>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</si>
  <si>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</si>
  <si>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</si>
  <si>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</si>
  <si>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</si>
  <si>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</si>
  <si>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</si>
  <si>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</si>
  <si>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</si>
  <si>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</si>
  <si>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</si>
  <si>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</si>
  <si>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</si>
  <si>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</si>
  <si>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</si>
  <si>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</si>
  <si>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</si>
  <si>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</si>
  <si>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</si>
  <si>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</si>
  <si>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</si>
  <si>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</si>
  <si>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</si>
  <si>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</si>
  <si>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</si>
  <si>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</si>
  <si>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</si>
  <si>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</si>
  <si>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</si>
  <si>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</si>
  <si>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</si>
  <si>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</si>
  <si>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</si>
  <si>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</si>
  <si>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</si>
  <si>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</si>
  <si>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</si>
  <si>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</si>
  <si>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</si>
  <si>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</si>
  <si>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</si>
  <si>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</si>
  <si>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</si>
  <si>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</si>
  <si>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</si>
  <si>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</si>
  <si>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</si>
  <si>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</si>
  <si>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</si>
  <si>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</si>
  <si>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</si>
  <si>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</si>
  <si>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</si>
  <si>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</si>
  <si>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</si>
  <si>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</si>
  <si>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</si>
  <si>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</si>
  <si>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</si>
  <si>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</si>
  <si>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</si>
  <si>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</si>
  <si>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</si>
  <si>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</si>
  <si>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</si>
  <si>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</si>
  <si>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</si>
  <si>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</si>
  <si>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</si>
  <si>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</si>
  <si>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</si>
  <si>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</si>
  <si>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</si>
  <si>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</si>
  <si>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</si>
  <si>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</si>
  <si>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</si>
  <si>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</si>
  <si>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</si>
  <si>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</si>
  <si>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</si>
  <si>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</si>
  <si>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</si>
  <si>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</si>
  <si>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</si>
  <si>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</si>
  <si>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</si>
  <si>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</si>
  <si>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</si>
  <si>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</si>
  <si>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</si>
  <si>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</si>
  <si>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</si>
  <si>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</si>
  <si>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</si>
  <si>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</si>
  <si>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</si>
  <si>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</si>
  <si>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</si>
  <si>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</si>
  <si>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</si>
  <si>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</si>
  <si>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</si>
  <si>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</si>
  <si>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</si>
  <si>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</si>
  <si>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</si>
  <si>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</si>
  <si>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</si>
  <si>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</si>
  <si>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</si>
  <si>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</si>
  <si>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</si>
  <si>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</si>
  <si>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</si>
  <si>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</si>
  <si>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</si>
  <si>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</si>
  <si>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</si>
  <si>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</si>
  <si>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</si>
  <si>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</si>
  <si>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</si>
  <si>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</si>
  <si>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</si>
  <si>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</si>
  <si>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</si>
  <si>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</si>
  <si>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</si>
  <si>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</si>
  <si>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</si>
  <si>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</si>
  <si>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</si>
  <si>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</si>
  <si>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</si>
  <si>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</si>
  <si>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</si>
  <si>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</si>
  <si>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</si>
  <si>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</si>
  <si>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</si>
  <si>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</si>
  <si>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</si>
  <si>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</si>
  <si>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</si>
  <si>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</si>
  <si>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</si>
  <si>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</si>
  <si>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</si>
  <si>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</si>
  <si>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</si>
  <si>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</si>
  <si>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</si>
  <si>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</si>
  <si>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</si>
  <si>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</si>
  <si>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</si>
  <si>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</si>
  <si>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</si>
  <si>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</si>
  <si>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</si>
  <si>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</si>
  <si>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</si>
  <si>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</si>
  <si>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</si>
  <si>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</si>
  <si>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</si>
  <si>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</si>
  <si>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</si>
  <si>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</si>
  <si>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</si>
  <si>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</si>
  <si>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</si>
  <si>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</si>
  <si>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</si>
  <si>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</si>
  <si>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</si>
  <si>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</si>
  <si>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</si>
  <si>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</si>
  <si>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</si>
  <si>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</si>
  <si>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</si>
  <si>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</si>
  <si>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</si>
  <si>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</si>
  <si>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</si>
  <si>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</si>
  <si>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</si>
  <si>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</si>
  <si>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</si>
  <si>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</si>
  <si>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</si>
  <si>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</si>
  <si>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</si>
  <si>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</si>
  <si>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</si>
  <si>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</si>
  <si>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</si>
  <si>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</si>
  <si>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</si>
  <si>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</si>
  <si>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</si>
  <si>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</si>
  <si>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</si>
  <si>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</si>
  <si>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</si>
  <si>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</si>
  <si>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</si>
  <si>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</si>
  <si>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</si>
  <si>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</si>
  <si>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</si>
  <si>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</si>
  <si>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</si>
  <si>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</si>
  <si>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</si>
  <si>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</si>
  <si>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</si>
  <si>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</si>
  <si>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</si>
  <si>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</si>
  <si>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</si>
  <si>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</si>
  <si>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</si>
  <si>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</si>
  <si>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</si>
  <si>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</si>
  <si>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</si>
  <si>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</si>
  <si>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</si>
  <si>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</si>
  <si>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</si>
  <si>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</si>
  <si>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</si>
  <si>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</si>
  <si>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</si>
  <si>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</si>
  <si>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</si>
  <si>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</si>
  <si>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</si>
  <si>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</si>
  <si>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</si>
  <si>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</si>
  <si>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</si>
  <si>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</si>
  <si>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</si>
  <si>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</si>
  <si>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</si>
  <si>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</si>
  <si>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</si>
  <si>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</si>
  <si>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</si>
  <si>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</si>
  <si>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</si>
  <si>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</si>
  <si>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</si>
  <si>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</si>
  <si>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</si>
  <si>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</si>
  <si>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</si>
  <si>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</si>
  <si>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</si>
  <si>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</si>
  <si>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</si>
  <si>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</si>
  <si>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</si>
  <si>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</si>
  <si>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</si>
  <si>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</si>
  <si>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</si>
  <si>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</si>
  <si>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</si>
  <si>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</si>
  <si>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</si>
  <si>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</si>
  <si>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</si>
  <si>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</si>
  <si>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</si>
  <si>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</si>
  <si>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</si>
  <si>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</si>
  <si>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</si>
  <si>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</si>
  <si>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</si>
  <si>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</si>
  <si>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</si>
  <si>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</si>
  <si>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</si>
  <si>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</si>
  <si>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</si>
  <si>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</si>
  <si>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</si>
  <si>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</si>
  <si>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</si>
  <si>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</si>
  <si>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</si>
  <si>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</si>
  <si>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</si>
  <si>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</si>
  <si>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</si>
  <si>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</si>
  <si>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</si>
  <si>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</si>
  <si>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</si>
  <si>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</si>
  <si>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</si>
  <si>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</si>
  <si>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</si>
  <si>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</si>
  <si>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</si>
  <si>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</si>
  <si>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</si>
  <si>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</si>
  <si>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</si>
  <si>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</si>
  <si>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</si>
  <si>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</si>
  <si>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</si>
  <si>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</si>
  <si>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</si>
  <si>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</si>
  <si>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</si>
  <si>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</si>
  <si>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</si>
  <si>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</si>
  <si>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</si>
  <si>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</si>
  <si>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</si>
  <si>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</si>
  <si>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</si>
  <si>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</si>
  <si>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</si>
  <si>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</si>
  <si>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</si>
  <si>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</si>
  <si>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</si>
  <si>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</si>
  <si>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</si>
  <si>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</si>
  <si>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</si>
  <si>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</si>
  <si>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</si>
  <si>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</si>
  <si>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</si>
  <si>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</si>
  <si>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</si>
  <si>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</si>
  <si>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</si>
  <si>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</si>
  <si>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</si>
  <si>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</si>
  <si>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</si>
  <si>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</si>
  <si>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</si>
  <si>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</si>
  <si>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</si>
  <si>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</si>
  <si>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</si>
  <si>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</si>
  <si>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</si>
  <si>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</si>
  <si>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</si>
  <si>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</si>
  <si>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</si>
  <si>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</si>
  <si>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</si>
  <si>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</si>
  <si>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</si>
  <si>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</si>
  <si>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</si>
  <si>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</si>
  <si>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</si>
  <si>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</si>
  <si>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</si>
  <si>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</si>
  <si>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</si>
  <si>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</si>
  <si>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</si>
  <si>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</si>
  <si>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</si>
  <si>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</si>
  <si>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</si>
  <si>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</si>
  <si>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</si>
  <si>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</si>
  <si>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</si>
  <si>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</si>
  <si>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</si>
  <si>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</si>
  <si>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</si>
  <si>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</si>
  <si>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</si>
  <si>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</si>
  <si>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</si>
  <si>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</si>
  <si>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</si>
  <si>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</si>
  <si>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</si>
  <si>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</si>
  <si>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</si>
  <si>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</si>
  <si>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</si>
  <si>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</si>
  <si>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</si>
  <si>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</si>
  <si>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</si>
  <si>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</si>
  <si>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</si>
  <si>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</si>
  <si>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</si>
  <si>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</si>
  <si>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</si>
  <si>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</si>
  <si>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</si>
  <si>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</si>
  <si>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</si>
  <si>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</si>
  <si>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</si>
  <si>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</si>
  <si>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</si>
  <si>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</si>
  <si>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</si>
  <si>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</si>
  <si>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</si>
  <si>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</si>
  <si>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</si>
  <si>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</si>
  <si>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</si>
  <si>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</si>
  <si>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</si>
  <si>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</si>
  <si>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</si>
  <si>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</si>
  <si>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</si>
  <si>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</si>
  <si>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</si>
  <si>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</si>
  <si>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</si>
  <si>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</si>
  <si>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</si>
  <si>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</si>
  <si>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</si>
  <si>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</si>
  <si>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</si>
  <si>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</si>
  <si>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</si>
  <si>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</si>
  <si>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</si>
  <si>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</si>
  <si>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</si>
  <si>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</si>
  <si>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</si>
  <si>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</si>
  <si>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</si>
  <si>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</si>
  <si>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</si>
  <si>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</si>
  <si>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</si>
  <si>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</si>
  <si>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</si>
  <si>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</si>
  <si>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</si>
  <si>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</si>
  <si>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</si>
  <si>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</si>
  <si>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</si>
  <si>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</si>
  <si>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</si>
  <si>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</si>
  <si>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</si>
  <si>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</si>
  <si>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</si>
  <si>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</si>
  <si>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</si>
  <si>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</si>
  <si>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</si>
  <si>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</si>
  <si>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</si>
  <si>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</si>
  <si>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</si>
  <si>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</si>
  <si>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</si>
  <si>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</si>
  <si>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</si>
  <si>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</si>
  <si>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</si>
  <si>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</si>
  <si>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</si>
  <si>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</si>
  <si>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</si>
  <si>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</si>
  <si>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</si>
  <si>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</si>
  <si>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</si>
  <si>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</si>
  <si>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</si>
  <si>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</si>
  <si>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</si>
  <si>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</si>
  <si>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</si>
  <si>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</si>
  <si>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</si>
  <si>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</si>
  <si>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</si>
  <si>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</si>
  <si>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</si>
  <si>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</si>
  <si>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</si>
  <si>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</si>
  <si>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</si>
  <si>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</si>
  <si>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</si>
  <si>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</si>
  <si>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</si>
  <si>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</si>
  <si>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</si>
  <si>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</si>
  <si>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</si>
  <si>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</si>
  <si>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</si>
  <si>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</si>
  <si>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</si>
  <si>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</si>
  <si>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</si>
  <si>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</si>
  <si>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</si>
  <si>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</si>
  <si>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</si>
  <si>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</si>
  <si>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</si>
  <si>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</si>
  <si>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</si>
  <si>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</si>
  <si>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</si>
  <si>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</si>
  <si>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</si>
  <si>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</si>
  <si>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</si>
  <si>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</si>
  <si>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</si>
  <si>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</si>
  <si>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</si>
  <si>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</si>
  <si>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</si>
  <si>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</si>
  <si>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</si>
  <si>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</si>
  <si>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</si>
  <si>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</si>
  <si>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</si>
  <si>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</si>
  <si>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</si>
  <si>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</si>
  <si>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</si>
  <si>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</si>
  <si>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</si>
  <si>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</si>
  <si>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</si>
  <si>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</si>
  <si>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</si>
  <si>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</si>
  <si>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</si>
  <si>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</si>
  <si>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</si>
  <si>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</si>
  <si>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</si>
  <si>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</si>
  <si>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</si>
  <si>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</si>
  <si>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</si>
  <si>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</si>
  <si>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</si>
  <si>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</si>
  <si>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</si>
  <si>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</si>
  <si>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</si>
  <si>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</si>
  <si>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</si>
  <si>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</si>
  <si>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</si>
  <si>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</si>
  <si>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</si>
  <si>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</si>
  <si>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</si>
  <si>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</si>
  <si>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</si>
  <si>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</si>
  <si>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</si>
  <si>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</si>
  <si>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</si>
  <si>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</si>
  <si>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</si>
  <si>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</si>
  <si>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</si>
  <si>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</si>
  <si>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</si>
  <si>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</si>
  <si>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</si>
  <si>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</si>
  <si>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</si>
  <si>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</si>
  <si>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</si>
  <si>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</si>
  <si>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</si>
  <si>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</si>
  <si>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</si>
  <si>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</si>
  <si>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</si>
  <si>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</si>
  <si>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</si>
  <si>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</si>
  <si>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</si>
  <si>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</si>
  <si>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</si>
  <si>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</si>
  <si>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</si>
  <si>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</si>
  <si>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</si>
  <si>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</si>
  <si>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</si>
  <si>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</si>
  <si>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</si>
  <si>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</si>
  <si>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</si>
  <si>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</si>
  <si>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</si>
  <si>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</si>
  <si>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</si>
  <si>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</si>
  <si>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</si>
  <si>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</si>
  <si>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</si>
  <si>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</si>
  <si>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</si>
  <si>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</si>
  <si>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</si>
  <si>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</si>
  <si>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</si>
  <si>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</si>
  <si>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</si>
  <si>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</si>
  <si>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</si>
  <si>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</si>
  <si>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</si>
  <si>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</si>
  <si>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</si>
  <si>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</si>
  <si>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</si>
  <si>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</si>
  <si>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</si>
  <si>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</si>
  <si>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</si>
  <si>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</si>
  <si>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</si>
  <si>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</si>
  <si>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</si>
  <si>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</si>
  <si>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</si>
  <si>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</si>
  <si>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</si>
  <si>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</si>
  <si>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</si>
  <si>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</si>
  <si>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</si>
  <si>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</si>
  <si>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</si>
  <si>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</si>
  <si>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</si>
  <si>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</si>
  <si>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</si>
  <si>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</si>
  <si>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</si>
  <si>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</si>
  <si>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</si>
  <si>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</si>
  <si>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</si>
  <si>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</si>
  <si>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</si>
  <si>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</si>
  <si>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</si>
  <si>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</si>
  <si>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</si>
  <si>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</si>
  <si>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</si>
  <si>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</si>
  <si>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</si>
  <si>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</si>
  <si>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</si>
  <si>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</si>
  <si>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</si>
  <si>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</si>
  <si>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</si>
  <si>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</si>
  <si>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</si>
  <si>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</si>
  <si>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</si>
  <si>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</si>
  <si>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</si>
  <si>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</si>
  <si>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</si>
  <si>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</si>
  <si>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</si>
  <si>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</si>
  <si>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</si>
  <si>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</si>
  <si>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</si>
  <si>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</si>
  <si>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</si>
  <si>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</si>
  <si>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</si>
  <si>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</si>
  <si>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</si>
  <si>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</si>
  <si>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</si>
  <si>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</si>
  <si>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</si>
  <si>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</si>
  <si>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</si>
  <si>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</si>
  <si>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</si>
  <si>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</si>
  <si>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</si>
  <si>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</si>
  <si>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</si>
  <si>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</si>
  <si>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</si>
  <si>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</si>
  <si>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</si>
  <si>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</si>
  <si>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</si>
  <si>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</si>
  <si>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</si>
  <si>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</si>
  <si>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</si>
  <si>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</si>
  <si>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</si>
  <si>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</si>
  <si>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</si>
  <si>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</si>
  <si>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</si>
  <si>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</si>
  <si>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</si>
  <si>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</si>
  <si>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</si>
  <si>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</si>
  <si>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</si>
  <si>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</si>
  <si>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</si>
  <si>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</si>
  <si>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</si>
  <si>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</si>
  <si>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</si>
  <si>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</si>
  <si>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</si>
  <si>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</si>
  <si>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</si>
  <si>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</si>
  <si>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</si>
  <si>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</si>
  <si>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</si>
  <si>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</si>
  <si>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</si>
  <si>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</si>
  <si>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</si>
  <si>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</si>
  <si>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</si>
  <si>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</si>
  <si>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</si>
  <si>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</si>
  <si>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</si>
  <si>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</si>
  <si>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</si>
  <si>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</si>
  <si>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</si>
  <si>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</si>
  <si>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</si>
  <si>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</si>
  <si>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</si>
  <si>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</si>
  <si>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</si>
  <si>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</si>
  <si>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</si>
  <si>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</si>
  <si>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</si>
  <si>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</si>
  <si>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</si>
  <si>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</si>
  <si>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</si>
  <si>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</si>
  <si>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</si>
  <si>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</si>
  <si>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</si>
  <si>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</si>
  <si>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</si>
  <si>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</si>
  <si>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</si>
  <si>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</si>
  <si>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</si>
  <si>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</si>
  <si>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</si>
  <si>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</si>
  <si>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</si>
  <si>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</si>
  <si>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</si>
  <si>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</si>
  <si>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</si>
  <si>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</si>
  <si>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</si>
  <si>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</si>
  <si>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</si>
  <si>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</si>
  <si>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</si>
  <si>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</si>
  <si>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</si>
  <si>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</si>
  <si>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</si>
  <si>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</si>
  <si>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</si>
  <si>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</si>
  <si>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</si>
  <si>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</si>
  <si>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</si>
  <si>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</si>
  <si>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</si>
  <si>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</si>
  <si>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</si>
  <si>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</si>
  <si>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</si>
  <si>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</si>
  <si>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</si>
  <si>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</si>
  <si>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</si>
  <si>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</si>
  <si>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</si>
  <si>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</si>
  <si>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</si>
  <si>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</si>
  <si>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</si>
  <si>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</si>
  <si>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</si>
  <si>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</si>
  <si>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</si>
  <si>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</si>
  <si>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</si>
  <si>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</si>
  <si>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</si>
  <si>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</si>
  <si>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</si>
  <si>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</si>
  <si>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</si>
  <si>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</si>
  <si>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</si>
  <si>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</si>
  <si>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</si>
  <si>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</si>
  <si>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</si>
  <si>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</si>
  <si>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</si>
  <si>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</si>
  <si>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</si>
  <si>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</si>
  <si>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</si>
  <si>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</si>
  <si>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</si>
  <si>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</si>
  <si>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</si>
  <si>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</si>
  <si>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</si>
  <si>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</si>
  <si>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</si>
  <si>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</si>
  <si>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</si>
  <si>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</si>
  <si>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</si>
  <si>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</si>
  <si>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</si>
  <si>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</si>
  <si>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</si>
  <si>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</si>
  <si>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</si>
  <si>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</si>
  <si>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</si>
  <si>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</si>
  <si>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</si>
  <si>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</si>
  <si>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</si>
  <si>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</si>
  <si>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</si>
  <si>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</si>
  <si>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</si>
  <si>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</si>
  <si>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</si>
  <si>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</si>
  <si>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</si>
  <si>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</si>
  <si>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</si>
  <si>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</si>
  <si>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</si>
  <si>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</si>
  <si>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</si>
  <si>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</si>
  <si>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</si>
  <si>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</si>
  <si>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</si>
  <si>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</si>
  <si>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</si>
  <si>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</si>
  <si>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</si>
  <si>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</si>
  <si>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</si>
  <si>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</si>
  <si>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</si>
  <si>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</si>
  <si>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</si>
  <si>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</si>
  <si>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</si>
  <si>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</si>
  <si>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</si>
  <si>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</si>
  <si>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</si>
  <si>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</si>
  <si>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</si>
  <si>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</si>
  <si>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</si>
  <si>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</si>
  <si>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</si>
  <si>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</si>
  <si>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</si>
  <si>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</si>
  <si>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</si>
  <si>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</si>
  <si>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</si>
  <si>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</si>
  <si>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</si>
  <si>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</si>
  <si>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</si>
  <si>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</si>
  <si>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</si>
  <si>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</si>
  <si>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</si>
  <si>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</si>
  <si>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</si>
  <si>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</si>
  <si>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</si>
  <si>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</si>
  <si>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</si>
  <si>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</si>
  <si>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</si>
  <si>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</si>
  <si>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</si>
  <si>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</si>
  <si>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</si>
  <si>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</si>
  <si>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</si>
  <si>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</si>
  <si>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</si>
  <si>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</si>
  <si>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</si>
  <si>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</si>
  <si>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</si>
  <si>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</si>
  <si>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</si>
  <si>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</si>
  <si>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</si>
  <si>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</si>
  <si>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</si>
  <si>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</si>
  <si>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</si>
  <si>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</si>
  <si>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</si>
  <si>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</si>
  <si>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</si>
  <si>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</si>
  <si>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</si>
  <si>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</si>
  <si>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</si>
  <si>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</si>
  <si>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</si>
  <si>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</si>
  <si>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</si>
  <si>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</si>
  <si>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</si>
  <si>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</si>
  <si>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</si>
  <si>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</si>
  <si>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</si>
  <si>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</si>
  <si>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</si>
  <si>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</si>
  <si>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</si>
  <si>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</si>
  <si>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</si>
  <si>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</si>
  <si>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</si>
  <si>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</si>
  <si>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</si>
  <si>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</si>
  <si>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</si>
  <si>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</si>
  <si>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</si>
  <si>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</si>
  <si>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</si>
  <si>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</si>
  <si>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</si>
  <si>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</si>
  <si>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</si>
  <si>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</si>
  <si>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</si>
  <si>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</si>
  <si>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</si>
  <si>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</si>
  <si>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</si>
  <si>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</si>
  <si>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</si>
  <si>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</si>
  <si>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</si>
  <si>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</si>
  <si>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</si>
  <si>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</si>
  <si>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</si>
  <si>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</si>
  <si>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</si>
  <si>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</si>
  <si>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</si>
  <si>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</si>
  <si>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</si>
  <si>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</si>
  <si>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</si>
  <si>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</si>
  <si>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</si>
  <si>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</si>
  <si>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</si>
  <si>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</si>
  <si>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</si>
  <si>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</si>
  <si>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</si>
  <si>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</si>
  <si>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</si>
  <si>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</si>
  <si>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</si>
  <si>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</si>
  <si>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</si>
  <si>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</si>
  <si>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</si>
  <si>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</si>
  <si>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</si>
  <si>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</si>
  <si>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</si>
  <si>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</si>
  <si>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</si>
  <si>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</si>
  <si>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</si>
  <si>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</si>
  <si>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</si>
  <si>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</si>
  <si>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</si>
  <si>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</si>
  <si>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</si>
  <si>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</si>
  <si>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</si>
  <si>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</si>
  <si>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</si>
  <si>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</si>
  <si>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</si>
  <si>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</si>
  <si>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</si>
  <si>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</si>
  <si>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</si>
  <si>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</si>
  <si>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</si>
  <si>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</si>
  <si>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</si>
  <si>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</si>
  <si>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</si>
  <si>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</si>
  <si>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</si>
  <si>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</si>
  <si>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</si>
  <si>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</si>
  <si>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</si>
  <si>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</si>
  <si>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</si>
  <si>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</si>
  <si>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</si>
  <si>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</si>
  <si>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</si>
  <si>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</si>
  <si>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</si>
  <si>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</si>
  <si>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</si>
  <si>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</si>
  <si>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</si>
  <si>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</si>
  <si>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</si>
  <si>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</si>
  <si>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</si>
  <si>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</si>
  <si>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</si>
  <si>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</si>
  <si>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</si>
  <si>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</si>
  <si>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</si>
  <si>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</si>
  <si>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</si>
  <si>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</si>
  <si>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</si>
  <si>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</si>
  <si>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</si>
  <si>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</si>
  <si>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</si>
  <si>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</si>
  <si>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</si>
  <si>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</si>
  <si>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</si>
  <si>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</si>
  <si>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</si>
  <si>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</si>
  <si>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</si>
  <si>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</si>
  <si>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</si>
  <si>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</si>
  <si>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</si>
  <si>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</si>
  <si>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</si>
  <si>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</si>
  <si>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</si>
  <si>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</si>
  <si>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</si>
  <si>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</si>
  <si>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</si>
  <si>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</si>
  <si>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</si>
  <si>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</si>
  <si>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</si>
  <si>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</si>
  <si>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</si>
  <si>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</si>
  <si>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</si>
  <si>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</si>
  <si>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</si>
  <si>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</si>
  <si>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</si>
  <si>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</si>
  <si>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</si>
  <si>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</si>
  <si>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</si>
  <si>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</si>
  <si>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</si>
  <si>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</si>
  <si>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</si>
  <si>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</si>
  <si>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</si>
  <si>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</si>
  <si>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</si>
  <si>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</si>
  <si>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</si>
  <si>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</si>
  <si>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</si>
  <si>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</si>
  <si>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</si>
  <si>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</si>
  <si>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</si>
  <si>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</si>
  <si>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</si>
  <si>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</si>
  <si>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</si>
  <si>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</si>
  <si>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</si>
  <si>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</si>
  <si>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</si>
  <si>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</si>
  <si>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</si>
  <si>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</si>
  <si>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</si>
  <si>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</si>
  <si>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</si>
  <si>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</si>
  <si>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</si>
  <si>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</si>
  <si>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</si>
  <si>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</si>
  <si>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</si>
  <si>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</si>
  <si>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</si>
  <si>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</si>
  <si>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</si>
  <si>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</si>
  <si>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</si>
  <si>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</si>
  <si>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</si>
  <si>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</si>
  <si>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</si>
  <si>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</si>
  <si>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</si>
  <si>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</si>
  <si>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</si>
  <si>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</si>
  <si>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</si>
  <si>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</si>
  <si>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</si>
  <si>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</si>
  <si>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</si>
  <si>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</si>
  <si>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</si>
  <si>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</si>
  <si>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</si>
  <si>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</si>
  <si>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</si>
  <si>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</si>
  <si>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</si>
  <si>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</si>
  <si>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</si>
  <si>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</si>
  <si>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</si>
  <si>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</si>
  <si>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</si>
  <si>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</si>
  <si>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</si>
  <si>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</si>
  <si>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</si>
  <si>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</si>
  <si>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</si>
  <si>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</si>
  <si>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</si>
  <si>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</si>
  <si>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</si>
  <si>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</si>
  <si>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</si>
  <si>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</si>
  <si>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</si>
  <si>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</si>
  <si>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</si>
  <si>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</si>
  <si>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</si>
  <si>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</si>
  <si>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</si>
  <si>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</si>
  <si>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</si>
  <si>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</si>
  <si>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</si>
  <si>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</si>
  <si>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</si>
  <si>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</si>
  <si>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</si>
  <si>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</si>
  <si>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</si>
  <si>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</si>
  <si>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</si>
  <si>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</si>
  <si>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</si>
  <si>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</si>
  <si>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</si>
  <si>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</si>
  <si>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</si>
  <si>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</si>
  <si>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</si>
  <si>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</si>
  <si>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</si>
  <si>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</si>
  <si>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</si>
  <si>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</si>
  <si>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</si>
  <si>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</si>
  <si>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</si>
  <si>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</si>
  <si>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</si>
  <si>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</si>
  <si>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</si>
  <si>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</si>
  <si>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</si>
  <si>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</si>
  <si>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</si>
  <si>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</si>
  <si>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</si>
  <si>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</si>
  <si>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</si>
  <si>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</si>
  <si>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</si>
  <si>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</si>
  <si>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</si>
  <si>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</si>
  <si>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</si>
  <si>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</si>
  <si>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</si>
  <si>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</si>
  <si>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</si>
  <si>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</si>
  <si>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</si>
  <si>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</si>
  <si>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</si>
  <si>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</si>
  <si>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</si>
  <si>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</si>
  <si>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</si>
  <si>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</si>
  <si>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</si>
  <si>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</si>
  <si>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</si>
  <si>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</si>
  <si>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</si>
  <si>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</si>
  <si>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</si>
  <si>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</si>
  <si>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</si>
  <si>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</si>
  <si>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</si>
  <si>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</si>
  <si>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</si>
  <si>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</si>
  <si>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</si>
  <si>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</si>
  <si>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</si>
  <si>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</si>
  <si>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</si>
  <si>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</si>
  <si>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</si>
  <si>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</si>
  <si>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</si>
  <si>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</si>
  <si>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</si>
  <si>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</si>
  <si>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</si>
  <si>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</si>
  <si>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</si>
  <si>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</si>
  <si>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</si>
  <si>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</si>
  <si>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</si>
  <si>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</si>
  <si>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</si>
  <si>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</si>
  <si>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</si>
  <si>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</si>
  <si>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</si>
  <si>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</si>
  <si>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</si>
  <si>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</si>
  <si>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</si>
  <si>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</si>
  <si>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</si>
  <si>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</si>
  <si>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</si>
  <si>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</si>
  <si>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</si>
  <si>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</si>
  <si>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</si>
  <si>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</si>
  <si>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</si>
  <si>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</si>
  <si>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</si>
  <si>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</si>
  <si>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</si>
  <si>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</si>
  <si>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</si>
  <si>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</si>
  <si>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</si>
  <si>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</si>
  <si>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</si>
  <si>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</si>
  <si>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</si>
  <si>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</si>
  <si>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</si>
  <si>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</si>
  <si>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</si>
  <si>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</si>
  <si>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</si>
  <si>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</si>
  <si>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</si>
  <si>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</si>
  <si>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</si>
  <si>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</si>
  <si>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</si>
  <si>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</si>
  <si>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</si>
  <si>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</si>
  <si>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</si>
  <si>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</si>
  <si>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</si>
  <si>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</si>
  <si>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</si>
  <si>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</si>
  <si>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</si>
  <si>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</si>
  <si>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</si>
  <si>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</si>
  <si>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</si>
  <si>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</si>
  <si>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</si>
  <si>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</si>
  <si>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</si>
  <si>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</si>
  <si>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</si>
  <si>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</si>
  <si>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</si>
  <si>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</si>
  <si>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</si>
  <si>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</si>
  <si>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</si>
  <si>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</si>
  <si>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</si>
  <si>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</si>
  <si>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</si>
  <si>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</si>
  <si>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</si>
  <si>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</si>
  <si>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</si>
  <si>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</si>
  <si>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</si>
  <si>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</si>
  <si>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</si>
  <si>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</si>
  <si>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</si>
  <si>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</si>
  <si>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</si>
  <si>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</si>
  <si>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</si>
  <si>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</si>
  <si>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</si>
  <si>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</si>
  <si>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</si>
  <si>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</si>
  <si>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</si>
  <si>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</si>
  <si>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</si>
  <si>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</si>
  <si>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</si>
  <si>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</si>
  <si>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</si>
  <si>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</si>
  <si>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</si>
  <si>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</si>
  <si>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</si>
  <si>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</si>
  <si>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</si>
  <si>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</si>
  <si>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</si>
  <si>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</si>
  <si>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</si>
  <si>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</si>
  <si>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</si>
  <si>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</si>
  <si>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</si>
  <si>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</si>
  <si>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</si>
  <si>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</si>
  <si>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</si>
  <si>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</si>
  <si>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</si>
  <si>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</si>
  <si>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</si>
  <si>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</si>
  <si>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</si>
  <si>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</si>
  <si>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</si>
  <si>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</si>
  <si>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</si>
  <si>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</si>
  <si>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</si>
  <si>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</si>
  <si>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</si>
  <si>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</si>
  <si>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</si>
  <si>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</si>
  <si>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</si>
  <si>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</si>
  <si>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</si>
  <si>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</si>
  <si>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</si>
  <si>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</si>
  <si>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</si>
  <si>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</si>
  <si>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</si>
  <si>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</si>
  <si>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</si>
  <si>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</si>
  <si>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</si>
  <si>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</si>
  <si>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</si>
  <si>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</si>
  <si>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</si>
  <si>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</si>
  <si>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</si>
  <si>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</si>
  <si>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</si>
  <si>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</si>
  <si>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</si>
  <si>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</si>
  <si>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</si>
  <si>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</si>
  <si>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</si>
  <si>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</si>
  <si>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</si>
  <si>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</si>
  <si>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</si>
  <si>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</si>
  <si>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</si>
  <si>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</si>
  <si>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</si>
  <si>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</si>
  <si>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</si>
  <si>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</si>
  <si>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</si>
  <si>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</si>
  <si>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</si>
  <si>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</si>
  <si>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</si>
  <si>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</si>
  <si>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</si>
  <si>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</si>
  <si>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</si>
  <si>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</si>
  <si>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</si>
  <si>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</si>
  <si>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</si>
  <si>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</si>
  <si>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</si>
  <si>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</si>
  <si>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</si>
  <si>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</si>
  <si>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</si>
  <si>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</si>
  <si>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</si>
  <si>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</si>
  <si>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</si>
  <si>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</si>
  <si>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</si>
  <si>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</si>
  <si>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</si>
  <si>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</si>
  <si>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</si>
  <si>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</si>
  <si>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</si>
  <si>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</si>
  <si>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</si>
  <si>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</si>
  <si>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</si>
  <si>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</si>
  <si>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</si>
  <si>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</si>
  <si>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</si>
  <si>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</si>
  <si>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</si>
  <si>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</si>
  <si>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</si>
  <si>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</si>
  <si>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</si>
  <si>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</si>
  <si>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</si>
  <si>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</si>
  <si>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</si>
  <si>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</si>
  <si>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</si>
  <si>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</si>
  <si>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</si>
  <si>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</si>
  <si>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</si>
  <si>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</si>
  <si>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</si>
  <si>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</si>
  <si>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</si>
  <si>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</si>
  <si>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</si>
  <si>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</si>
  <si>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</si>
  <si>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</si>
  <si>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</si>
  <si>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</si>
  <si>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</si>
  <si>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</si>
  <si>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</si>
  <si>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</si>
  <si>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</si>
  <si>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</si>
  <si>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</si>
  <si>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</si>
  <si>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</si>
  <si>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</si>
  <si>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</si>
  <si>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</si>
  <si>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</si>
  <si>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</si>
  <si>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</si>
  <si>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</si>
  <si>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</si>
  <si>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</si>
  <si>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</si>
  <si>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</si>
  <si>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</si>
  <si>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</si>
  <si>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</si>
  <si>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</si>
  <si>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</si>
  <si>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</si>
  <si>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</si>
  <si>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</si>
  <si>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</si>
  <si>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</si>
  <si>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</si>
  <si>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</si>
  <si>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</si>
  <si>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</si>
  <si>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</si>
  <si>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</si>
  <si>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</si>
  <si>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</si>
  <si>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</si>
  <si>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</si>
  <si>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</si>
  <si>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</si>
  <si>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</si>
  <si>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</si>
  <si>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</si>
  <si>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</si>
  <si>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</si>
  <si>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</si>
  <si>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</si>
  <si>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</si>
  <si>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</si>
  <si>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</si>
  <si>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</si>
  <si>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</si>
  <si>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</si>
  <si>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</si>
  <si>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</si>
  <si>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</si>
  <si>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</si>
  <si>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</si>
  <si>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</si>
  <si>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</si>
  <si>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</si>
  <si>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</si>
  <si>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</si>
  <si>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</si>
  <si>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</si>
  <si>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</si>
  <si>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</si>
  <si>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</si>
  <si>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</si>
  <si>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</si>
  <si>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</si>
  <si>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</si>
  <si>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</si>
  <si>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</si>
  <si>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</si>
  <si>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</si>
  <si>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</si>
  <si>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</si>
  <si>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</si>
  <si>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</si>
  <si>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</si>
  <si>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</si>
  <si>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</si>
  <si>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</si>
  <si>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</si>
  <si>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</si>
  <si>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</si>
  <si>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</si>
  <si>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</si>
  <si>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</si>
  <si>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</si>
  <si>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</si>
  <si>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</si>
  <si>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</si>
  <si>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</si>
  <si>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</si>
  <si>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</si>
  <si>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</si>
  <si>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</si>
  <si>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</si>
  <si>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</si>
  <si>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</si>
  <si>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</si>
  <si>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</si>
  <si>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</si>
  <si>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</si>
  <si>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</si>
  <si>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</si>
  <si>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</si>
  <si>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</si>
  <si>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</si>
  <si>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</si>
  <si>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</si>
  <si>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</si>
  <si>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</si>
  <si>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</si>
  <si>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</si>
  <si>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</si>
  <si>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</si>
  <si>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</si>
  <si>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</si>
  <si>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</si>
  <si>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</si>
  <si>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</si>
  <si>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</si>
  <si>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</si>
  <si>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</si>
  <si>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</si>
  <si>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</si>
  <si>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</si>
  <si>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</si>
  <si>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</si>
  <si>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</si>
  <si>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</si>
  <si>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</si>
  <si>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</si>
  <si>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</si>
  <si>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</si>
  <si>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</si>
  <si>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</si>
  <si>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</si>
  <si>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</si>
  <si>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</si>
  <si>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</si>
  <si>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</si>
  <si>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</si>
  <si>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</si>
  <si>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</si>
  <si>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</si>
  <si>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</si>
  <si>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</si>
  <si>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</si>
  <si>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</si>
  <si>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</si>
  <si>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</si>
  <si>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</si>
  <si>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</si>
  <si>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</si>
  <si>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</si>
  <si>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</si>
  <si>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</si>
  <si>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</si>
  <si>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</si>
  <si>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</si>
  <si>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</si>
  <si>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</si>
  <si>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</si>
  <si>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</si>
  <si>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</si>
  <si>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</si>
  <si>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</si>
  <si>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</si>
  <si>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</si>
  <si>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</si>
  <si>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</si>
  <si>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</si>
  <si>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</si>
  <si>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</si>
  <si>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</si>
  <si>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</si>
  <si>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</si>
  <si>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</si>
  <si>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</si>
  <si>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</si>
  <si>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</si>
  <si>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</si>
  <si>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</si>
  <si>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</si>
  <si>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</si>
  <si>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</si>
  <si>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</si>
  <si>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</si>
  <si>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</si>
  <si>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</si>
  <si>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</si>
  <si>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</si>
  <si>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</si>
  <si>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</si>
  <si>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</si>
  <si>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</si>
  <si>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</si>
  <si>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</si>
  <si>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</si>
  <si>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</si>
  <si>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</si>
  <si>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</si>
  <si>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</si>
  <si>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</si>
  <si>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</si>
  <si>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</si>
  <si>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</si>
  <si>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</si>
  <si>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</si>
  <si>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</si>
  <si>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</si>
  <si>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</si>
  <si>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</si>
  <si>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</si>
  <si>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</si>
  <si>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</si>
  <si>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</si>
  <si>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</si>
  <si>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</si>
  <si>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</si>
  <si>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</si>
  <si>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</si>
  <si>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</si>
  <si>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</si>
  <si>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</si>
  <si>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</si>
  <si>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</si>
  <si>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</si>
  <si>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</si>
  <si>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</si>
  <si>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</si>
  <si>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</si>
  <si>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</si>
  <si>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</si>
  <si>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</si>
  <si>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</si>
  <si>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</si>
  <si>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</si>
  <si>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</si>
  <si>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</si>
  <si>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</si>
  <si>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</si>
  <si>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</si>
  <si>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</si>
  <si>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</si>
  <si>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</si>
  <si>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</si>
  <si>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</si>
  <si>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</si>
  <si>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</si>
  <si>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</si>
  <si>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</si>
  <si>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</si>
  <si>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</si>
  <si>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</si>
  <si>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</si>
  <si>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</si>
  <si>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</si>
  <si>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</si>
  <si>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</si>
  <si>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</si>
  <si>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</si>
  <si>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</si>
  <si>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</si>
  <si>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</si>
  <si>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</si>
  <si>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</si>
  <si>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</si>
  <si>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</si>
  <si>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</si>
  <si>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</si>
  <si>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</si>
  <si>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</si>
  <si>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</si>
  <si>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</si>
  <si>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</si>
  <si>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</si>
  <si>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</si>
  <si>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</si>
  <si>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</si>
  <si>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</si>
  <si>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</si>
  <si>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</si>
  <si>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</si>
  <si>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</si>
  <si>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</si>
  <si>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</si>
  <si>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</si>
  <si>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</si>
  <si>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</si>
  <si>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</si>
  <si>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</si>
  <si>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</si>
  <si>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</si>
  <si>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</si>
  <si>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</si>
  <si>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</si>
  <si>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</si>
  <si>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</si>
  <si>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</si>
  <si>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</si>
  <si>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</si>
  <si>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</si>
  <si>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</si>
  <si>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</si>
  <si>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</si>
  <si>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</si>
  <si>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</si>
  <si>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</si>
  <si>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</si>
  <si>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</si>
  <si>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</si>
  <si>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</si>
  <si>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</si>
  <si>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</si>
  <si>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</si>
  <si>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</si>
  <si>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</si>
  <si>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</si>
  <si>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</si>
  <si>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</si>
  <si>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</si>
  <si>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</si>
  <si>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</si>
  <si>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</si>
  <si>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</si>
  <si>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</si>
  <si>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</si>
  <si>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</si>
  <si>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</si>
  <si>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</si>
  <si>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</si>
  <si>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</si>
  <si>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</si>
  <si>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</si>
  <si>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</si>
  <si>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</si>
  <si>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</si>
  <si>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</si>
  <si>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</si>
  <si>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</si>
  <si>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</si>
  <si>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</si>
  <si>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</si>
  <si>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</si>
  <si>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</si>
  <si>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</si>
  <si>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</si>
  <si>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</si>
  <si>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</si>
  <si>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</si>
  <si>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</si>
  <si>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</si>
  <si>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</si>
  <si>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</si>
  <si>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</si>
  <si>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</si>
  <si>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</si>
  <si>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</si>
  <si>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</si>
  <si>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</si>
  <si>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</si>
  <si>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</si>
  <si>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</si>
  <si>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</si>
  <si>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</si>
  <si>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</si>
  <si>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</si>
  <si>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</si>
  <si>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</si>
  <si>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</si>
  <si>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</si>
  <si>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</si>
  <si>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</si>
  <si>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</si>
  <si>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</si>
  <si>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</si>
  <si>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</si>
  <si>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</si>
  <si>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</si>
  <si>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</si>
  <si>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</si>
  <si>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</si>
  <si>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</si>
  <si>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</si>
  <si>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</si>
  <si>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</si>
  <si>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</si>
  <si>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</si>
  <si>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</si>
  <si>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</si>
  <si>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</si>
  <si>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</si>
  <si>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</si>
  <si>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</si>
  <si>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</si>
  <si>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</si>
  <si>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</si>
  <si>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</si>
  <si>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</si>
  <si>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</si>
  <si>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</si>
  <si>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</si>
  <si>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</si>
  <si>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</si>
  <si>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</si>
  <si>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</si>
  <si>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</si>
  <si>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</si>
  <si>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</si>
  <si>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</si>
  <si>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</si>
  <si>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</si>
  <si>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</si>
  <si>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</si>
  <si>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</si>
  <si>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</si>
  <si>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</si>
  <si>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</si>
  <si>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</si>
  <si>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</si>
  <si>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</si>
  <si>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</si>
  <si>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</si>
  <si>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</si>
  <si>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</si>
  <si>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</si>
  <si>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</si>
  <si>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</si>
  <si>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</si>
  <si>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</si>
  <si>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</si>
  <si>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</si>
  <si>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</si>
  <si>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</si>
  <si>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</si>
  <si>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</si>
  <si>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</si>
  <si>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</si>
  <si>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</si>
  <si>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</si>
  <si>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</si>
  <si>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</si>
  <si>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</si>
  <si>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</si>
  <si>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</si>
  <si>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</si>
  <si>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</si>
  <si>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</si>
  <si>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</si>
  <si>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</si>
  <si>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</si>
  <si>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</si>
  <si>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</si>
  <si>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</si>
  <si>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</si>
  <si>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</si>
  <si>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</si>
  <si>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</si>
  <si>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</si>
  <si>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</si>
  <si>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</si>
  <si>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</si>
  <si>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</si>
  <si>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</si>
  <si>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</si>
  <si>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</si>
  <si>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</si>
  <si>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</si>
  <si>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</si>
  <si>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</si>
  <si>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</si>
  <si>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</si>
  <si>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</si>
  <si>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</si>
  <si>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</si>
  <si>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</si>
  <si>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</si>
  <si>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</si>
  <si>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</si>
  <si>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</si>
  <si>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</si>
  <si>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</si>
  <si>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</si>
  <si>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</si>
  <si>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</si>
  <si>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</si>
  <si>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</si>
  <si>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</si>
  <si>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</si>
  <si>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</si>
  <si>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</si>
  <si>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</si>
  <si>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</si>
  <si>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</si>
  <si>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</si>
  <si>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</si>
  <si>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</si>
  <si>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</si>
  <si>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</si>
  <si>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</si>
  <si>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</si>
  <si>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</si>
  <si>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</si>
  <si>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</si>
  <si>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</si>
  <si>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</si>
  <si>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</si>
  <si>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</si>
  <si>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</si>
  <si>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</si>
  <si>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</si>
  <si>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</si>
  <si>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</si>
  <si>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</si>
  <si>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</si>
  <si>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</si>
  <si>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</si>
  <si>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</si>
  <si>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</si>
  <si>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</si>
  <si>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</si>
  <si>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</si>
  <si>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</si>
  <si>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</si>
  <si>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</si>
  <si>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</si>
  <si>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</si>
  <si>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</si>
  <si>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</si>
  <si>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</si>
  <si>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</si>
  <si>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</si>
  <si>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</si>
  <si>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</si>
  <si>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</si>
  <si>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</si>
  <si>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</si>
  <si>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</si>
  <si>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</si>
  <si>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</si>
  <si>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</si>
  <si>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</si>
  <si>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</si>
  <si>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</si>
  <si>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</si>
  <si>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</si>
  <si>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</si>
  <si>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</si>
  <si>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</si>
  <si>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</si>
  <si>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</si>
  <si>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</si>
  <si>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</si>
  <si>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</si>
  <si>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</si>
  <si>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</si>
  <si>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</si>
  <si>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</si>
  <si>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</si>
  <si>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</si>
  <si>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</si>
  <si>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</si>
  <si>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</si>
  <si>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</si>
  <si>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</si>
  <si>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</si>
  <si>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</si>
  <si>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</si>
  <si>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</si>
  <si>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</si>
  <si>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</si>
  <si>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</si>
  <si>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</si>
  <si>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</si>
  <si>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</si>
  <si>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</si>
  <si>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</si>
  <si>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</si>
  <si>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</si>
  <si>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</si>
  <si>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</si>
  <si>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</si>
  <si>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</si>
  <si>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</si>
  <si>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</si>
  <si>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</si>
  <si>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</si>
  <si>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</si>
  <si>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</si>
  <si>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</si>
  <si>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</si>
  <si>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</si>
  <si>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</si>
  <si>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</si>
  <si>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</si>
  <si>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</si>
  <si>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</si>
  <si>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</si>
  <si>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</si>
  <si>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</si>
  <si>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</si>
  <si>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</si>
  <si>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</si>
  <si>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</si>
  <si>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</si>
  <si>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</si>
  <si>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</si>
  <si>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</si>
  <si>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</si>
  <si>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</si>
  <si>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</si>
  <si>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</si>
  <si>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</si>
  <si>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</si>
  <si>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</si>
  <si>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</si>
  <si>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</si>
  <si>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</si>
  <si>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</si>
  <si>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</si>
  <si>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</si>
  <si>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</si>
  <si>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</si>
  <si>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</si>
  <si>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</si>
  <si>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</si>
  <si>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</si>
  <si>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</si>
  <si>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</si>
  <si>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</si>
  <si>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</si>
  <si>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</si>
  <si>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</si>
  <si>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</si>
  <si>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</si>
  <si>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</si>
  <si>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</si>
  <si>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</si>
  <si>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</si>
  <si>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</si>
  <si>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</si>
  <si>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</si>
  <si>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</si>
  <si>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</si>
  <si>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</si>
  <si>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</si>
  <si>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</si>
  <si>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</si>
  <si>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</si>
  <si>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</si>
  <si>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</si>
  <si>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</si>
  <si>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</si>
  <si>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</si>
  <si>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</si>
  <si>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</si>
  <si>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</si>
  <si>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</si>
  <si>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</si>
  <si>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</si>
  <si>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</si>
  <si>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</si>
  <si>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</si>
  <si>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</si>
  <si>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</si>
  <si>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</si>
  <si>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</si>
  <si>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</si>
  <si>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</si>
  <si>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</si>
  <si>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</si>
  <si>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</si>
  <si>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</si>
  <si>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</si>
  <si>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</si>
  <si>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</si>
  <si>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</si>
  <si>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</si>
  <si>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</si>
  <si>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</si>
  <si>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</si>
  <si>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</si>
  <si>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</si>
  <si>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</si>
  <si>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</si>
  <si>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</si>
  <si>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</si>
  <si>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</si>
  <si>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</si>
  <si>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</si>
  <si>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</si>
  <si>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</si>
  <si>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</si>
  <si>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</si>
  <si>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</si>
  <si>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</si>
  <si>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</si>
  <si>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</si>
  <si>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</si>
  <si>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</si>
  <si>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</si>
  <si>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</si>
  <si>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</si>
  <si>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</si>
  <si>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</si>
  <si>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</si>
  <si>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</si>
  <si>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</si>
  <si>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</si>
  <si>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</si>
  <si>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</si>
  <si>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</si>
  <si>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</si>
  <si>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</si>
  <si>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</si>
  <si>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</si>
  <si>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</si>
  <si>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</si>
  <si>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</si>
  <si>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</si>
  <si>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</si>
  <si>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</si>
  <si>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</si>
  <si>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</si>
  <si>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</si>
  <si>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</si>
  <si>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</si>
  <si>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</si>
  <si>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</si>
  <si>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</si>
  <si>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</si>
  <si>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</si>
  <si>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</si>
  <si>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</si>
  <si>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</si>
  <si>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</si>
  <si>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</si>
  <si>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</si>
  <si>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</si>
  <si>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</si>
  <si>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</si>
  <si>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</si>
  <si>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</si>
  <si>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</si>
  <si>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</si>
  <si>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</si>
  <si>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</si>
  <si>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</si>
  <si>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</si>
  <si>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</si>
  <si>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</si>
  <si>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</si>
  <si>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</si>
  <si>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</si>
  <si>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</si>
  <si>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</si>
  <si>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</si>
  <si>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</si>
  <si>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</si>
  <si>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</si>
  <si>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</si>
  <si>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</si>
  <si>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</si>
  <si>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</si>
  <si>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</si>
  <si>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</si>
  <si>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</si>
  <si>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</si>
  <si>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</si>
  <si>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</si>
  <si>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</si>
  <si>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</si>
  <si>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</si>
  <si>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</si>
  <si>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</si>
  <si>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</si>
  <si>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</si>
  <si>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</si>
  <si>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</si>
  <si>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</si>
  <si>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</si>
  <si>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</si>
  <si>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</si>
  <si>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</si>
  <si>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</si>
  <si>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</si>
  <si>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</si>
  <si>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</si>
  <si>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</si>
  <si>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</si>
  <si>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</si>
  <si>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</si>
  <si>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</si>
  <si>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</si>
  <si>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</si>
  <si>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</si>
  <si>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</si>
  <si>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</si>
  <si>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</si>
  <si>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</si>
  <si>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</si>
  <si>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</si>
  <si>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</si>
  <si>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</si>
  <si>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</si>
  <si>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</si>
  <si>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</si>
  <si>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</si>
  <si>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</si>
  <si>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</si>
  <si>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</si>
  <si>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</si>
  <si>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</si>
  <si>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</si>
  <si>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</si>
  <si>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</si>
  <si>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</si>
  <si>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</si>
  <si>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</si>
  <si>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</si>
  <si>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</si>
  <si>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</si>
  <si>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</si>
  <si>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</si>
  <si>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</si>
  <si>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</si>
  <si>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</si>
  <si>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</si>
  <si>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</si>
  <si>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</si>
  <si>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</si>
  <si>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</si>
  <si>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</si>
  <si>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</si>
  <si>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</si>
  <si>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</si>
  <si>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</si>
  <si>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</si>
  <si>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</si>
  <si>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</si>
  <si>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</si>
  <si>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</si>
  <si>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</si>
  <si>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</si>
  <si>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</si>
  <si>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</si>
  <si>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</si>
  <si>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</si>
  <si>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</si>
  <si>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</si>
  <si>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</si>
  <si>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</si>
  <si>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</si>
  <si>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</si>
  <si>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</si>
  <si>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</si>
  <si>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</si>
  <si>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</si>
  <si>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</si>
  <si>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</si>
  <si>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</si>
  <si>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</si>
  <si>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</si>
  <si>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</si>
  <si>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</si>
  <si>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</si>
  <si>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</si>
  <si>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</si>
  <si>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</si>
  <si>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</si>
  <si>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</si>
  <si>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</si>
  <si>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</si>
  <si>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</si>
  <si>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</si>
  <si>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</si>
  <si>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</si>
  <si>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</si>
  <si>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</si>
  <si>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</si>
  <si>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</si>
  <si>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</si>
  <si>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</si>
  <si>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</si>
  <si>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</si>
  <si>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</si>
  <si>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</si>
  <si>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</si>
  <si>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</si>
  <si>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</si>
  <si>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</si>
  <si>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</si>
  <si>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</si>
  <si>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</si>
  <si>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</si>
  <si>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</si>
  <si>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</si>
  <si>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</si>
  <si>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</si>
  <si>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</si>
  <si>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</si>
  <si>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</si>
  <si>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</si>
  <si>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</si>
  <si>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</si>
  <si>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</si>
  <si>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</si>
  <si>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</si>
  <si>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</si>
  <si>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</si>
  <si>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</si>
  <si>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</si>
  <si>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</si>
  <si>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</si>
  <si>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</si>
  <si>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</si>
  <si>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</si>
  <si>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</si>
  <si>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</si>
  <si>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</si>
  <si>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</si>
  <si>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</si>
  <si>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</si>
  <si>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</si>
  <si>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</si>
  <si>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</si>
  <si>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</si>
  <si>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</si>
  <si>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</si>
  <si>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</si>
  <si>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</si>
  <si>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</si>
  <si>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</si>
  <si>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</si>
  <si>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</si>
  <si>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</si>
  <si>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</si>
  <si>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</si>
  <si>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</si>
  <si>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</si>
  <si>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</si>
  <si>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</si>
  <si>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</si>
  <si>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</si>
  <si>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</si>
  <si>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</si>
  <si>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</si>
  <si>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</si>
  <si>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</si>
  <si>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</si>
  <si>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</si>
  <si>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</si>
  <si>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</si>
  <si>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</si>
  <si>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</si>
  <si>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</si>
  <si>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</si>
  <si>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</si>
  <si>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</si>
  <si>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</si>
  <si>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</si>
  <si>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</si>
  <si>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</si>
  <si>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</si>
  <si>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</si>
  <si>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</si>
  <si>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</si>
  <si>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</si>
  <si>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</si>
  <si>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</si>
  <si>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</si>
  <si>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</si>
  <si>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</si>
  <si>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</si>
  <si>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</si>
  <si>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</si>
  <si>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</si>
  <si>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</si>
  <si>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</si>
  <si>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</si>
  <si>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</si>
  <si>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</si>
  <si>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</si>
  <si>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</si>
  <si>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</si>
  <si>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</si>
  <si>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</si>
  <si>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</si>
  <si>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</si>
  <si>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</si>
  <si>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</si>
  <si>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</si>
  <si>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</si>
  <si>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</si>
  <si>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</si>
  <si>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</si>
  <si>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</si>
  <si>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</si>
  <si>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</si>
  <si>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</si>
  <si>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</si>
  <si>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</si>
  <si>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</si>
  <si>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</si>
  <si>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</si>
  <si>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</si>
  <si>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</si>
  <si>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</si>
  <si>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</si>
  <si>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</si>
  <si>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</si>
  <si>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</si>
  <si>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</si>
  <si>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</si>
  <si>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</si>
  <si>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</si>
  <si>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</si>
  <si>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</si>
  <si>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</si>
  <si>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</si>
  <si>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</si>
  <si>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</si>
  <si>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</si>
  <si>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</si>
  <si>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</si>
  <si>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</si>
  <si>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</si>
  <si>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</si>
  <si>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</si>
  <si>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</si>
  <si>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</si>
  <si>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</si>
  <si>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</si>
  <si>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</si>
  <si>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</si>
  <si>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</si>
  <si>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</si>
  <si>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</si>
  <si>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</si>
  <si>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</si>
  <si>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</si>
  <si>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</si>
  <si>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</si>
  <si>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</si>
  <si>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</si>
  <si>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</si>
  <si>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</si>
  <si>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</si>
  <si>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</si>
  <si>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</si>
  <si>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</si>
  <si>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</si>
  <si>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</si>
  <si>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</si>
  <si>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</si>
  <si>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</si>
  <si>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</si>
  <si>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</si>
  <si>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</si>
  <si>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</si>
  <si>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</si>
  <si>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</si>
  <si>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</si>
  <si>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</si>
  <si>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</si>
  <si>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</si>
  <si>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</si>
  <si>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</si>
  <si>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</si>
  <si>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</si>
  <si>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</si>
  <si>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</si>
  <si>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</si>
  <si>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</si>
  <si>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</si>
  <si>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</si>
  <si>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</si>
  <si>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</si>
  <si>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</si>
  <si>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</si>
  <si>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</si>
  <si>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</si>
  <si>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</si>
  <si>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</si>
  <si>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</si>
  <si>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</si>
  <si>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</si>
  <si>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</si>
  <si>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</si>
  <si>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</si>
  <si>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</si>
  <si>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</si>
  <si>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</si>
  <si>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</si>
  <si>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</si>
  <si>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</si>
  <si>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</si>
  <si>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</si>
  <si>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</si>
  <si>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</si>
  <si>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</si>
  <si>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</si>
  <si>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</si>
  <si>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</si>
  <si>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</si>
  <si>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</si>
  <si>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</si>
  <si>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</si>
  <si>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</si>
  <si>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</si>
  <si>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</si>
  <si>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</si>
  <si>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</si>
  <si>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</si>
  <si>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</si>
  <si>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</si>
  <si>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</si>
  <si>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</si>
  <si>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</si>
  <si>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</si>
  <si>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</si>
  <si>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</si>
  <si>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</si>
  <si>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</si>
  <si>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</si>
  <si>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</si>
  <si>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</si>
  <si>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</si>
  <si>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</si>
  <si>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</si>
  <si>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</si>
  <si>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</si>
  <si>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</si>
  <si>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</si>
  <si>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</si>
  <si>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</si>
  <si>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</si>
  <si>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</si>
  <si>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</si>
  <si>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</si>
  <si>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</si>
  <si>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</si>
  <si>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</si>
  <si>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</si>
  <si>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</si>
  <si>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</si>
  <si>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</si>
  <si>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</si>
  <si>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</si>
  <si>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</si>
  <si>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</si>
  <si>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</si>
  <si>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</si>
  <si>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</si>
  <si>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</si>
  <si>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</si>
  <si>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</si>
  <si>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</si>
  <si>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</si>
  <si>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</si>
  <si>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</si>
  <si>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</si>
  <si>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</si>
  <si>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</si>
  <si>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</si>
  <si>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</si>
  <si>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</si>
  <si>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</si>
  <si>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</si>
  <si>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</si>
  <si>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</si>
  <si>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</si>
  <si>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</si>
  <si>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</si>
  <si>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</si>
  <si>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</si>
  <si>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</si>
  <si>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</si>
  <si>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</si>
  <si>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</si>
  <si>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</si>
  <si>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</si>
  <si>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</si>
  <si>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</si>
  <si>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</si>
  <si>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</si>
  <si>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</si>
  <si>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</si>
  <si>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</si>
  <si>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</si>
  <si>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</si>
  <si>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</si>
  <si>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</si>
  <si>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</si>
  <si>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</si>
  <si>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</si>
  <si>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</si>
  <si>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</si>
  <si>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</si>
  <si>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</si>
  <si>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</si>
  <si>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</si>
  <si>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</si>
  <si>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</si>
  <si>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</si>
  <si>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</si>
  <si>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</si>
  <si>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</si>
  <si>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</si>
  <si>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</si>
  <si>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</si>
  <si>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</si>
  <si>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</si>
  <si>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</si>
  <si>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</si>
  <si>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</si>
  <si>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</si>
  <si>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Abdullai</t>
  </si>
  <si>
    <t>Scope: Solar to cater for all gadgets in facility</t>
  </si>
  <si>
    <t>INVOICE</t>
  </si>
  <si>
    <t>Victron GX Touch 50</t>
  </si>
  <si>
    <t>AUTOMATE</t>
  </si>
  <si>
    <t>JA Solar JAM66-S45 600 Watts Solar Panel</t>
  </si>
  <si>
    <t>600W Mono</t>
  </si>
  <si>
    <r>
      <rPr>
        <b/>
        <sz val="12"/>
        <color theme="1"/>
        <rFont val="Times New Roman"/>
        <family val="1"/>
      </rPr>
      <t>Warranty: 7</t>
    </r>
    <r>
      <rPr>
        <sz val="12"/>
        <color theme="1"/>
        <rFont val="Times New Roman"/>
        <family val="1"/>
      </rPr>
      <t xml:space="preserve"> year for battery, 5 years for inverter and accessories, 12 years for solar panels</t>
    </r>
  </si>
  <si>
    <r>
      <rPr>
        <b/>
        <sz val="12"/>
        <color theme="1"/>
        <rFont val="Times New Roman"/>
        <family val="1"/>
      </rPr>
      <t xml:space="preserve">Warranty: </t>
    </r>
    <r>
      <rPr>
        <sz val="12"/>
        <color theme="1"/>
        <rFont val="Times New Roman"/>
        <family val="1"/>
      </rPr>
      <t>10 years for battery, 5 years for inverter and accessories, 12 years for solar panels</t>
    </r>
  </si>
  <si>
    <r>
      <rPr>
        <b/>
        <sz val="12"/>
        <color theme="1"/>
        <rFont val="Times New Roman"/>
        <family val="1"/>
      </rPr>
      <t xml:space="preserve">Warranty: </t>
    </r>
    <r>
      <rPr>
        <sz val="12"/>
        <color theme="1"/>
        <rFont val="Times New Roman"/>
        <family val="1"/>
      </rPr>
      <t>1 year for battery, 5 years for inverter and accessories, 12 years for solar panels</t>
    </r>
  </si>
  <si>
    <r>
      <rPr>
        <b/>
        <sz val="12"/>
        <color theme="1"/>
        <rFont val="Times New Roman"/>
        <family val="1"/>
      </rPr>
      <t xml:space="preserve">Warranty: </t>
    </r>
    <r>
      <rPr>
        <sz val="12"/>
        <color theme="1"/>
        <rFont val="Times New Roman"/>
        <family val="1"/>
      </rPr>
      <t>5 years for inverter and accessories, 12 years for solar panels</t>
    </r>
  </si>
  <si>
    <t>Warranty: 7 year for battery, 5 years for inverter and accessories, 12 years for solar panels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</si>
</sst>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59" fillId="17" borderId="0" xfId="1"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71">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rgb="FF9C0006"/>
      </font>
      <fill>
        <patternFill>
          <bgColor rgb="FFFFC7CE"/>
        </patternFill>
      </fill>
    </dxf>
    <dxf>
      <font>
        <strike val="0"/>
        <color theme="8" tint="0.39994506668294322"/>
      </font>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left/>
        <right/>
        <top/>
        <bottom style="thin">
          <color auto="1"/>
        </bottom>
        <vertical/>
        <horizontal/>
      </border>
    </dxf>
    <dxf>
      <font>
        <color theme="0"/>
      </font>
    </dxf>
    <dxf>
      <font>
        <color theme="8" tint="0.59996337778862885"/>
      </font>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70" dataDxfId="469">
  <autoFilter ref="B32:J50" xr:uid="{00000000-0009-0000-0100-000001000000}"/>
  <tableColumns count="9">
    <tableColumn id="1" xr3:uid="{A5A6DDE8-644E-B645-9B31-774C6797337A}" name="Ref A      1-Phase" dataDxfId="468"/>
    <tableColumn id="2" xr3:uid="{5D2C410F-BD87-9E49-95F1-4416B31F01CA}" name="Ref A      3-Phase" dataDxfId="467"/>
    <tableColumn id="3" xr3:uid="{DDA67CFB-0BF8-0D47-8177-27F0A393C879}" name="Ref B      1-Phase" dataDxfId="466"/>
    <tableColumn id="4" xr3:uid="{22F4E3A3-299A-B64D-8636-11BDF77B5419}" name="Ref B      3-Phase" dataDxfId="465"/>
    <tableColumn id="5" xr3:uid="{3E00CFF8-2195-5742-B8E3-25463BAD433E}" name="Ref C      1-Phase" dataDxfId="464"/>
    <tableColumn id="6" xr3:uid="{65AB633F-BECC-4E4A-9B00-006F478AFF70}" name="Ref C       3-Phase" dataDxfId="463"/>
    <tableColumn id="7" xr3:uid="{DBA997D8-96A1-1B47-A8CC-A9140FD62C59}" name="Ref E      1-Phase" dataDxfId="462"/>
    <tableColumn id="8" xr3:uid="{BC868A03-2C0B-7B4C-B087-A5E1350A5099}" name="Ref E       3-Phase" dataDxfId="461"/>
    <tableColumn id="9" xr3:uid="{56A9FE2A-81EE-7443-898C-C4DF0C51E914}" name="Cable Size" dataDxfId="460"/>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9" dataDxfId="458">
  <autoFilter ref="B5:M27" xr:uid="{00000000-0009-0000-0100-000002000000}"/>
  <tableColumns count="12">
    <tableColumn id="1" xr3:uid="{5C06527D-77C9-B546-9AB2-6EC17F04B200}" name="Ref A      1-Phase" dataDxfId="457"/>
    <tableColumn id="2" xr3:uid="{9DB9C4F4-B5BE-3D42-9FA6-E719EA89B54D}" name="Ref A      3-Phase" dataDxfId="456"/>
    <tableColumn id="3" xr3:uid="{4F7686AF-D48B-C444-B41F-B9CE078C91ED}" name="Ref B      1-Phase" dataDxfId="455"/>
    <tableColumn id="4" xr3:uid="{C80BCB45-48A2-6649-91B7-EC4C30168FE6}" name="Ref B      3-Phase" dataDxfId="454"/>
    <tableColumn id="5" xr3:uid="{29B05CD9-1DBC-3649-BC36-854EE621D2B3}" name="Ref C      Touching 1-Phase Flat" dataDxfId="453"/>
    <tableColumn id="6" xr3:uid="{CEAECAB6-F10C-D144-89F6-D38D78A30974}" name="Ref C      Touching 3-Phase" dataDxfId="452"/>
    <tableColumn id="7" xr3:uid="{23A9B015-F0F1-A247-BB37-68A552781076}" name="Ref F      Touching 1-Phase Flat" dataDxfId="451"/>
    <tableColumn id="8" xr3:uid="{B1BF9084-22A0-2744-8735-C1271BF97214}" name="Ref F      Touching 3-Phase Flat" dataDxfId="450"/>
    <tableColumn id="9" xr3:uid="{C3645EAC-3AD3-1549-A27E-7BE1E6BE5E86}" name="Ref F      Touching 3-Phase Trefoil" dataDxfId="449"/>
    <tableColumn id="10" xr3:uid="{28F7DF2A-F36C-8B41-A5C4-947BA6644CCF}" name="Ref F      Spaced    Flat Horizontal" dataDxfId="448"/>
    <tableColumn id="11" xr3:uid="{314CF27A-AD57-7540-BE25-AA8988EA02CA}" name="Ref F      Spaced   Flat Vertical" dataDxfId="447"/>
    <tableColumn id="12" xr3:uid="{A2F6A710-73AF-6A4B-AD64-576FB8D4D121}" name="Cable Size" dataDxfId="44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5" dataDxfId="444">
  <autoFilter ref="B55:M68" xr:uid="{00000000-0009-0000-0100-000003000000}"/>
  <tableColumns count="12">
    <tableColumn id="1" xr3:uid="{8F56D565-4DBE-134B-A783-9E3202E43BD6}" name="Ref C      Touching 1-Phase Flat" dataDxfId="443"/>
    <tableColumn id="2" xr3:uid="{B4E810FA-0946-CE43-BAAC-9FFF8C869AB4}" name="Ref C      Touching 3-Phase Flat" dataDxfId="442"/>
    <tableColumn id="3" xr3:uid="{9505943B-4DB3-3249-B909-488D6AFB3261}" name="Ref F      Touching 1-Phase Flat" dataDxfId="441"/>
    <tableColumn id="4" xr3:uid="{9B4F775E-F876-AD47-B8B2-762C1787D834}" name="Ref F      Touching 3-Phase Flat" dataDxfId="440"/>
    <tableColumn id="5" xr3:uid="{70FD5798-BEAA-644A-ADA7-B483122AA72A}" name="Ref F      Touching 3-Phase Trefoil" dataDxfId="439"/>
    <tableColumn id="6" xr3:uid="{1D79B934-9CD2-C543-919C-9637F4CC509C}" name="Ref F      Spaced   D.C.   Horizontal" dataDxfId="438"/>
    <tableColumn id="7" xr3:uid="{AC056145-8E01-ED4F-91CC-4803354D17C8}" name="Ref F      Spaced   D.C.   Vertical" dataDxfId="437"/>
    <tableColumn id="8" xr3:uid="{4937B457-2102-FC42-B281-C6729DBFD3FD}" name="Ref F      Spaced     1-Phase   Horizontal" dataDxfId="436"/>
    <tableColumn id="9" xr3:uid="{D64FB8E3-0445-ED4C-B5F1-6B179D9D0B49}" name="Ref F      Spaced   1-Phase   Vertical" dataDxfId="435"/>
    <tableColumn id="10" xr3:uid="{61797ED1-B72E-DF4C-B81D-DBD99AD81D9B}" name="Ref F      Spaced     3-Phase   Horizontal" dataDxfId="434"/>
    <tableColumn id="11" xr3:uid="{D60525F3-3629-7C4C-B5D3-ED38803EC137}" name="Ref F      Spaced     3-Phase   Vertical" dataDxfId="433"/>
    <tableColumn id="12" xr3:uid="{CB42BC2B-CC8D-F04F-B50E-9AE44768EC45}" name="Cable Size" dataDxfId="432"/>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31" dataDxfId="430">
  <autoFilter ref="B73:H90" xr:uid="{00000000-0009-0000-0100-000004000000}"/>
  <tableColumns count="7">
    <tableColumn id="1" xr3:uid="{4CBC3141-7EF2-E44F-B44A-CB40591B5906}" name="Ref C      1-Phase" dataDxfId="429"/>
    <tableColumn id="2" xr3:uid="{6F6E3EF0-8496-2E4B-9178-A9144373A78B}" name="Ref C     3-Phase" dataDxfId="428"/>
    <tableColumn id="3" xr3:uid="{F65744A9-E645-1343-B427-E350DC2DD900}" name="Ref E      1-Phase" dataDxfId="427"/>
    <tableColumn id="4" xr3:uid="{33F323D5-AB20-C44C-82F9-4236AC584AC0}" name="Ref E      3-Phase" dataDxfId="426"/>
    <tableColumn id="5" xr3:uid="{6E88914E-E8DE-6B47-888E-54BDED9D9CCC}" name="Ref D      1-Phase2" dataDxfId="425"/>
    <tableColumn id="6" xr3:uid="{CC09EA98-FD58-A14E-BCBC-BE1963B4E391}" name="Ref D       3-Phase" dataDxfId="424"/>
    <tableColumn id="9" xr3:uid="{610C94DD-7FD7-7545-85B6-A79F566866FD}" name="Cable Size" dataDxfId="423"/>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2" dataDxfId="421">
  <autoFilter ref="B95:I102" xr:uid="{00000000-0009-0000-0100-000005000000}"/>
  <tableColumns count="8">
    <tableColumn id="1" xr3:uid="{8FB351C3-C113-2946-A5C8-9C16DF222FA2}" name="Method 100" dataDxfId="420"/>
    <tableColumn id="2" xr3:uid="{5C732C79-2C0A-A745-895C-C450A0445D07}" name="Method 101" dataDxfId="419"/>
    <tableColumn id="3" xr3:uid="{28A94422-D28E-0A42-AEB1-81DA8253B205}" name="Method 102" dataDxfId="418"/>
    <tableColumn id="4" xr3:uid="{FA300742-14C1-C742-BAFA-0A05A3116FCC}" name="Method 103" dataDxfId="417"/>
    <tableColumn id="5" xr3:uid="{F42C8BC2-9646-D94F-9CFD-5F752EE81F6F}" name="Ref C      " dataDxfId="416"/>
    <tableColumn id="6" xr3:uid="{63CCA8E7-8F73-A74C-AC0D-1A595CF2066F}" name="Ref A" dataDxfId="415"/>
    <tableColumn id="11" xr3:uid="{19E2CE50-0627-2441-9B42-1CEBBAC201C0}" name="Voltage Drop" dataDxfId="414"/>
    <tableColumn id="12" xr3:uid="{DCFDE463-2F30-A745-83D6-50242C7B5E2E}" name="Cable Size" dataDxfId="413"/>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2" dataDxfId="411">
  <autoFilter ref="B107:M129" xr:uid="{00000000-0009-0000-0100-000006000000}"/>
  <tableColumns count="12">
    <tableColumn id="1" xr3:uid="{69876B71-738A-4843-B22F-4678EA2DFFBD}" name="Ref A      1-Phase" dataDxfId="410"/>
    <tableColumn id="2" xr3:uid="{0584E925-BABB-154B-909C-59D606F02965}" name="Ref A      3-Phase" dataDxfId="409"/>
    <tableColumn id="3" xr3:uid="{A3C314AC-AC7C-DE46-AD29-4C881941345E}" name="Ref B      1-Phase" dataDxfId="408"/>
    <tableColumn id="4" xr3:uid="{2027E9C0-B081-764A-92B9-3425DAB598FA}" name="Ref B      3-Phase" dataDxfId="407"/>
    <tableColumn id="5" xr3:uid="{881EC58B-27EC-C740-8104-21DB488464FA}" name="Ref C      Touching 1-Phase Flat" dataDxfId="406"/>
    <tableColumn id="6" xr3:uid="{1122F6BB-146A-4E42-B356-AE6DF575EADA}" name="Ref C      Touching 3-Phase" dataDxfId="405"/>
    <tableColumn id="7" xr3:uid="{F78FB527-5C4C-D849-B4C0-892CF0DBFFDF}" name="Ref F      Touching 1-Phase Flat" dataDxfId="404"/>
    <tableColumn id="8" xr3:uid="{BC97B3AE-77A7-C847-A15E-FD131691FD4A}" name="Ref F      Touching 3-Phase Flat" dataDxfId="403"/>
    <tableColumn id="9" xr3:uid="{FB8F73BA-6EF6-5147-BEF9-6B6069576E11}" name="Ref F      Touching 3-Phase Trefoil" dataDxfId="402"/>
    <tableColumn id="10" xr3:uid="{4A8C5A2F-1E67-2E43-9627-F1FF6A758159}" name="Ref F      Spaced   Flat Horizontal" dataDxfId="401"/>
    <tableColumn id="11" xr3:uid="{F7E9141A-6CDC-0147-9BB9-AA2C96EE1BFB}" name="Ref F      Spaced   Flat Vertical" dataDxfId="400"/>
    <tableColumn id="12" xr3:uid="{098BEAAB-704A-3047-896C-FCC18998BF4B}" name="Cable Size" dataDxfId="399"/>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8" dataDxfId="397">
  <autoFilter ref="B134:J152" xr:uid="{00000000-0009-0000-0100-000007000000}"/>
  <tableColumns count="9">
    <tableColumn id="1" xr3:uid="{F2AC4F0A-8F37-E640-BFDA-3E7ADBB12ABA}" name="Ref A      1-Phase" dataDxfId="396"/>
    <tableColumn id="2" xr3:uid="{7BC4515A-B88B-8947-99FB-F0D78629F4D7}" name="Ref A      3-Phase" dataDxfId="395"/>
    <tableColumn id="3" xr3:uid="{706E4CE4-FBDB-2443-839E-56841473F7EA}" name="Ref B      1-Phase" dataDxfId="394"/>
    <tableColumn id="4" xr3:uid="{F89297AC-B01A-C443-A753-0312BC5644F7}" name="Ref B      3-Phase" dataDxfId="393"/>
    <tableColumn id="5" xr3:uid="{2F640B1A-FC15-E541-8B29-98C16486B789}" name="Ref C      1-Phase" dataDxfId="392"/>
    <tableColumn id="6" xr3:uid="{2819E63D-1391-6346-8FD7-E6CDA6F3D277}" name="Ref C      3-Phase" dataDxfId="391"/>
    <tableColumn id="7" xr3:uid="{39EFFEAC-971D-124B-BE7D-1891681D8B09}" name="Ref E      1-Phase" dataDxfId="390"/>
    <tableColumn id="8" xr3:uid="{6BFA4C82-5B3E-F345-ACD2-80292358D991}" name="Ref E     3-Phase" dataDxfId="389"/>
    <tableColumn id="9" xr3:uid="{BFF7D58E-270E-6745-8DC1-E314C93EB662}" name="Cable Size" dataDxfId="388"/>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7" dataDxfId="386">
  <autoFilter ref="B157:M170" xr:uid="{00000000-0009-0000-0100-000008000000}"/>
  <tableColumns count="12">
    <tableColumn id="1" xr3:uid="{82CEC370-C125-F940-A4D7-6254549BDD3D}" name="Ref C      Touching 1-Phase Flat" dataDxfId="385"/>
    <tableColumn id="2" xr3:uid="{068FCE23-09BF-514D-B68F-74CE7E133243}" name="Ref C      Touching 3-Phase Flat" dataDxfId="384"/>
    <tableColumn id="3" xr3:uid="{E8CCC19E-5185-DB4A-9357-6438BEA9BC0A}" name="Ref F      Touching 1-Phase Flat" dataDxfId="383"/>
    <tableColumn id="4" xr3:uid="{9A690EFF-14BB-104E-B006-BCD1FFD99761}" name="Ref F      Touching 3-Phase Flat" dataDxfId="382"/>
    <tableColumn id="5" xr3:uid="{0BAF8325-0E0C-2B4E-9EC5-31845BF42D8D}" name="Ref F      Touching 3-Phase Trefoil" dataDxfId="381"/>
    <tableColumn id="6" xr3:uid="{BBF3BFF1-A03F-164C-ACEE-61D71FD9B26A}" name="Ref F      Spaced   D.C.   Horizontal" dataDxfId="380"/>
    <tableColumn id="7" xr3:uid="{7A2369B8-A87E-204B-B36D-A203DC118AAF}" name="Ref F      Spaced   D.C.   Vertical" dataDxfId="379"/>
    <tableColumn id="8" xr3:uid="{9C855780-7BFC-4648-9469-EFB84E90B69A}" name="Ref F      Spaced     1-Phase   Horizontal" dataDxfId="378"/>
    <tableColumn id="9" xr3:uid="{602498A4-0F4B-214D-B336-00FCADEE478B}" name="Ref F      Spaced   1-Phase   Vertical" dataDxfId="377"/>
    <tableColumn id="10" xr3:uid="{FD44C38F-72DA-A54C-A720-E7E458934B10}" name="Ref F      Spaced     3-Phase   Horizontal" dataDxfId="376"/>
    <tableColumn id="11" xr3:uid="{525CA405-9E96-154B-A391-06539FFAA2CF}" name="Ref F      Spaced     3-Phase   Vertical" dataDxfId="375"/>
    <tableColumn id="12" xr3:uid="{0B90640E-86E9-E342-AA6E-9FF42D688682}" name="Cable Size" dataDxfId="374"/>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3" dataDxfId="372">
  <autoFilter ref="B175:H192" xr:uid="{00000000-0009-0000-0100-000009000000}"/>
  <tableColumns count="7">
    <tableColumn id="1" xr3:uid="{D4F598C6-F774-A245-9243-2B4B03CD40D2}" name="Ref C      1-Phase" dataDxfId="371"/>
    <tableColumn id="2" xr3:uid="{04C29071-6D86-8440-878B-F7B1BB6E2E27}" name="Ref C     3-Phase" dataDxfId="370"/>
    <tableColumn id="3" xr3:uid="{F21D7E28-3152-9A43-95F2-2B869937953F}" name="Ref E      1-Phase" dataDxfId="369"/>
    <tableColumn id="4" xr3:uid="{F98FC7C4-C27D-7642-8297-8E5EE5E4F817}" name="Ref E      3-Phase" dataDxfId="368"/>
    <tableColumn id="5" xr3:uid="{50D5D0E9-4216-D74E-83B0-7484886EB992}" name="Ref D      1-Phase2" dataDxfId="367"/>
    <tableColumn id="6" xr3:uid="{6FE7DD63-352B-6745-860B-1A07CF74C71A}" name="Ref D       3-Phase" dataDxfId="366"/>
    <tableColumn id="9" xr3:uid="{9E0DDEA8-CB86-3447-8CEA-A67A617129C6}" name="Cable Size" dataDxfId="365"/>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4" dataDxfId="363">
  <autoFilter ref="B197:E214" xr:uid="{00000000-0009-0000-0100-00000A000000}"/>
  <tableColumns count="4">
    <tableColumn id="1" xr3:uid="{DCCB7E08-04C2-4242-93A9-BDE92FB6A283}" name="1-Phase Two-core " dataDxfId="362"/>
    <tableColumn id="2" xr3:uid="{4B9FCF36-8D0C-4042-922A-9BC44C3D1F05}" name="3-Phase" dataDxfId="361"/>
    <tableColumn id="3" xr3:uid="{B6A3816F-CDE4-3943-9BB2-B35F4AD865DF}" name="1-Phase Single-core" dataDxfId="360"/>
    <tableColumn id="9" xr3:uid="{B03F009D-7194-2641-99E5-B903C8AEA279}" name="Cable Size" dataDxfId="359"/>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8" dataDxfId="357">
  <autoFilter ref="B219:E236" xr:uid="{00000000-0009-0000-0100-00000B000000}"/>
  <tableColumns count="4">
    <tableColumn id="1" xr3:uid="{C7BC598E-574E-8248-AAFC-405454E47A95}" name="1-Phase Two-core " dataDxfId="356"/>
    <tableColumn id="2" xr3:uid="{E54C70CA-6079-1642-B08E-0FA28F62AA58}" name="3-Phase" dataDxfId="355"/>
    <tableColumn id="3" xr3:uid="{0CA2C46F-6469-6545-B702-1AD0F47F273D}" name="1-Phase Single-core" dataDxfId="354"/>
    <tableColumn id="9" xr3:uid="{65D163C7-B8F0-DD41-B720-C2BF90BBA2E9}" name="Cable Size" dataDxfId="353"/>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2" dataDxfId="351">
  <autoFilter ref="B253:J275" xr:uid="{00000000-0009-0000-0100-00000C000000}"/>
  <tableColumns count="9">
    <tableColumn id="1" xr3:uid="{DFBC639F-9667-8047-9149-8C7396024340}" name="Ref C      1-Phase" dataDxfId="350"/>
    <tableColumn id="2" xr3:uid="{194A8F82-8175-EA44-93C8-507354B7CCAB}" name="Ref C      3-Phase Trefoil" dataDxfId="349"/>
    <tableColumn id="3" xr3:uid="{4650777B-B819-5B47-B466-615965EF1FD0}" name="Ref C     3-Phase Flat" dataDxfId="348"/>
    <tableColumn id="4" xr3:uid="{F63D3B77-F6F3-B846-A8C5-F04AC142A537}" name="Ref E,F,G      1-Phase" dataDxfId="347"/>
    <tableColumn id="5" xr3:uid="{550849B2-8B8F-2447-B8DC-08D6C058F9E8}" name="Ref E,F,G      3-Phase Trefoil" dataDxfId="346"/>
    <tableColumn id="6" xr3:uid="{3427F223-0BD0-F344-8635-674EB8F0A51A}" name="Ref E,F,G      Touching 3-Phase Flat" dataDxfId="345"/>
    <tableColumn id="7" xr3:uid="{BF267E42-7B42-BA47-A4AB-443B140DE1AD}" name="Ref E,F,G      Spaced     3-Phase Flat Vertical" dataDxfId="344"/>
    <tableColumn id="8" xr3:uid="{86425269-6F9D-9144-8FDC-2499835A6159}" name="Ref E,F,G      Spaced     3-Phase Flat Horizontal" dataDxfId="343"/>
    <tableColumn id="12" xr3:uid="{7DADAD61-FABB-5C49-B275-CD128F2D207E}" name="Cable Size" dataDxfId="342"/>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41" dataDxfId="340">
  <autoFilter ref="B280:J302" xr:uid="{00000000-0009-0000-0100-00000D000000}"/>
  <tableColumns count="9">
    <tableColumn id="1" xr3:uid="{E255A2DA-B172-854A-9A27-23E502BCFD7E}" name="Ref C      1-Phase" dataDxfId="339"/>
    <tableColumn id="2" xr3:uid="{0EC491FE-F50F-2B42-96AA-32AA7FECF1DA}" name="Ref C      3-Phase Trefoil" dataDxfId="338"/>
    <tableColumn id="3" xr3:uid="{677087E4-9AEE-F14B-B8B6-6C8E43F0402B}" name="Ref C     3-Phase Flat" dataDxfId="337"/>
    <tableColumn id="4" xr3:uid="{DD93A0DD-B99F-064A-B4D1-509740BE6D31}" name="Ref E,F,G      1-Phase" dataDxfId="336"/>
    <tableColumn id="5" xr3:uid="{01F60A36-D73C-6B48-99DF-6CD3E42EF749}" name="Ref E,F,G      3-Phase Trefoil" dataDxfId="335"/>
    <tableColumn id="6" xr3:uid="{B1C34053-0880-DB41-8E11-052187B999EA}" name="Ref E,F,G      Touching 3-Phase Flat" dataDxfId="334"/>
    <tableColumn id="7" xr3:uid="{33D99F2B-A68F-B241-A635-485EF462D77E}" name="Ref E,F,G      Spaced     3-Phase Flat Vertical" dataDxfId="333"/>
    <tableColumn id="8" xr3:uid="{E073D6ED-43BC-6B4F-A6D3-0DD3EF8FE162}" name="Ref E,F,G      Spaced     3-Phase Flat Horizontal" dataDxfId="332"/>
    <tableColumn id="12" xr3:uid="{8354A0F5-78CC-884C-9283-BEF837D5CB48}" name="Cable Size" dataDxfId="331"/>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30" dataDxfId="329">
  <autoFilter ref="B326:J337" xr:uid="{00000000-0009-0000-0100-00000E000000}"/>
  <tableColumns count="9">
    <tableColumn id="1" xr3:uid="{0DC71F84-F504-1749-8CE0-0482348332AF}" name="Ref A      1-Phase" dataDxfId="328"/>
    <tableColumn id="2" xr3:uid="{DFD03A18-96FC-6247-A14E-455FA79576B9}" name="Ref A      3-Phase" dataDxfId="327"/>
    <tableColumn id="3" xr3:uid="{65DFBBAE-B2B0-6744-BD4E-A4430419F917}" name="Ref B      1-Phase" dataDxfId="326"/>
    <tableColumn id="4" xr3:uid="{22453F02-142C-454D-A722-726F3356B39C}" name="Ref B      3-Phase" dataDxfId="325"/>
    <tableColumn id="5" xr3:uid="{A45D7D5E-CD53-9F46-94A8-64C638B3FB7C}" name="Ref C      1-Phase" dataDxfId="324"/>
    <tableColumn id="6" xr3:uid="{67A89AF4-9C52-F349-9D5A-BE8DC7835430}" name="Ref C       3-Phase" dataDxfId="323"/>
    <tableColumn id="7" xr3:uid="{024429F7-115E-9849-8319-157FDA92113D}" name="Ref E      1-Phase" dataDxfId="322"/>
    <tableColumn id="8" xr3:uid="{560F5836-21A1-FD4C-9910-4E8372E5215F}" name="Ref E       3-Phase" dataDxfId="321"/>
    <tableColumn id="9" xr3:uid="{0D0CA484-DB56-0347-A90E-CC2896A77496}" name="Cable Size" dataDxfId="320"/>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9" dataDxfId="318">
  <autoFilter ref="B307:M321" xr:uid="{00000000-0009-0000-0100-00000F000000}"/>
  <tableColumns count="12">
    <tableColumn id="1" xr3:uid="{4C5FE5CC-34BA-2C49-8C1E-D642993EFE8E}" name="Ref A      1-Phase" dataDxfId="317"/>
    <tableColumn id="2" xr3:uid="{A90C4450-FF7E-9747-A032-6B50AB0D544D}" name="Ref A      3-Phase" dataDxfId="316"/>
    <tableColumn id="3" xr3:uid="{2357887B-4CAF-6D42-A089-0D6F958336A7}" name="Ref B      1-Phase" dataDxfId="315"/>
    <tableColumn id="4" xr3:uid="{89B25D8F-D806-C147-A1C1-12D6C6BA7659}" name="Ref B      3-Phase" dataDxfId="314"/>
    <tableColumn id="5" xr3:uid="{2BA067DB-13C5-1F43-8164-C2A02D2DFEAF}" name="Ref C      Touching 1-Phase Flat" dataDxfId="313"/>
    <tableColumn id="6" xr3:uid="{316AF11A-58DC-5143-8ADD-874FAF0F0C50}" name="Ref C      Touching 3-Phase" dataDxfId="312"/>
    <tableColumn id="7" xr3:uid="{930FEBC5-AB03-BA42-AA01-0E7C1ED6DE3B}" name="Ref F      Touching 1-Phase Flat" dataDxfId="311"/>
    <tableColumn id="8" xr3:uid="{0360649E-E3E1-AA4A-8E31-C63245CA0DD0}" name="Ref F      Touching 3-Phase Flat" dataDxfId="310"/>
    <tableColumn id="9" xr3:uid="{68799CA0-DA49-2A41-A3CA-6FA2BFB21CC6}" name="Ref F      Touching 3-Phase Trefoil" dataDxfId="309"/>
    <tableColumn id="10" xr3:uid="{2D8E902C-8D09-4E4E-9116-7DDC88C8A2B9}" name="Ref F      Spaced    Flat Horizontal" dataDxfId="308"/>
    <tableColumn id="11" xr3:uid="{3DA555C5-AA5A-864B-87A8-717BC26C010A}" name="Ref F      Spaced   Flat Vertical" dataDxfId="307"/>
    <tableColumn id="12" xr3:uid="{D1875A26-631E-7745-99AA-272BF8B513D0}" name="Cable Size" dataDxfId="306"/>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5" dataDxfId="304">
  <autoFilter ref="B342:M356" xr:uid="{00000000-0009-0000-0100-000010000000}"/>
  <tableColumns count="12">
    <tableColumn id="1" xr3:uid="{6543A18A-EA9F-5A4F-AADF-FB5E22E3B550}" name="Ref C      Touching 1-Phase Flat" dataDxfId="303"/>
    <tableColumn id="2" xr3:uid="{93F1E9A1-708F-314E-82A2-75464D79932A}" name="Ref C      Touching 3-Phase Flat" dataDxfId="302"/>
    <tableColumn id="3" xr3:uid="{049EBDDD-C52C-D24B-A591-7BF99301F7D1}" name="Ref F      Touching 1-Phase Flat" dataDxfId="301"/>
    <tableColumn id="4" xr3:uid="{B9D30280-A4A1-F946-9ED2-3CCAEC73868C}" name="Ref F      Touching 3-Phase Flat" dataDxfId="300"/>
    <tableColumn id="5" xr3:uid="{FE9C2CD6-FC4D-1042-8F85-86062E74E777}" name="Ref F      Touching 3-Phase Trefoil" dataDxfId="299"/>
    <tableColumn id="6" xr3:uid="{58BFF602-0AA0-334A-A509-07D843A9BC48}" name="Ref F      Spaced   D.C.   Horizontal" dataDxfId="298"/>
    <tableColumn id="7" xr3:uid="{8A5FC9D8-C52F-614E-BBAF-7038D85E6ABB}" name="Ref F      Spaced   D.C.   Vertical" dataDxfId="297"/>
    <tableColumn id="8" xr3:uid="{FC6663CB-16C0-B74A-9436-0125CEE3DA87}" name="Ref F      Spaced     1-Phase   Horizontal" dataDxfId="296"/>
    <tableColumn id="9" xr3:uid="{64329233-5E20-4247-B033-66B6AD207F3F}" name="Ref F      Spaced   1-Phase   Vertical" dataDxfId="295"/>
    <tableColumn id="10" xr3:uid="{7A1FA81B-2C30-D54C-8C4D-EFF994106290}" name="Ref F      Spaced     3-Phase   Horizontal" dataDxfId="294"/>
    <tableColumn id="11" xr3:uid="{D4F555BE-2EF4-DA48-BB4F-75BCC1C5BDE8}" name="Ref F      Spaced     3-Phase   Vertical" dataDxfId="293"/>
    <tableColumn id="12" xr3:uid="{26F5D117-9E9A-FA4F-A477-D35214877032}" name="Cable Size" dataDxfId="292"/>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91" dataDxfId="290">
  <autoFilter ref="B361:H372" xr:uid="{00000000-0009-0000-0100-000011000000}"/>
  <tableColumns count="7">
    <tableColumn id="1" xr3:uid="{F63729E2-B0B4-E448-B0F1-A334443D0596}" name="Ref C      1-Phase" dataDxfId="289"/>
    <tableColumn id="2" xr3:uid="{3845F0FD-1350-7445-9D37-DED49DD677CA}" name="Ref C     3-Phase" dataDxfId="288"/>
    <tableColumn id="3" xr3:uid="{EFF6438D-2BD3-BE49-B084-048204EF5ACF}" name="Ref E      1-Phase" dataDxfId="287"/>
    <tableColumn id="4" xr3:uid="{E9D00104-FE6B-4C43-B329-6953BAAC7C99}" name="Ref E      3-Phase" dataDxfId="286"/>
    <tableColumn id="5" xr3:uid="{6BF0A041-CB9C-704F-B2F1-74E4C0F8833C}" name="Ref D      1-Phase2" dataDxfId="285"/>
    <tableColumn id="6" xr3:uid="{D94928BE-1DEA-A94C-8758-DEB254EDB949}" name="Ref D       3-Phase" dataDxfId="284"/>
    <tableColumn id="9" xr3:uid="{67D46232-A09C-1D49-9F11-7A5D91F621C4}" name="Cable Size" dataDxfId="283"/>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2" dataDxfId="281">
  <autoFilter ref="B377:M391" xr:uid="{00000000-0009-0000-0100-000012000000}"/>
  <tableColumns count="12">
    <tableColumn id="1" xr3:uid="{977DC0F5-D51C-9E4D-9DDB-3165F08F489F}" name="Ref A      1-Phase" dataDxfId="280"/>
    <tableColumn id="2" xr3:uid="{48A7A9DE-A71C-9349-9B53-588A2D60991C}" name="Ref A      3-Phase" dataDxfId="279"/>
    <tableColumn id="3" xr3:uid="{31AB2D17-2A5A-7644-856B-C1F0A7C503D2}" name="Ref B      1-Phase" dataDxfId="278"/>
    <tableColumn id="4" xr3:uid="{1951BC6E-C885-C740-BEF5-093198D02098}" name="Ref B      3-Phase" dataDxfId="277"/>
    <tableColumn id="5" xr3:uid="{B22405E2-BB86-8C4C-8ECC-4D36F6E28444}" name="Ref C      Touching 1-Phase Flat" dataDxfId="276"/>
    <tableColumn id="6" xr3:uid="{A01DCA7F-4B23-8540-A0E1-E6F2F02840EB}" name="Ref C      Touching 3-Phase" dataDxfId="275"/>
    <tableColumn id="7" xr3:uid="{419C3070-4E0C-8A48-A33A-18211FEF0775}" name="Ref F      Touching 1-Phase Flat" dataDxfId="274"/>
    <tableColumn id="8" xr3:uid="{8262FCCD-78C0-6543-BF6D-8502E999731D}" name="Ref F      Touching 3-Phase Flat" dataDxfId="273"/>
    <tableColumn id="9" xr3:uid="{6AF71A5C-520D-9B41-B0AB-39A2950036E1}" name="Ref F      Touching 3-Phase Trefoil" dataDxfId="272"/>
    <tableColumn id="10" xr3:uid="{CD9ADE49-922A-6442-AC3C-B251F8E1947D}" name="Ref F      Spaced   Flat Horizontal" dataDxfId="271"/>
    <tableColumn id="11" xr3:uid="{1B609165-20D2-D440-B290-AC0904B15A47}" name="Ref F      Spaced   Flat Vertical" dataDxfId="270"/>
    <tableColumn id="12" xr3:uid="{D3B76686-9B4F-8A4F-8DA3-B4FF02DC9EEE}" name="Cable Size" dataDxfId="269"/>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8" dataDxfId="267">
  <autoFilter ref="B396:J407" xr:uid="{00000000-0009-0000-0100-000013000000}"/>
  <tableColumns count="9">
    <tableColumn id="1" xr3:uid="{1673942B-2C50-B841-A02B-1E16D7260D01}" name="Ref A      1-Phase" dataDxfId="266"/>
    <tableColumn id="2" xr3:uid="{A2F33BA8-22C0-914E-B0A3-96186C89D34A}" name="Ref A      3-Phase" dataDxfId="265"/>
    <tableColumn id="3" xr3:uid="{EA4577CB-C163-384C-9074-9D185EB16D59}" name="Ref B      1-Phase" dataDxfId="264"/>
    <tableColumn id="4" xr3:uid="{FE33DECC-9DAA-1744-8511-DE65626F4B88}" name="Ref B      3-Phase" dataDxfId="263"/>
    <tableColumn id="5" xr3:uid="{8EB2439F-2A5B-6C49-B76F-5385ECEE2CFA}" name="Ref C      1-Phase" dataDxfId="262"/>
    <tableColumn id="6" xr3:uid="{E8B87F04-0AA3-7743-A532-3B980DD91F53}" name="Ref C      3-Phase" dataDxfId="261"/>
    <tableColumn id="7" xr3:uid="{5AC1E31C-C239-BF43-8F8C-078304BAFD38}" name="Ref E      1-Phase" dataDxfId="260"/>
    <tableColumn id="8" xr3:uid="{1E22B2D1-E135-0940-ADB4-DEF469D1733C}" name="Ref E     3-Phase" dataDxfId="259"/>
    <tableColumn id="9" xr3:uid="{730135D8-55EB-4D4D-80DF-8C04C7521219}" name="Cable Size" dataDxfId="258"/>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7" dataDxfId="256">
  <autoFilter ref="B412:M426" xr:uid="{00000000-0009-0000-0100-000014000000}"/>
  <tableColumns count="12">
    <tableColumn id="1" xr3:uid="{1A9B1545-1974-D54C-98B4-F6FE3DF44029}" name="Ref C      Touching 1-Phase Flat" dataDxfId="255"/>
    <tableColumn id="2" xr3:uid="{FB3E3318-AFF2-564D-868D-7F3B643F0C13}" name="Ref C      Touching 3-Phase Flat" dataDxfId="254"/>
    <tableColumn id="3" xr3:uid="{5512CC60-89A0-6B47-9E6B-C459F2D3DF97}" name="Ref F      Touching 1-Phase Flat" dataDxfId="253"/>
    <tableColumn id="4" xr3:uid="{40A93E0F-E7DF-1F4B-BBC0-2F2290CCDEA1}" name="Ref F      Touching 3-Phase Flat" dataDxfId="252"/>
    <tableColumn id="5" xr3:uid="{CEAEA337-6735-3F40-8DB2-BD6F8E306460}" name="Ref F      Touching 3-Phase Trefoil" dataDxfId="251"/>
    <tableColumn id="6" xr3:uid="{32C0E437-860B-0B44-9E5A-C66261751BE3}" name="Ref F      Spaced   D.C.   Horizontal" dataDxfId="250"/>
    <tableColumn id="7" xr3:uid="{8FFCE900-B1AD-824F-91E1-4954148831BD}" name="Ref F      Spaced   D.C.   Vertical" dataDxfId="249"/>
    <tableColumn id="8" xr3:uid="{06CDE74A-BCE0-6C45-ACD4-6E3ACBE20753}" name="Ref F      Spaced     1-Phase   Horizontal" dataDxfId="248"/>
    <tableColumn id="9" xr3:uid="{46361111-7236-5F49-A66F-51C76D045135}" name="Ref F      Spaced   1-Phase   Vertical" dataDxfId="247"/>
    <tableColumn id="10" xr3:uid="{7A194A52-8EC6-ED4F-919D-420900969308}" name="Ref F      Spaced     3-Phase   Horizontal" dataDxfId="246"/>
    <tableColumn id="11" xr3:uid="{C56EA2DC-DCB1-6044-A111-5BCCB5D5133F}" name="Ref F      Spaced     3-Phase   Vertical" dataDxfId="245"/>
    <tableColumn id="12" xr3:uid="{57BD4B49-E112-8249-8596-53B8209ADEFE}" name="Cable Size" dataDxfId="244"/>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3" dataDxfId="242">
  <autoFilter ref="B431:H442" xr:uid="{00000000-0009-0000-0100-000015000000}"/>
  <tableColumns count="7">
    <tableColumn id="1" xr3:uid="{E437BF8C-5DA4-AB4F-8B17-0935A2B563FE}" name="Ref C      1-Phase" dataDxfId="241"/>
    <tableColumn id="2" xr3:uid="{E4550746-79B7-874F-890C-8BBA74D60D32}" name="Ref C     3-Phase" dataDxfId="240"/>
    <tableColumn id="3" xr3:uid="{80E819D3-282A-5F46-A290-834A000C7115}" name="Ref E      1-Phase" dataDxfId="239"/>
    <tableColumn id="4" xr3:uid="{FFC03573-1388-E64A-8E2D-B76A27A1F819}" name="Ref E      3-Phase" dataDxfId="238"/>
    <tableColumn id="5" xr3:uid="{D3E8E9A2-AEAA-014A-A600-0B7DE7E73584}" name="Ref D      1-Phase2" dataDxfId="237"/>
    <tableColumn id="6" xr3:uid="{FD8CBCC2-C2EE-524C-99B9-3D7D615E1CBA}" name="Ref D       3-Phase" dataDxfId="236"/>
    <tableColumn id="9" xr3:uid="{420EBFD7-5E6E-FD46-B24A-98EF9736E88D}" name="Cable Size" dataDxfId="235"/>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4" dataDxfId="233">
  <autoFilter ref="B241:E248" xr:uid="{00000000-0009-0000-0100-000016000000}"/>
  <tableColumns count="4">
    <tableColumn id="1" xr3:uid="{1BBE7E2E-5F58-9F4E-A904-8BACFEB0D12C}" name="1-Phase " dataDxfId="232"/>
    <tableColumn id="2" xr3:uid="{37354591-3C7E-464C-BA14-D775C105E3A3}" name="3-Phase" dataDxfId="231"/>
    <tableColumn id="3" xr3:uid="{CC938B2D-3DF8-4443-81BD-F548FEC5A192}" name="Mass Support" dataDxfId="230"/>
    <tableColumn id="9" xr3:uid="{E33CAB35-2C00-D448-924A-38978C9E6657}" name="Cable Size" dataDxfId="229"/>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8" dataDxfId="227">
  <autoFilter ref="U5:AC27" xr:uid="{00000000-0009-0000-0100-000017000000}"/>
  <tableColumns count="9">
    <tableColumn id="1" xr3:uid="{442775B6-B70A-364D-AFA6-5852AD544214}" name="Ref A      1-Phase" dataDxfId="226"/>
    <tableColumn id="2" xr3:uid="{701A09C9-7476-6046-B633-66291D7BF8C1}" name="Ref A      3-Phase" dataDxfId="225"/>
    <tableColumn id="3" xr3:uid="{483EDBDD-EDC7-F245-827A-1FE7919942C9}" name="Ref B      1-Phase" dataDxfId="224"/>
    <tableColumn id="4" xr3:uid="{6778384E-C5AA-E34A-8630-F1937A0E03A3}" name="Ref B      3-Phase" dataDxfId="223"/>
    <tableColumn id="5" xr3:uid="{6D3945F5-5A70-9C4F-8F75-EF734A292399}" name="Ref C      1-Phase" dataDxfId="222"/>
    <tableColumn id="6" xr3:uid="{6D09A362-74DC-0A45-8307-1D3A71F176C2}" name="Ref C       3-Phase" dataDxfId="221"/>
    <tableColumn id="7" xr3:uid="{1C66AF4D-BD57-7C40-BC70-74F2A490E70C}" name="Ref E      1-Phase" dataDxfId="220"/>
    <tableColumn id="8" xr3:uid="{AFDE039E-5C83-0B44-9039-846561275FE6}" name="Ref E       3-Phase" dataDxfId="219"/>
    <tableColumn id="9" xr3:uid="{43DA4CB7-3BAD-684F-9A1B-10462DF4256F}" name="Cable Size" dataDxfId="218"/>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7" dataDxfId="216">
  <autoFilter ref="U32:X50" xr:uid="{00000000-0009-0000-0100-000018000000}"/>
  <tableColumns count="4">
    <tableColumn id="1" xr3:uid="{71D2A83C-2BCB-B243-BD55-2ECFCF6ABE49}" name="1-Phase Two-core " dataDxfId="215"/>
    <tableColumn id="2" xr3:uid="{CB1B4D2C-17D8-D74F-90A3-B7EE84A5EA46}" name="3-Phase" dataDxfId="214"/>
    <tableColumn id="3" xr3:uid="{3161F2E9-016F-3449-A627-1F9AE60307C8}" name="1-Phase Single-core" dataDxfId="213"/>
    <tableColumn id="9" xr3:uid="{4D814E3F-CD96-7348-A939-FAA2AABFB37F}" name="Cable Size" dataDxfId="212"/>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11" dataDxfId="210">
  <autoFilter ref="U55:AA68" xr:uid="{00000000-0009-0000-0100-000019000000}"/>
  <tableColumns count="7">
    <tableColumn id="1" xr3:uid="{2CA16CE5-2329-E544-9B65-03DE2A0D06FC}" name="Ref A      1-Phase" dataDxfId="209"/>
    <tableColumn id="2" xr3:uid="{5D0F6663-5F90-6D43-A6FD-C2805030777A}" name="Ref A      3-Phase" dataDxfId="208"/>
    <tableColumn id="3" xr3:uid="{7898948B-8B28-474B-9F22-BD129275EDE4}" name="Ref B      1-Phase" dataDxfId="207"/>
    <tableColumn id="4" xr3:uid="{5C6F239B-6334-8048-B711-D02F5043A392}" name="Ref B      3-Phase" dataDxfId="206"/>
    <tableColumn id="5" xr3:uid="{4D7C5C12-A3B5-8A41-9B38-C147F9C58CDC}" name="Ref C      1-Phase" dataDxfId="205"/>
    <tableColumn id="6" xr3:uid="{412E0794-DFBE-3C4A-9CE8-ED3186893C96}" name="Ref C       3-Phase" dataDxfId="204"/>
    <tableColumn id="9" xr3:uid="{2862A2A8-8FC9-0841-918D-B758A69C5279}" name="Cable Size" dataDxfId="203"/>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2" dataDxfId="201">
  <autoFilter ref="U73:X90" xr:uid="{00000000-0009-0000-0100-00001A000000}"/>
  <tableColumns count="4">
    <tableColumn id="1" xr3:uid="{805BC523-2031-A747-B3C5-0CEF394607B7}" name="1-Phase Two-core " dataDxfId="200"/>
    <tableColumn id="2" xr3:uid="{C3C6DD1A-A36E-1D4B-BDAA-EB8E3466F724}" name="3-Phase" dataDxfId="199"/>
    <tableColumn id="3" xr3:uid="{76681962-D54C-E848-AA60-8150FED3638B}" name="1-Phase Single-core" dataDxfId="198"/>
    <tableColumn id="9" xr3:uid="{F0DAB1C6-85DF-8E4F-B416-F04412A55E1A}" name="Cable Size" dataDxfId="197"/>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6" dataDxfId="195">
  <autoFilter ref="U107:AC129" xr:uid="{00000000-0009-0000-0100-00001B000000}"/>
  <tableColumns count="9">
    <tableColumn id="1" xr3:uid="{CD264298-C41B-B94F-9D9A-C30E55A7F082}" name="Ref A      1-Phase" dataDxfId="194"/>
    <tableColumn id="2" xr3:uid="{7AB0986D-E76A-EB4A-90E7-EDFCD2575D10}" name="Ref A      3-Phase" dataDxfId="193"/>
    <tableColumn id="3" xr3:uid="{33E2B133-0463-8B48-9331-E62065EAFCB1}" name="Ref B      1-Phase" dataDxfId="192"/>
    <tableColumn id="4" xr3:uid="{1B68A3F2-A410-E147-8EA6-2722B0531A6A}" name="Ref B      3-Phase" dataDxfId="191"/>
    <tableColumn id="5" xr3:uid="{64FA6EEE-31D9-4043-B880-8EF1B001AA37}" name="Ref C      1-Phase" dataDxfId="190"/>
    <tableColumn id="6" xr3:uid="{7DC397DD-466B-0443-825A-EBDD19096741}" name="Ref C       3-Phase" dataDxfId="189"/>
    <tableColumn id="7" xr3:uid="{F9C00A81-A0BA-D44C-820C-ADD707FB27D7}" name="Ref E      1-Phase" dataDxfId="188"/>
    <tableColumn id="8" xr3:uid="{19A4B9BD-22AC-5B4B-BC98-65EAA8BD95B1}" name="Ref E       3-Phase" dataDxfId="187"/>
    <tableColumn id="9" xr3:uid="{EFE6A836-769B-3E46-849B-7878C4D3C557}" name="Cable Size" dataDxfId="186"/>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5" dataDxfId="184">
  <autoFilter ref="U134:X152" xr:uid="{00000000-0009-0000-0100-00001C000000}"/>
  <tableColumns count="4">
    <tableColumn id="1" xr3:uid="{286CC2F4-10EB-714E-A1C7-C9126272023A}" name="1-Phase Two-core " dataDxfId="183"/>
    <tableColumn id="2" xr3:uid="{41A3CAFC-1BF6-9841-8427-46F42DA43E05}" name="3-Phase" dataDxfId="182"/>
    <tableColumn id="3" xr3:uid="{96190F94-65C1-404B-9A44-DB5DB4C5D48C}" name="1-Phase Single-core" dataDxfId="181"/>
    <tableColumn id="9" xr3:uid="{FF89EF52-3E74-8C47-B0DE-07DD29D8C413}" name="Cable Size" dataDxfId="180"/>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9" dataDxfId="178">
  <autoFilter ref="U157:AA170" xr:uid="{00000000-0009-0000-0100-00001D000000}"/>
  <tableColumns count="7">
    <tableColumn id="1" xr3:uid="{88244552-406E-0D41-8343-5F2F21AD93E3}" name="Ref A      1-Phase" dataDxfId="177"/>
    <tableColumn id="2" xr3:uid="{23B0923A-6016-6B4B-8EF4-0196414F8202}" name="Ref A      3-Phase" dataDxfId="176"/>
    <tableColumn id="3" xr3:uid="{26C803A5-56E0-FA4B-9105-93FD1117ABFC}" name="Ref B      1-Phase" dataDxfId="175"/>
    <tableColumn id="4" xr3:uid="{7C85C8DB-1FA5-C541-872D-112E685550A4}" name="Ref B      3-Phase" dataDxfId="174"/>
    <tableColumn id="5" xr3:uid="{E48B910A-D3E8-0340-94D6-F72A13DAD772}" name="Ref C      1-Phase" dataDxfId="173"/>
    <tableColumn id="6" xr3:uid="{6A92A41D-B5D0-9E46-ABD8-FDBE4C5BBB93}" name="Ref C       3-Phase" dataDxfId="172"/>
    <tableColumn id="9" xr3:uid="{ED47B4E4-8201-6B47-9CC9-40F8AB70EBC4}" name="Cable Size" dataDxfId="171"/>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70" dataDxfId="169">
  <autoFilter ref="U175:X192" xr:uid="{00000000-0009-0000-0100-00001E000000}"/>
  <tableColumns count="4">
    <tableColumn id="1" xr3:uid="{6C1DD6A4-51AB-B047-B3B6-EBDC7DB8CC3D}" name="1-Phase Two-core " dataDxfId="168"/>
    <tableColumn id="2" xr3:uid="{67A9DE25-6DDA-AA47-A614-908C221007A4}" name="3-Phase" dataDxfId="167"/>
    <tableColumn id="3" xr3:uid="{1E46A9AA-1975-2C43-B5F3-BE552E58B13C}" name="1-Phase Single-core" dataDxfId="166"/>
    <tableColumn id="9" xr3:uid="{6CC414B1-E2DE-4B48-9A1B-0A9143B4346A}" name="Cable Size" dataDxfId="165"/>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4" dataDxfId="163">
  <autoFilter ref="U197:Z214" xr:uid="{00000000-0009-0000-0100-00001F000000}"/>
  <tableColumns count="6">
    <tableColumn id="1" xr3:uid="{6839D94C-0751-3049-8347-BFADF4A131C3}" name="Ref A      1-Phase" dataDxfId="162"/>
    <tableColumn id="2" xr3:uid="{851784FD-ED3E-0D40-959D-506271E178BF}" name="Ref A      3-Phase" dataDxfId="161"/>
    <tableColumn id="3" xr3:uid="{06CFB962-A74E-5343-8FCF-7168A62B582F}" name="Ref B      1-Phase" dataDxfId="160"/>
    <tableColumn id="4" xr3:uid="{E376AF64-DEF9-4D4D-A57E-CCA00E5B4F87}" name="Ref B      3-Phase" dataDxfId="159"/>
    <tableColumn id="5" xr3:uid="{24622E45-356F-EC4C-B4FF-E916E424FDA4}" name="Ref C      1-Phase" dataDxfId="158"/>
    <tableColumn id="9" xr3:uid="{1320BF40-CA67-FC4A-B637-B9701CE70F37}" name="Cable Size" dataDxfId="157"/>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6" dataDxfId="155">
  <autoFilter ref="U219:Y236" xr:uid="{00000000-0009-0000-0100-000020000000}"/>
  <tableColumns count="5">
    <tableColumn id="1" xr3:uid="{D0AE4E37-EC70-2843-AFBC-461F77FB177A}" name="Ref A      1-Phase" dataDxfId="154"/>
    <tableColumn id="2" xr3:uid="{92008B8B-D102-D043-806A-8E05AA4E29CF}" name="Ref A      3-Phase" dataDxfId="153"/>
    <tableColumn id="3" xr3:uid="{B95C18D8-8E65-844A-9B77-CEACE0DBCAB2}" name="Ref B      1-Phase" dataDxfId="152"/>
    <tableColumn id="4" xr3:uid="{5F744D7F-AF21-2445-89DA-590DA395B762}" name="Ref B      3-Phase" dataDxfId="151"/>
    <tableColumn id="9" xr3:uid="{EB48D9DA-6EC7-594A-84F5-3AEC7125AC1B}" name="Cable Size" dataDxfId="150"/>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9" dataDxfId="148">
  <autoFilter ref="U241:W248" xr:uid="{00000000-0009-0000-0100-000021000000}"/>
  <tableColumns count="3">
    <tableColumn id="1" xr3:uid="{3F6A6880-AC94-3647-8A85-D5A203894DA8}" name="Ref A      1-Phase" dataDxfId="147"/>
    <tableColumn id="2" xr3:uid="{146399FF-4C07-544F-99B6-777CA87E38BD}" name="Ref A      3-Phase" dataDxfId="146"/>
    <tableColumn id="9" xr3:uid="{CA97158B-BD6D-2948-9C8C-E2D3606858B2}" name="Cable Size" dataDxfId="145"/>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4" dataDxfId="143">
  <autoFilter ref="U253:AA269" xr:uid="{00000000-0009-0000-0100-000022000000}"/>
  <tableColumns count="7">
    <tableColumn id="1" xr3:uid="{0DD43760-916D-E045-9276-784738D9CF46}" name="Ref A      1-Phase" dataDxfId="142"/>
    <tableColumn id="2" xr3:uid="{AE646303-8EDF-1C45-87A9-98BDCD8E4AD4}" name="Ref A      3-Phase" dataDxfId="141"/>
    <tableColumn id="3" xr3:uid="{8FC7715F-F33C-5C42-8CD2-408760852A4D}" name="Ref B      1-Phase" dataDxfId="140"/>
    <tableColumn id="4" xr3:uid="{E7500A6C-3A01-AF49-AECC-43CB9F4B3306}" name="Ref B      3-Phase" dataDxfId="139"/>
    <tableColumn id="5" xr3:uid="{8BF20898-863A-E043-87DE-A37F45BEFEF8}" name="Ref C      1-Phase" dataDxfId="138"/>
    <tableColumn id="6" xr3:uid="{978C7074-349D-DF4C-9AC8-BB23EFFEDCDF}" name="Ref C       3-Phase" dataDxfId="137"/>
    <tableColumn id="9" xr3:uid="{69D26A98-D975-F244-996F-40C60BBBC181}" name="Cable Size" dataDxfId="136"/>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5" dataDxfId="134">
  <autoFilter ref="U280:AA296" xr:uid="{00000000-0009-0000-0100-000023000000}"/>
  <tableColumns count="7">
    <tableColumn id="1" xr3:uid="{2A69F06F-33D6-C94F-AC05-47AF903FEF18}" name="Ref A      1-Phase" dataDxfId="133"/>
    <tableColumn id="2" xr3:uid="{781D8D34-40A6-734F-B968-7E38FCE5B2F1}" name="Ref A      3-Phase" dataDxfId="132"/>
    <tableColumn id="3" xr3:uid="{9594DB4F-A46C-5E42-A34A-64E30FF3A786}" name="Ref B      1-Phase" dataDxfId="131"/>
    <tableColumn id="4" xr3:uid="{EF91A6F7-9752-F546-9D4A-6C9B8280B50A}" name="Ref B      3-Phase" dataDxfId="130"/>
    <tableColumn id="5" xr3:uid="{41B000A5-F5F8-524B-B496-0ABF56257F4A}" name="Ref C      1-Phase" dataDxfId="129"/>
    <tableColumn id="6" xr3:uid="{97F2885B-DC71-DD4D-B680-FB44F6ADB184}" name="Ref C       3-Phase" dataDxfId="128"/>
    <tableColumn id="9" xr3:uid="{2167D0D9-A80C-1244-9C54-F05DC247BECF}" name="Cable Size" dataDxfId="127"/>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6" dataDxfId="125">
  <autoFilter ref="U307:AC321" xr:uid="{00000000-0009-0000-0100-000024000000}"/>
  <tableColumns count="9">
    <tableColumn id="1" xr3:uid="{6D1FC2C1-E26F-7240-88CA-54880799F5E6}" name="Ref A      1-Phase" dataDxfId="124"/>
    <tableColumn id="2" xr3:uid="{C5E743AF-51A2-CF46-AB33-5D297AA0ABB7}" name="Ref A      3-Phase" dataDxfId="123"/>
    <tableColumn id="3" xr3:uid="{DA0F157C-C0DA-594A-B7D6-7043EB9BABBC}" name="Ref B      1-Phase" dataDxfId="122"/>
    <tableColumn id="4" xr3:uid="{DD814B35-0B80-D942-A5FB-30C8EA7B039F}" name="Ref B      3-Phase" dataDxfId="121"/>
    <tableColumn id="5" xr3:uid="{907F9B0D-05CC-9145-8121-8066E2A7B815}" name="Ref C      1-Phase" dataDxfId="120"/>
    <tableColumn id="6" xr3:uid="{2FC8BD82-2CE4-D847-A84D-C6C89C98B5EE}" name="Ref C       3-Phase" dataDxfId="119"/>
    <tableColumn id="8" xr3:uid="{EE7E0B79-3899-8B46-BDFF-55EEB0C89132}" name="Column2" dataDxfId="118"/>
    <tableColumn id="7" xr3:uid="{86FC327A-BFB8-BE45-9FCA-18D5C2E1C8D3}" name="Column1" dataDxfId="117"/>
    <tableColumn id="9" xr3:uid="{55BA9153-8617-084D-8072-2BDEA873C11D}" name="Cable Size" dataDxfId="116"/>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5" dataDxfId="114">
  <autoFilter ref="U326:X337" xr:uid="{00000000-0009-0000-0100-000025000000}"/>
  <tableColumns count="4">
    <tableColumn id="1" xr3:uid="{92AF1925-C073-CF43-BAFA-02B96BBF0E3B}" name="Ref A      1-Phase" dataDxfId="113"/>
    <tableColumn id="2" xr3:uid="{33F3EC0F-2239-AF49-8C0E-53D9E74F05E7}" name="Ref A      3-Phase" dataDxfId="112"/>
    <tableColumn id="3" xr3:uid="{A270D948-A4B7-544E-9B39-338285BA4DEA}" name="Ref B      1-Phase" dataDxfId="111"/>
    <tableColumn id="9" xr3:uid="{5682BCA9-139B-C041-B901-A3A1F27871C3}" name="Cable Size" dataDxfId="110"/>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9" dataDxfId="108">
  <autoFilter ref="U342:AA356" xr:uid="{00000000-0009-0000-0100-000026000000}"/>
  <tableColumns count="7">
    <tableColumn id="1" xr3:uid="{6D7FCA58-8E88-7942-8439-0654AFC22F9D}" name="Ref A      1-Phase" dataDxfId="107"/>
    <tableColumn id="2" xr3:uid="{E633F24B-7E9D-CE46-8396-913DD0FA6B18}" name="Ref A      3-Phase" dataDxfId="106"/>
    <tableColumn id="3" xr3:uid="{0DF420AE-F8D0-804B-BBC4-BC57A86FC9F0}" name="Ref B      1-Phase" dataDxfId="105"/>
    <tableColumn id="4" xr3:uid="{08F2BE3C-B823-3441-BFEB-299C43E9BA5A}" name="Ref B      3-Phase" dataDxfId="104"/>
    <tableColumn id="5" xr3:uid="{62B98567-7764-BD4D-BBF3-B2E3EBF0BEF3}" name="Ref C      1-Phase" dataDxfId="103"/>
    <tableColumn id="6" xr3:uid="{AC653322-D67A-9E4A-810D-839C5DB1E19B}" name="Ref C       3-Phase" dataDxfId="102"/>
    <tableColumn id="9" xr3:uid="{0B7A9BE7-15CB-1B47-9F8D-2F1E7AB64222}" name="Cable Size" dataDxfId="101"/>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100" dataDxfId="99">
  <autoFilter ref="U361:X372" xr:uid="{00000000-0009-0000-0100-000027000000}"/>
  <tableColumns count="4">
    <tableColumn id="1" xr3:uid="{E5ACE972-8DD3-E94A-B3B8-0F5A5EBF1267}" name="Ref A      1-Phase" dataDxfId="98"/>
    <tableColumn id="2" xr3:uid="{58126E42-F2E2-3848-A3A7-CBA45806B710}" name="Ref A      3-Phase" dataDxfId="97"/>
    <tableColumn id="3" xr3:uid="{691C67C6-7643-BE47-91A0-834EE1BA4FE0}" name="Ref B      1-Phase" dataDxfId="96"/>
    <tableColumn id="9" xr3:uid="{56D2D4EA-A80B-C242-AC7E-941FBB3018BA}" name="Cable Size" dataDxfId="95"/>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4" dataDxfId="93">
  <autoFilter ref="U377:AC391" xr:uid="{00000000-0009-0000-0100-000028000000}"/>
  <tableColumns count="9">
    <tableColumn id="1" xr3:uid="{B5684DD1-E7C0-EF44-82A1-E465985F4FBB}" name="Ref A      1-Phase" dataDxfId="92"/>
    <tableColumn id="2" xr3:uid="{121E355F-1833-6949-BE2E-A5AD75C4B758}" name="Ref A      3-Phase" dataDxfId="91"/>
    <tableColumn id="3" xr3:uid="{D56FA428-1D69-C341-803C-CE89E33068A3}" name="Ref B      1-Phase" dataDxfId="90"/>
    <tableColumn id="4" xr3:uid="{B8345CFE-8E8E-E048-9449-D169E9085655}" name="Ref B      3-Phase" dataDxfId="89"/>
    <tableColumn id="5" xr3:uid="{B82156BC-3301-AD46-AB3F-8E3CAD3853FC}" name="Ref C      1-Phase" dataDxfId="88"/>
    <tableColumn id="6" xr3:uid="{0D7E55C6-D73A-984C-A04B-79203A61716C}" name="Ref C       3-Phase" dataDxfId="87"/>
    <tableColumn id="8" xr3:uid="{593D1752-5218-814D-A3C3-73E984C4628D}" name="Column2" dataDxfId="86"/>
    <tableColumn id="7" xr3:uid="{0CE8ED9D-7D87-A44D-AB57-B8CD537D7961}" name="Column1" dataDxfId="85"/>
    <tableColumn id="9" xr3:uid="{93AE7876-D85B-6540-AD96-ADC7B2638190}" name="Cable Size" dataDxfId="84"/>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3" dataDxfId="82">
  <autoFilter ref="U396:X407" xr:uid="{00000000-0009-0000-0100-000029000000}"/>
  <tableColumns count="4">
    <tableColumn id="1" xr3:uid="{629A9060-7BF6-E649-A85B-7879D8CC91EF}" name="Ref A      1-Phase" dataDxfId="81"/>
    <tableColumn id="2" xr3:uid="{22EA7403-AE82-084D-AE1B-7030BC0C63A0}" name="Ref A      3-Phase" dataDxfId="80"/>
    <tableColumn id="3" xr3:uid="{9F692CC1-4F91-EB4F-B3AC-671C23BE0C57}" name="Ref B      1-Phase" dataDxfId="79"/>
    <tableColumn id="9" xr3:uid="{56DD2169-D436-F848-9B14-895D34C09720}" name="Cable Size" dataDxfId="78"/>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7" dataDxfId="76">
  <autoFilter ref="U412:AA426" xr:uid="{00000000-0009-0000-0100-00002A000000}"/>
  <tableColumns count="7">
    <tableColumn id="1" xr3:uid="{B18BCCC7-99E1-B14A-BFAC-0B4E30E2DF09}" name="Ref A      1-Phase" dataDxfId="75"/>
    <tableColumn id="2" xr3:uid="{8DB24597-5557-2747-80A8-266E72BD06DC}" name="Ref A      3-Phase" dataDxfId="74"/>
    <tableColumn id="3" xr3:uid="{C4201E8C-64F7-9241-98F6-44242F9B5E75}" name="Ref B      1-Phase" dataDxfId="73"/>
    <tableColumn id="4" xr3:uid="{8D7D6662-BAB7-9A4C-87D8-B0BB6DED5601}" name="Ref B      3-Phase" dataDxfId="72"/>
    <tableColumn id="5" xr3:uid="{D9609F69-F8BE-814C-B86F-088619CF25DB}" name="Ref C      1-Phase" dataDxfId="71"/>
    <tableColumn id="6" xr3:uid="{0497F70E-F0E0-A242-BBE5-68723EDE715E}" name="Ref C       3-Phase" dataDxfId="70"/>
    <tableColumn id="9" xr3:uid="{32A5BEA2-DBCE-224B-8633-140795601F1B}" name="Cable Size" dataDxfId="69"/>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8" dataDxfId="67">
  <autoFilter ref="U431:X442" xr:uid="{00000000-0009-0000-0100-00002B000000}"/>
  <tableColumns count="4">
    <tableColumn id="1" xr3:uid="{3AC68602-9E1A-E345-85E3-B2412AD8C2B5}" name="Ref A      1-Phase" dataDxfId="66"/>
    <tableColumn id="2" xr3:uid="{6232D800-8E9A-2546-A8B1-A43611DF838E}" name="Ref A      3-Phase" dataDxfId="65"/>
    <tableColumn id="3" xr3:uid="{0F63577F-820A-454F-ADF6-5842A002AA70}" name="Ref B      1-Phase" dataDxfId="64"/>
    <tableColumn id="9" xr3:uid="{C4EE797C-3F84-9042-A0A4-DBDA345D0F8D}" name="Cable Size" dataDxfId="63"/>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110" zoomScaleNormal="110" workbookViewId="0">
      <pane xSplit="3" ySplit="5" topLeftCell="D155" activePane="bottomRight" state="frozen"/>
      <selection activeCell="O51" sqref="O51"/>
      <selection pane="topRight" activeCell="O51" sqref="O51"/>
      <selection pane="bottomLeft" activeCell="O51" sqref="O51"/>
      <selection pane="bottomRight" activeCell="A171" sqref="A171"/>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f>IF(AND('Customer Base'!D$20="BYD",'Customer Base'!E$20=5,'Customer Base'!D7&lt;&gt;"Grid-Tied"),'Customer Base'!J$8+IF(AND('Customer Base'!D13="Victron",'Customer Base'!D7="Backup"),'Customer Base'!J8,0),"")</f>
        <v>30</v>
      </c>
      <c r="J1" s="103" t="s">
        <v>800</v>
      </c>
      <c r="K1" s="225" t="s">
        <v>2698</v>
      </c>
      <c r="L1" s="313">
        <f ca="1">IF(NOW()&gt;INVOICE!Q13,"",IF(AND('Customer Base'!D7&lt;&gt;"Grid-Tied",'Customer Base'!D7&lt;&gt;"Backup",SUM('Client List'!EE477:EE491)&lt;&gt;0,AND('Customer Base'!D13="Victron",'Customer Base'!D14&lt;&gt;6)),('Client List'!EE474*'Client List'!EC474),0)+IF(AND('Customer Base'!D7&lt;&gt;"Grid-Tied",'Customer Base'!D7&lt;&gt;"Backup",SUM('Client List'!EE477:EE491)&lt;&gt;0,AND('Customer Base'!D13="Victron",'Customer Base'!D14&lt;&gt;6)),('Client List'!IM474*'Client List'!IK474),0)+IF(AND('Customer Base'!D7&lt;&gt;"Grid-Tied",'Customer Base'!D7&lt;&gt;"Backup",AND(SUM('Client List'!EE477:EE491)=0,'Client List'!EC474&gt;0)),1,0)+IFERROR(L5,0))</f>
        <v>6</v>
      </c>
      <c r="M1" s="103" t="s">
        <v>2485</v>
      </c>
      <c r="N1" s="103">
        <f ca="1">IFERROR('Client List'!AC493,IF(AND('Customer Base'!D7&lt;&gt;"Backup",SUMPRODUCT(A6:A132,AP6:AP132)&gt;0),SUM(A242:A254)/L5,0))</f>
        <v>5</v>
      </c>
      <c r="AX1" s="225" t="s">
        <v>1214</v>
      </c>
      <c r="AY1" s="225" t="s">
        <v>2199</v>
      </c>
      <c r="AZ1" s="227" t="s">
        <v>2313</v>
      </c>
      <c r="BA1" s="103">
        <v>1</v>
      </c>
      <c r="BB1" s="103">
        <f>INDEX(AM6:AM284,MATCH(AZ1,AN6:AN284,0))</f>
        <v>3</v>
      </c>
      <c r="BC1" s="103" t="s">
        <v>1228</v>
      </c>
      <c r="BD1" s="103">
        <f>INDEX(AQ6:AQ284,MATCH(AZ1,AN6:AN284,0))</f>
        <v>48</v>
      </c>
      <c r="BE1" s="225" t="s">
        <v>2318</v>
      </c>
    </row>
    <row r="2" spans="1:68">
      <c r="A2" s="269" cm="1">
        <f t="array" aca="1" ref="A2" ca="1">INDEX(A6:A549,SMALL(IF(A6:A549&lt;&gt;"",ROW(A6:A549)-MIN(ROW(A6:A549))+1),2))</f>
        <v>6</v>
      </c>
      <c r="B2" s="270">
        <v>4</v>
      </c>
      <c r="C2" s="103" t="b">
        <f ca="1">IF(AND('Customer Base'!D7="Backup",'Customer Base'!D13="Victron"),0,IF(AND('CABLE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0</v>
      </c>
      <c r="G2" s="103"/>
      <c r="I2" s="228"/>
      <c r="J2" s="103" t="s">
        <v>1174</v>
      </c>
      <c r="K2" s="103" t="s">
        <v>10</v>
      </c>
      <c r="L2" s="103">
        <v>600</v>
      </c>
      <c r="M2" s="103" t="s">
        <v>989</v>
      </c>
      <c r="N2" s="228"/>
      <c r="P2" s="103" t="str">
        <f>"Exchange Rate: USD 1 = GH₵ "&amp;'Customer Base'!J5</f>
        <v>Exchange Rate: USD 1 = GH₵ 16</v>
      </c>
      <c r="AX2" s="225"/>
      <c r="BB2" s="103">
        <f>INDEX(AM6:AM284,MATCH(AZ4,AN6:AN284,0))</f>
        <v>0.55500000000000005</v>
      </c>
      <c r="BC2" s="103" t="s">
        <v>2315</v>
      </c>
      <c r="BD2" s="103">
        <f>INDEX(AQ6:AQ284,MATCH(AZ4,AN6:AN284,0))</f>
        <v>49.72</v>
      </c>
      <c r="BE2" s="103" t="s">
        <v>2316</v>
      </c>
    </row>
    <row r="3" spans="1:68">
      <c r="C3" s="229" t="s">
        <v>797</v>
      </c>
      <c r="D3" s="229" t="s">
        <v>1279</v>
      </c>
      <c r="E3" s="229" t="s">
        <v>1280</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2194</v>
      </c>
      <c r="AY3" s="225" t="s">
        <v>2212</v>
      </c>
      <c r="AZ3" s="227" t="s">
        <v>2295</v>
      </c>
      <c r="BA3" s="103">
        <v>1</v>
      </c>
      <c r="BB3" s="103">
        <f>INDEX(AM6:AM284,MATCH(AZ3,AN6:AN284,0))</f>
        <v>4.8</v>
      </c>
      <c r="BC3" s="103" t="s">
        <v>1229</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2317</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1885</v>
      </c>
      <c r="AY4" s="225" t="s">
        <v>2298</v>
      </c>
      <c r="AZ4" s="103" t="s">
        <v>2303</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10.344827586206897</v>
      </c>
      <c r="BM4" s="103">
        <f>MOD('Customer Base'!$J$9*1000*0.8,$BO4)</f>
        <v>400</v>
      </c>
      <c r="BN4" s="103">
        <v>20</v>
      </c>
      <c r="BO4" s="103">
        <v>1160</v>
      </c>
      <c r="BP4" s="231"/>
    </row>
    <row r="5" spans="1:68">
      <c r="C5" s="232" t="s">
        <v>1882</v>
      </c>
      <c r="D5" s="233"/>
      <c r="E5" s="233"/>
      <c r="F5" s="233"/>
      <c r="G5" s="234"/>
      <c r="H5" s="233"/>
      <c r="I5" s="235"/>
      <c r="K5" s="225" t="s">
        <v>2697</v>
      </c>
      <c r="L5" s="256" t="e">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#DIV/0!</v>
      </c>
      <c r="M5" s="236"/>
      <c r="N5" s="103" t="s">
        <v>799</v>
      </c>
      <c r="O5" s="103" t="str">
        <f>IF('Customer Base'!$I$15="MANUAL",IF(B5&lt;&gt;"",C5,""),IF('Customer Base'!$I$15="AUTOMATE",IF(A5&lt;&gt;"",C5,""),""))</f>
        <v/>
      </c>
      <c r="P5" s="103" t="s">
        <v>12</v>
      </c>
      <c r="Q5" s="103" t="s">
        <v>1197</v>
      </c>
      <c r="R5" s="103" t="s">
        <v>1198</v>
      </c>
      <c r="S5" s="103" t="s">
        <v>1199</v>
      </c>
      <c r="T5" s="103" t="s">
        <v>1204</v>
      </c>
      <c r="U5" s="103" t="s">
        <v>1206</v>
      </c>
      <c r="AR5" s="103" t="s">
        <v>2202</v>
      </c>
      <c r="AS5" s="103" t="s">
        <v>2196</v>
      </c>
      <c r="AT5" s="103" t="s">
        <v>2187</v>
      </c>
      <c r="AU5" s="103" t="s">
        <v>2188</v>
      </c>
      <c r="AZ5" s="226" t="s">
        <v>2310</v>
      </c>
      <c r="BA5" s="225" t="s">
        <v>1214</v>
      </c>
      <c r="BB5" s="225" t="s">
        <v>2197</v>
      </c>
      <c r="BC5" s="103" t="s">
        <v>2210</v>
      </c>
      <c r="BD5" s="103" t="s">
        <v>1215</v>
      </c>
      <c r="BE5" s="103" t="s">
        <v>2309</v>
      </c>
      <c r="BL5" s="231">
        <f>'Customer Base'!$J$9*1000*0.8/$BO$5</f>
        <v>6</v>
      </c>
      <c r="BM5" s="103">
        <f>MOD('Customer Base'!$J$9*1000*0.8,$BO5)</f>
        <v>0</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B6" s="270" t="s">
        <v>1</v>
      </c>
      <c r="C6" s="237" t="s">
        <v>1109</v>
      </c>
      <c r="D6" s="267">
        <v>97.52</v>
      </c>
      <c r="E6" s="267">
        <v>91.853999999999999</v>
      </c>
      <c r="F6" s="238">
        <f t="shared" ref="F6:F20" si="0">$D6/1.219</f>
        <v>79.999999999999986</v>
      </c>
      <c r="G6" s="238">
        <f>IFERROR(ROUNDUP(F6*'Customer Base'!$J$5,2),0)</f>
        <v>1280</v>
      </c>
      <c r="H6" s="238">
        <f t="shared" ref="H6:H20" si="1">$E6/1.219</f>
        <v>75.351927809680063</v>
      </c>
      <c r="I6" s="238">
        <f>IFERROR(ROUNDUP(H6*'Customer Base'!$J$5,2),0)</f>
        <v>1205.6400000000001</v>
      </c>
      <c r="J6" s="103">
        <f>ROUNDUP((M6/$L$4)*$L$3*3,-1)</f>
        <v>320</v>
      </c>
      <c r="K6" s="103" t="s">
        <v>956</v>
      </c>
      <c r="L6" s="224">
        <f>J6/'Customer Base'!$J$5</f>
        <v>20</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1481</v>
      </c>
      <c r="T6" s="103" t="s">
        <v>2836</v>
      </c>
      <c r="U6" s="103" t="s">
        <v>1207</v>
      </c>
      <c r="W6" s="103" t="s">
        <v>1462</v>
      </c>
      <c r="AD6" s="103" t="s">
        <v>1419</v>
      </c>
      <c r="AM6" s="239">
        <v>0.25</v>
      </c>
      <c r="AN6" s="239" t="s">
        <v>2218</v>
      </c>
      <c r="AO6" s="103" t="str">
        <f>IF('Customer Base'!$I$15="MANUAL",IFERROR(AM6*B6,""),IF('Customer Base'!$I$15="AUTOMATE",IFERROR(AM6*A6,""),""))</f>
        <v/>
      </c>
      <c r="AQ6" s="103">
        <v>12</v>
      </c>
      <c r="AR6" s="103" t="s">
        <v>2195</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4.615384615384615</v>
      </c>
      <c r="BM6" s="103">
        <f>MOD('Customer Base'!$J$9*1000*0.8,$BO6)</f>
        <v>1600</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B7" s="270" t="s">
        <v>1</v>
      </c>
      <c r="C7" s="237" t="s">
        <v>1110</v>
      </c>
      <c r="D7" s="267">
        <v>126.42</v>
      </c>
      <c r="E7" s="267">
        <v>119.07</v>
      </c>
      <c r="F7" s="238">
        <f t="shared" si="0"/>
        <v>103.70795734208367</v>
      </c>
      <c r="G7" s="238">
        <f>IFERROR(ROUNDUP(F7*'Customer Base'!$J$5,2),0)</f>
        <v>1659.33</v>
      </c>
      <c r="H7" s="238">
        <f t="shared" si="1"/>
        <v>97.678424938474151</v>
      </c>
      <c r="I7" s="238">
        <f>IFERROR(ROUNDUP(H7*'Customer Base'!$J$5,2),0)</f>
        <v>1562.86</v>
      </c>
      <c r="J7" s="103">
        <f>ROUNDUP((M7/$L$4)*$L$3*3,-1)</f>
        <v>320</v>
      </c>
      <c r="K7" s="103" t="s">
        <v>216</v>
      </c>
      <c r="L7" s="224">
        <f>J7/'Customer Base'!$J$5</f>
        <v>20</v>
      </c>
      <c r="M7" s="103">
        <v>30</v>
      </c>
      <c r="N7" s="103">
        <v>2</v>
      </c>
      <c r="O7" s="103" t="str">
        <f>IF('Customer Base'!$I$15="MANUAL",IF(B7&lt;&gt;"",C7,""),IF('Customer Base'!$I$15="AUTOMATE",IF(A7&lt;&gt;"",C7,""),""))</f>
        <v/>
      </c>
      <c r="P7" s="103" t="s">
        <v>1186</v>
      </c>
      <c r="Q7" s="103" t="s">
        <v>1201</v>
      </c>
      <c r="R7" s="103" t="s">
        <v>1203</v>
      </c>
      <c r="S7" s="103" t="s">
        <v>1211</v>
      </c>
      <c r="T7" s="103" t="s">
        <v>2835</v>
      </c>
      <c r="U7" s="103" t="s">
        <v>1210</v>
      </c>
      <c r="W7" s="103" t="s">
        <v>1463</v>
      </c>
      <c r="AD7" s="104" t="s">
        <v>1421</v>
      </c>
      <c r="AE7" s="104" t="s">
        <v>1422</v>
      </c>
      <c r="AF7" s="104" t="s">
        <v>1423</v>
      </c>
      <c r="AG7" s="104" t="s">
        <v>1420</v>
      </c>
      <c r="AH7" s="104"/>
      <c r="AI7" s="104"/>
      <c r="AJ7" s="104" t="s">
        <v>1424</v>
      </c>
      <c r="AM7" s="239">
        <v>0.375</v>
      </c>
      <c r="AN7" s="239" t="s">
        <v>2219</v>
      </c>
      <c r="AO7" s="103" t="str">
        <f>IF('Customer Base'!$I$15="MANUAL",IFERROR(AM7*B7,""),IF('Customer Base'!$I$15="AUTOMATE",IFERROR(AM7*A7,""),""))</f>
        <v/>
      </c>
      <c r="AQ7" s="103">
        <v>12</v>
      </c>
      <c r="AR7" s="103" t="s">
        <v>2195</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3.4883720930232558</v>
      </c>
      <c r="BM7" s="103">
        <f>MOD('Customer Base'!$J$9*1000*0.8,$BO7)</f>
        <v>1680</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B8" s="270" t="s">
        <v>1</v>
      </c>
      <c r="C8" s="237" t="s">
        <v>1111</v>
      </c>
      <c r="D8" s="267">
        <v>158.03</v>
      </c>
      <c r="E8" s="267">
        <v>148.846</v>
      </c>
      <c r="F8" s="238">
        <f t="shared" si="0"/>
        <v>129.63904840032814</v>
      </c>
      <c r="G8" s="238">
        <f>IFERROR(ROUNDUP(F8*'Customer Base'!$J$5,2),0)</f>
        <v>2074.23</v>
      </c>
      <c r="H8" s="238">
        <f t="shared" si="1"/>
        <v>122.10500410172271</v>
      </c>
      <c r="I8" s="238">
        <f>IFERROR(ROUNDUP(H8*'Customer Base'!$J$5,2),0)</f>
        <v>1953.69</v>
      </c>
      <c r="J8" s="103">
        <f t="shared" ref="J8:J37" si="4">ROUNDUP((M8/$L$4)*$L$3*3,-1)</f>
        <v>320</v>
      </c>
      <c r="K8" s="103" t="s">
        <v>35</v>
      </c>
      <c r="L8" s="224">
        <f>J8/'Customer Base'!$J$5</f>
        <v>20</v>
      </c>
      <c r="M8" s="103">
        <v>30</v>
      </c>
      <c r="N8" s="103">
        <v>3</v>
      </c>
      <c r="O8" s="103" t="str">
        <f>IF('Customer Base'!$I$15="MANUAL",IF(B8&lt;&gt;"",C8,""),IF('Customer Base'!$I$15="AUTOMATE",IF(A8&lt;&gt;"",C8,""),""))</f>
        <v/>
      </c>
      <c r="P8" s="103" t="s">
        <v>1649</v>
      </c>
      <c r="Q8" s="103" t="s">
        <v>1535</v>
      </c>
      <c r="S8" s="103" t="s">
        <v>1212</v>
      </c>
      <c r="T8" s="103" t="s">
        <v>2837</v>
      </c>
      <c r="U8" s="103" t="s">
        <v>1208</v>
      </c>
      <c r="AD8" s="103" t="s">
        <v>1438</v>
      </c>
      <c r="AE8" s="103" t="s">
        <v>1426</v>
      </c>
      <c r="AF8" s="103" t="s">
        <v>1437</v>
      </c>
      <c r="AG8" s="103" t="s">
        <v>1416</v>
      </c>
      <c r="AH8" s="103" t="s">
        <v>1439</v>
      </c>
      <c r="AI8" s="103" t="s">
        <v>1440</v>
      </c>
      <c r="AJ8" s="103" t="s">
        <v>1456</v>
      </c>
      <c r="AM8" s="239">
        <v>0.5</v>
      </c>
      <c r="AN8" s="239" t="s">
        <v>2220</v>
      </c>
      <c r="AO8" s="103" t="str">
        <f>IF('Customer Base'!$I$15="MANUAL",IFERROR(AM8*B8,""),IF('Customer Base'!$I$15="AUTOMATE",IFERROR(AM8*A8,""),""))</f>
        <v/>
      </c>
      <c r="AQ8" s="103">
        <v>12</v>
      </c>
      <c r="AR8" s="103" t="s">
        <v>2195</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3</v>
      </c>
      <c r="BM8" s="103">
        <f>MOD('Customer Base'!$J$9*1000*0.8,$BO8)</f>
        <v>0</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B9" s="270" t="s">
        <v>1</v>
      </c>
      <c r="C9" s="237" t="s">
        <v>1112</v>
      </c>
      <c r="D9" s="267">
        <v>256.45999999999998</v>
      </c>
      <c r="E9" s="267">
        <v>241.542</v>
      </c>
      <c r="F9" s="238">
        <f t="shared" si="0"/>
        <v>210.38556193601309</v>
      </c>
      <c r="G9" s="238">
        <f>IFERROR(ROUNDUP(F9*'Customer Base'!$J$5,2),0)</f>
        <v>3366.17</v>
      </c>
      <c r="H9" s="238">
        <f t="shared" si="1"/>
        <v>198.14766201804755</v>
      </c>
      <c r="I9" s="238">
        <f>IFERROR(ROUNDUP(H9*'Customer Base'!$J$5,2),0)</f>
        <v>3170.3700000000003</v>
      </c>
      <c r="J9" s="103">
        <f t="shared" si="4"/>
        <v>2400</v>
      </c>
      <c r="K9" s="103" t="s">
        <v>958</v>
      </c>
      <c r="L9" s="224">
        <f>J9/'Customer Base'!$J$5</f>
        <v>150</v>
      </c>
      <c r="M9" s="103">
        <v>228</v>
      </c>
      <c r="N9" s="103">
        <v>4</v>
      </c>
      <c r="O9" s="103" t="str">
        <f>IF('Customer Base'!$I$15="MANUAL",IF(B9&lt;&gt;"",C9,""),IF('Customer Base'!$I$15="AUTOMATE",IF(A9&lt;&gt;"",C9,""),""))</f>
        <v/>
      </c>
      <c r="P9" s="103" t="s">
        <v>1191</v>
      </c>
      <c r="Q9" s="103" t="s">
        <v>1612</v>
      </c>
      <c r="S9" s="103" t="s">
        <v>1907</v>
      </c>
      <c r="T9" s="103" t="s">
        <v>2838</v>
      </c>
      <c r="U9" s="103" t="s">
        <v>1209</v>
      </c>
      <c r="W9" s="103" t="s">
        <v>1812</v>
      </c>
      <c r="AD9" s="103" t="s">
        <v>20</v>
      </c>
      <c r="AE9" s="103" t="s">
        <v>1417</v>
      </c>
      <c r="AF9" s="103" t="s">
        <v>1418</v>
      </c>
      <c r="AG9" s="103" t="s">
        <v>1416</v>
      </c>
      <c r="AH9" s="103" t="s">
        <v>21</v>
      </c>
      <c r="AI9" s="103" t="s">
        <v>22</v>
      </c>
      <c r="AJ9" s="103" t="s">
        <v>1425</v>
      </c>
      <c r="AM9" s="239">
        <v>0.8</v>
      </c>
      <c r="AN9" s="239" t="s">
        <v>2221</v>
      </c>
      <c r="AO9" s="103" t="str">
        <f>IF('Customer Base'!$I$15="MANUAL",IFERROR(AM9*B9,""),IF('Customer Base'!$I$15="AUTOMATE",IFERROR(AM9*A9,""),""))</f>
        <v/>
      </c>
      <c r="AQ9" s="103">
        <v>12</v>
      </c>
      <c r="AR9" s="103" t="s">
        <v>2195</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2.4489795918367347</v>
      </c>
      <c r="BM9" s="103">
        <f>MOD('Customer Base'!$J$9*1000*0.8,$BO9)</f>
        <v>2200</v>
      </c>
      <c r="BN9" s="103">
        <v>85</v>
      </c>
      <c r="BO9" s="103">
        <v>4900</v>
      </c>
    </row>
    <row r="10" spans="1:68">
      <c r="C10" s="237" t="s">
        <v>1113</v>
      </c>
      <c r="D10" s="267">
        <v>338.63</v>
      </c>
      <c r="E10" s="267">
        <v>318.94600000000003</v>
      </c>
      <c r="F10" s="238">
        <f t="shared" si="0"/>
        <v>277.79327317473337</v>
      </c>
      <c r="G10" s="238">
        <f>IFERROR(ROUNDUP(F10*'Customer Base'!$J$5,2),0)</f>
        <v>4444.7</v>
      </c>
      <c r="H10" s="238">
        <f t="shared" si="1"/>
        <v>261.64561115668579</v>
      </c>
      <c r="I10" s="238">
        <f>IFERROR(ROUNDUP(H10*'Customer Base'!$J$5,2),0)</f>
        <v>4186.33</v>
      </c>
      <c r="J10" s="103">
        <f t="shared" si="4"/>
        <v>2400</v>
      </c>
      <c r="K10" s="103" t="s">
        <v>342</v>
      </c>
      <c r="L10" s="224">
        <f>J10/'Customer Base'!$J$5</f>
        <v>150</v>
      </c>
      <c r="M10" s="103">
        <v>228</v>
      </c>
      <c r="N10" s="103">
        <v>5</v>
      </c>
      <c r="O10" s="103" t="str">
        <f>IF('Customer Base'!$I$15="MANUAL",IF(B10&lt;&gt;"",C10,""),IF('Customer Base'!$I$15="AUTOMATE",IF(A10&lt;&gt;"",C10,""),""))</f>
        <v/>
      </c>
      <c r="P10" s="103" t="s">
        <v>1193</v>
      </c>
      <c r="T10" s="103" t="s">
        <v>1908</v>
      </c>
      <c r="U10" s="103" t="s">
        <v>1205</v>
      </c>
      <c r="W10" s="103" t="s">
        <v>1813</v>
      </c>
      <c r="AD10" s="103" t="s">
        <v>1442</v>
      </c>
      <c r="AE10" s="103" t="s">
        <v>1427</v>
      </c>
      <c r="AF10" s="103" t="s">
        <v>1432</v>
      </c>
      <c r="AG10" s="103" t="s">
        <v>1416</v>
      </c>
      <c r="AH10" s="103" t="s">
        <v>1443</v>
      </c>
      <c r="AI10" s="103" t="s">
        <v>1441</v>
      </c>
      <c r="AJ10" s="103" t="s">
        <v>1457</v>
      </c>
      <c r="AM10" s="239">
        <v>1.2</v>
      </c>
      <c r="AN10" s="239" t="s">
        <v>2314</v>
      </c>
      <c r="AO10" s="103">
        <f>IF('Customer Base'!$I$15="MANUAL",IFERROR(AM10*B10,""),IF('Customer Base'!$I$15="AUTOMATE",IFERROR(AM10*A10,""),""))</f>
        <v>0</v>
      </c>
      <c r="AQ10" s="103">
        <v>12</v>
      </c>
      <c r="AR10" s="103" t="s">
        <v>2195</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2.0689655172413794</v>
      </c>
      <c r="BM10" s="103">
        <f>MOD('Customer Base'!$J$9*1000*0.8,$BO10)</f>
        <v>400</v>
      </c>
      <c r="BN10" s="103">
        <v>100</v>
      </c>
      <c r="BO10" s="103">
        <v>5800</v>
      </c>
    </row>
    <row r="11" spans="1:68">
      <c r="C11" s="237" t="s">
        <v>1114</v>
      </c>
      <c r="D11" s="267">
        <v>95.52</v>
      </c>
      <c r="E11" s="267">
        <v>91.85</v>
      </c>
      <c r="F11" s="238">
        <f t="shared" si="0"/>
        <v>78.359310910582437</v>
      </c>
      <c r="G11" s="238">
        <f>IFERROR(ROUNDUP(F11*'Customer Base'!$J$5,2),0)</f>
        <v>1253.75</v>
      </c>
      <c r="H11" s="238">
        <f t="shared" si="1"/>
        <v>75.348646431501223</v>
      </c>
      <c r="I11" s="238">
        <f>IFERROR(ROUNDUP(H11*'Customer Base'!$J$5,2),0)</f>
        <v>1205.58</v>
      </c>
      <c r="J11" s="103">
        <f t="shared" si="4"/>
        <v>2400</v>
      </c>
      <c r="K11" s="103" t="s">
        <v>1079</v>
      </c>
      <c r="L11" s="224">
        <f>J11/'Customer Base'!$J$5</f>
        <v>150</v>
      </c>
      <c r="M11" s="103">
        <v>228</v>
      </c>
      <c r="N11" s="103">
        <v>6</v>
      </c>
      <c r="O11" s="103" t="str">
        <f>IF('Customer Base'!$I$15="MANUAL",IF(B11&lt;&gt;"",C11,""),IF('Customer Base'!$I$15="AUTOMATE",IF(A11&lt;&gt;"",C11,""),""))</f>
        <v/>
      </c>
      <c r="P11" s="103" t="s">
        <v>1578</v>
      </c>
      <c r="U11" s="103" t="s">
        <v>1232</v>
      </c>
      <c r="W11" s="103" t="s">
        <v>1814</v>
      </c>
      <c r="AD11" s="103" t="s">
        <v>1445</v>
      </c>
      <c r="AE11" s="103" t="s">
        <v>1428</v>
      </c>
      <c r="AF11" s="103" t="s">
        <v>1433</v>
      </c>
      <c r="AG11" s="103" t="s">
        <v>1416</v>
      </c>
      <c r="AH11" s="103" t="s">
        <v>1444</v>
      </c>
      <c r="AI11" s="103" t="s">
        <v>1455</v>
      </c>
      <c r="AJ11" s="103" t="s">
        <v>1458</v>
      </c>
      <c r="AM11" s="239">
        <v>0.25</v>
      </c>
      <c r="AN11" s="239" t="s">
        <v>2223</v>
      </c>
      <c r="AO11" s="103">
        <f>IF('Customer Base'!$I$15="MANUAL",IFERROR(AM11*B11,""),IF('Customer Base'!$I$15="AUTOMATE",IFERROR(AM11*A11,""),""))</f>
        <v>0</v>
      </c>
      <c r="AQ11" s="103">
        <v>24</v>
      </c>
      <c r="AR11" s="103" t="s">
        <v>2195</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1659.33</v>
      </c>
      <c r="H12" s="238">
        <f t="shared" si="1"/>
        <v>97.678424938474151</v>
      </c>
      <c r="I12" s="238">
        <f>IFERROR(ROUNDUP(H12*'Customer Base'!$J$5,2),0)</f>
        <v>1562.86</v>
      </c>
      <c r="J12" s="103">
        <f t="shared" si="4"/>
        <v>8510</v>
      </c>
      <c r="K12" s="103" t="s">
        <v>1080</v>
      </c>
      <c r="L12" s="224">
        <f>J12/'Customer Base'!$J$5</f>
        <v>531.875</v>
      </c>
      <c r="M12" s="103">
        <v>810</v>
      </c>
      <c r="N12" s="103">
        <v>7</v>
      </c>
      <c r="O12" s="103" t="str">
        <f>IF('Customer Base'!$I$15="MANUAL",IF(B12&lt;&gt;"",C12,""),IF('Customer Base'!$I$15="AUTOMATE",IF(A12&lt;&gt;"",C12,""),""))</f>
        <v/>
      </c>
      <c r="P12" s="103" t="s">
        <v>1220</v>
      </c>
      <c r="U12" s="103" t="s">
        <v>1269</v>
      </c>
      <c r="W12" s="103" t="s">
        <v>1815</v>
      </c>
      <c r="AD12" s="103" t="s">
        <v>1447</v>
      </c>
      <c r="AE12" s="103" t="s">
        <v>1429</v>
      </c>
      <c r="AF12" s="103" t="s">
        <v>1434</v>
      </c>
      <c r="AG12" s="103" t="s">
        <v>1416</v>
      </c>
      <c r="AH12" s="103" t="s">
        <v>1448</v>
      </c>
      <c r="AI12" s="103" t="s">
        <v>1446</v>
      </c>
      <c r="AJ12" s="103" t="s">
        <v>1459</v>
      </c>
      <c r="AM12" s="239">
        <v>0.375</v>
      </c>
      <c r="AN12" s="239" t="s">
        <v>2224</v>
      </c>
      <c r="AO12" s="103">
        <f>IF('Customer Base'!$I$15="MANUAL",IFERROR(AM12*B12,""),IF('Customer Base'!$I$15="AUTOMATE",IFERROR(AM12*A12,""),""))</f>
        <v>0</v>
      </c>
      <c r="AQ12" s="103">
        <v>24</v>
      </c>
      <c r="AR12" s="103" t="s">
        <v>2195</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2.0689655172413794</v>
      </c>
      <c r="BM12" s="103">
        <f>MAX(BM4:BM10)</f>
        <v>2200</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B13" s="270" t="s">
        <v>1</v>
      </c>
      <c r="C13" s="237" t="s">
        <v>1116</v>
      </c>
      <c r="D13" s="267">
        <v>158.03</v>
      </c>
      <c r="E13" s="267">
        <v>148.85</v>
      </c>
      <c r="F13" s="238">
        <f t="shared" si="0"/>
        <v>129.63904840032814</v>
      </c>
      <c r="G13" s="238">
        <f>IFERROR(ROUNDUP(F13*'Customer Base'!$J$5,2),0)</f>
        <v>2074.23</v>
      </c>
      <c r="H13" s="238">
        <f t="shared" si="1"/>
        <v>122.10828547990154</v>
      </c>
      <c r="I13" s="238">
        <f>IFERROR(ROUNDUP(H13*'Customer Base'!$J$5,2),0)</f>
        <v>1953.74</v>
      </c>
      <c r="J13" s="103">
        <f t="shared" si="4"/>
        <v>8510</v>
      </c>
      <c r="K13" s="103" t="s">
        <v>49</v>
      </c>
      <c r="L13" s="224">
        <f>J13/'Customer Base'!$J$5</f>
        <v>531.875</v>
      </c>
      <c r="M13" s="103">
        <v>810</v>
      </c>
      <c r="N13" s="103">
        <v>8</v>
      </c>
      <c r="O13" s="103" t="str">
        <f>IF('Customer Base'!$I$15="MANUAL",IF(B13&lt;&gt;"",C13,""),IF('Customer Base'!$I$15="AUTOMATE",IF(A13&lt;&gt;"",C13,""),""))</f>
        <v/>
      </c>
      <c r="P13" s="103" t="s">
        <v>1196</v>
      </c>
      <c r="U13" s="103" t="s">
        <v>1623</v>
      </c>
      <c r="W13" s="103" t="s">
        <v>1816</v>
      </c>
      <c r="AD13" s="103" t="s">
        <v>1449</v>
      </c>
      <c r="AE13" s="103" t="s">
        <v>1430</v>
      </c>
      <c r="AF13" s="103" t="s">
        <v>1435</v>
      </c>
      <c r="AG13" s="103" t="s">
        <v>1416</v>
      </c>
      <c r="AH13" s="103" t="s">
        <v>1450</v>
      </c>
      <c r="AI13" s="103" t="s">
        <v>1451</v>
      </c>
      <c r="AJ13" s="103" t="s">
        <v>1456</v>
      </c>
      <c r="AM13" s="239">
        <v>0.5</v>
      </c>
      <c r="AN13" s="239" t="s">
        <v>2225</v>
      </c>
      <c r="AO13" s="103" t="str">
        <f>IF('Customer Base'!$I$15="MANUAL",IFERROR(AM13*B13,""),IF('Customer Base'!$I$15="AUTOMATE",IFERROR(AM13*A13,""),""))</f>
        <v/>
      </c>
      <c r="AQ13" s="103">
        <v>24</v>
      </c>
      <c r="AR13" s="103" t="s">
        <v>2195</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B14" s="270" t="s">
        <v>1</v>
      </c>
      <c r="C14" s="237" t="s">
        <v>1117</v>
      </c>
      <c r="D14" s="267">
        <v>256.45999999999998</v>
      </c>
      <c r="E14" s="267">
        <v>241.54</v>
      </c>
      <c r="F14" s="238">
        <f t="shared" si="0"/>
        <v>210.38556193601309</v>
      </c>
      <c r="G14" s="238">
        <f>IFERROR(ROUNDUP(F14*'Customer Base'!$J$5,2),0)</f>
        <v>3366.17</v>
      </c>
      <c r="H14" s="238">
        <f t="shared" si="1"/>
        <v>198.14602132895814</v>
      </c>
      <c r="I14" s="238">
        <f>IFERROR(ROUNDUP(H14*'Customer Base'!$J$5,2),0)</f>
        <v>3170.34</v>
      </c>
      <c r="J14" s="103">
        <f t="shared" si="4"/>
        <v>900</v>
      </c>
      <c r="K14" s="103" t="s">
        <v>954</v>
      </c>
      <c r="L14" s="224">
        <f>J14/'Customer Base'!$J$5</f>
        <v>56.25</v>
      </c>
      <c r="M14" s="103">
        <v>85</v>
      </c>
      <c r="N14" s="103">
        <v>9</v>
      </c>
      <c r="O14" s="103" t="str">
        <f>IF('Customer Base'!$I$15="MANUAL",IF(B14&lt;&gt;"",C14,""),IF('Customer Base'!$I$15="AUTOMATE",IF(A14&lt;&gt;"",C14,""),""))</f>
        <v/>
      </c>
      <c r="P14" s="103" t="s">
        <v>1233</v>
      </c>
      <c r="U14" s="103" t="s">
        <v>1270</v>
      </c>
      <c r="W14" s="103" t="s">
        <v>1817</v>
      </c>
      <c r="AD14" s="103" t="s">
        <v>1453</v>
      </c>
      <c r="AE14" s="103" t="s">
        <v>1431</v>
      </c>
      <c r="AF14" s="103" t="s">
        <v>1436</v>
      </c>
      <c r="AG14" s="103" t="s">
        <v>1416</v>
      </c>
      <c r="AH14" s="103" t="s">
        <v>1452</v>
      </c>
      <c r="AI14" s="103" t="s">
        <v>1454</v>
      </c>
      <c r="AJ14" s="103" t="s">
        <v>1460</v>
      </c>
      <c r="AM14" s="239">
        <v>0.8</v>
      </c>
      <c r="AN14" s="239" t="s">
        <v>2226</v>
      </c>
      <c r="AO14" s="103" t="str">
        <f>IF('Customer Base'!$I$15="MANUAL",IFERROR(AM14*B14,""),IF('Customer Base'!$I$15="AUTOMATE",IFERROR(AM14*A14,""),""))</f>
        <v/>
      </c>
      <c r="AQ14" s="103">
        <v>24</v>
      </c>
      <c r="AR14" s="103" t="s">
        <v>2195</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85</v>
      </c>
    </row>
    <row r="15" spans="1:68">
      <c r="C15" s="237" t="s">
        <v>1118</v>
      </c>
      <c r="D15" s="267">
        <v>338.63</v>
      </c>
      <c r="E15" s="267">
        <v>318.95</v>
      </c>
      <c r="F15" s="238">
        <f t="shared" si="0"/>
        <v>277.79327317473337</v>
      </c>
      <c r="G15" s="238">
        <f>IFERROR(ROUNDUP(F15*'Customer Base'!$J$5,2),0)</f>
        <v>4444.7</v>
      </c>
      <c r="H15" s="238">
        <f t="shared" si="1"/>
        <v>261.64889253486461</v>
      </c>
      <c r="I15" s="238">
        <f>IFERROR(ROUNDUP(H15*'Customer Base'!$J$5,2),0)</f>
        <v>4186.3900000000003</v>
      </c>
      <c r="J15" s="103">
        <f t="shared" si="4"/>
        <v>900</v>
      </c>
      <c r="K15" s="103" t="s">
        <v>389</v>
      </c>
      <c r="L15" s="224">
        <f>J15/'Customer Base'!$J$5</f>
        <v>56.25</v>
      </c>
      <c r="M15" s="103">
        <v>85</v>
      </c>
      <c r="N15" s="103">
        <v>10</v>
      </c>
      <c r="O15" s="103" t="str">
        <f>IF('Customer Base'!$I$15="MANUAL",IF(B15&lt;&gt;"",C15,""),IF('Customer Base'!$I$15="AUTOMATE",IF(A15&lt;&gt;"",C15,""),""))</f>
        <v/>
      </c>
      <c r="P15" s="103" t="s">
        <v>1265</v>
      </c>
      <c r="U15" s="103" t="s">
        <v>1652</v>
      </c>
      <c r="W15" s="103" t="s">
        <v>1818</v>
      </c>
      <c r="AD15" s="103" t="s">
        <v>2379</v>
      </c>
      <c r="AE15" s="103" t="s">
        <v>2380</v>
      </c>
      <c r="AF15" s="103" t="s">
        <v>2381</v>
      </c>
      <c r="AG15" s="103" t="s">
        <v>1416</v>
      </c>
      <c r="AH15" s="103" t="s">
        <v>2382</v>
      </c>
      <c r="AI15" s="103" t="s">
        <v>2383</v>
      </c>
      <c r="AJ15" s="103" t="s">
        <v>2384</v>
      </c>
      <c r="AM15" s="239">
        <v>1.2</v>
      </c>
      <c r="AN15" s="239" t="s">
        <v>2227</v>
      </c>
      <c r="AO15" s="103">
        <f>IF('Customer Base'!$I$15="MANUAL",IFERROR(AM15*B15,""),IF('Customer Base'!$I$15="AUTOMATE",IFERROR(AM15*A15,""),""))</f>
        <v>0</v>
      </c>
      <c r="AQ15" s="103">
        <v>24</v>
      </c>
      <c r="AR15" s="103" t="s">
        <v>2195</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1253.75</v>
      </c>
      <c r="H16" s="238">
        <f t="shared" si="1"/>
        <v>75.351927809680063</v>
      </c>
      <c r="I16" s="238">
        <f>IFERROR(ROUNDUP(H16*'Customer Base'!$J$5,2),0)</f>
        <v>1205.6400000000001</v>
      </c>
      <c r="J16" s="103">
        <f t="shared" si="4"/>
        <v>1200</v>
      </c>
      <c r="K16" s="103" t="s">
        <v>955</v>
      </c>
      <c r="L16" s="224">
        <f>J16/'Customer Base'!$J$5</f>
        <v>75</v>
      </c>
      <c r="M16" s="103">
        <v>114</v>
      </c>
      <c r="N16" s="103">
        <v>11</v>
      </c>
      <c r="O16" s="103" t="str">
        <f>IF('Customer Base'!$I$15="MANUAL",IF(B16&lt;&gt;"",C16,""),IF('Customer Base'!$I$15="AUTOMATE",IF(A16&lt;&gt;"",C16,""),""))</f>
        <v/>
      </c>
      <c r="P16" s="103" t="s">
        <v>1266</v>
      </c>
      <c r="AD16" s="103" t="s">
        <v>2580</v>
      </c>
      <c r="AE16" s="103" t="s">
        <v>2581</v>
      </c>
      <c r="AF16" s="103" t="s">
        <v>2582</v>
      </c>
      <c r="AG16" s="103" t="s">
        <v>1416</v>
      </c>
      <c r="AH16" s="103" t="s">
        <v>2583</v>
      </c>
      <c r="AI16" s="103" t="s">
        <v>2585</v>
      </c>
      <c r="AJ16" s="103" t="s">
        <v>2584</v>
      </c>
      <c r="AM16" s="239">
        <v>0.25</v>
      </c>
      <c r="AN16" s="239" t="s">
        <v>2228</v>
      </c>
      <c r="AO16" s="103">
        <f>IF('Customer Base'!$I$15="MANUAL",IFERROR(AM16*B16,""),IF('Customer Base'!$I$15="AUTOMATE",IFERROR(AM16*A16,""),""))</f>
        <v>0</v>
      </c>
      <c r="AQ16" s="103">
        <v>48</v>
      </c>
      <c r="AR16" s="103" t="s">
        <v>2195</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1659.33</v>
      </c>
      <c r="H17" s="238">
        <f t="shared" si="1"/>
        <v>97.678424938474151</v>
      </c>
      <c r="I17" s="238">
        <f>IFERROR(ROUNDUP(H17*'Customer Base'!$J$5,2),0)</f>
        <v>1562.86</v>
      </c>
      <c r="J17" s="103">
        <f t="shared" si="4"/>
        <v>1200</v>
      </c>
      <c r="K17" s="103" t="s">
        <v>305</v>
      </c>
      <c r="L17" s="224">
        <f>J17/'Customer Base'!$J$5</f>
        <v>75</v>
      </c>
      <c r="M17" s="103">
        <v>114</v>
      </c>
      <c r="N17" s="103">
        <v>12</v>
      </c>
      <c r="O17" s="103" t="str">
        <f>IF('Customer Base'!$I$15="MANUAL",IF(B17&lt;&gt;"",C17,""),IF('Customer Base'!$I$15="AUTOMATE",IF(A17&lt;&gt;"",C17,""),""))</f>
        <v/>
      </c>
      <c r="P17" s="103" t="s">
        <v>1267</v>
      </c>
      <c r="AM17" s="239">
        <v>0.375</v>
      </c>
      <c r="AN17" s="239" t="s">
        <v>2229</v>
      </c>
      <c r="AO17" s="103">
        <f>IF('Customer Base'!$I$15="MANUAL",IFERROR(AM17*B17,""),IF('Customer Base'!$I$15="AUTOMATE",IFERROR(AM17*A17,""),""))</f>
        <v>0</v>
      </c>
      <c r="AQ17" s="103">
        <v>48</v>
      </c>
      <c r="AR17" s="103" t="s">
        <v>2195</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B18" s="270" t="s">
        <v>1</v>
      </c>
      <c r="C18" s="237" t="s">
        <v>1009</v>
      </c>
      <c r="D18" s="267">
        <v>158.03</v>
      </c>
      <c r="E18" s="267">
        <v>148.846</v>
      </c>
      <c r="F18" s="238">
        <f t="shared" si="0"/>
        <v>129.63904840032814</v>
      </c>
      <c r="G18" s="238">
        <f>IFERROR(ROUNDUP(F18*'Customer Base'!$J$5,2),0)</f>
        <v>2074.23</v>
      </c>
      <c r="H18" s="238">
        <f t="shared" si="1"/>
        <v>122.10500410172271</v>
      </c>
      <c r="I18" s="238">
        <f>IFERROR(ROUNDUP(H18*'Customer Base'!$J$5,2),0)</f>
        <v>1953.69</v>
      </c>
      <c r="J18" s="103">
        <f t="shared" si="4"/>
        <v>2840</v>
      </c>
      <c r="K18" s="103" t="s">
        <v>957</v>
      </c>
      <c r="L18" s="224">
        <f>J18/'Customer Base'!$J$5</f>
        <v>177.5</v>
      </c>
      <c r="M18" s="103">
        <v>270</v>
      </c>
      <c r="N18" s="103">
        <v>13</v>
      </c>
      <c r="O18" s="103" t="str">
        <f>IF('Customer Base'!$I$15="MANUAL",IF(B18&lt;&gt;"",C18,""),IF('Customer Base'!$I$15="AUTOMATE",IF(A18&lt;&gt;"",C18,""),""))</f>
        <v/>
      </c>
      <c r="P18" s="103" t="s">
        <v>1296</v>
      </c>
      <c r="AM18" s="239">
        <v>0.5</v>
      </c>
      <c r="AN18" s="239" t="s">
        <v>2230</v>
      </c>
      <c r="AO18" s="103" t="str">
        <f>IF('Customer Base'!$I$15="MANUAL",IFERROR(AM18*B18,""),IF('Customer Base'!$I$15="AUTOMATE",IFERROR(AM18*A18,""),""))</f>
        <v/>
      </c>
      <c r="AQ18" s="103">
        <v>48</v>
      </c>
      <c r="AR18" s="103" t="s">
        <v>2195</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85</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B19" s="270" t="s">
        <v>1</v>
      </c>
      <c r="C19" s="237" t="s">
        <v>1010</v>
      </c>
      <c r="D19" s="267">
        <v>256.45999999999998</v>
      </c>
      <c r="E19" s="267">
        <v>241.542</v>
      </c>
      <c r="F19" s="238">
        <f t="shared" si="0"/>
        <v>210.38556193601309</v>
      </c>
      <c r="G19" s="238">
        <f>IFERROR(ROUNDUP(F19*'Customer Base'!$J$5,2),0)</f>
        <v>3366.17</v>
      </c>
      <c r="H19" s="238">
        <f t="shared" si="1"/>
        <v>198.14766201804755</v>
      </c>
      <c r="I19" s="238">
        <f>IFERROR(ROUNDUP(H19*'Customer Base'!$J$5,2),0)</f>
        <v>3170.3700000000003</v>
      </c>
      <c r="J19" s="103">
        <f t="shared" si="4"/>
        <v>2840</v>
      </c>
      <c r="K19" s="103" t="s">
        <v>51</v>
      </c>
      <c r="L19" s="224">
        <f>J19/'Customer Base'!$J$5</f>
        <v>177.5</v>
      </c>
      <c r="M19" s="103">
        <v>270</v>
      </c>
      <c r="N19" s="103">
        <v>14</v>
      </c>
      <c r="O19" s="103" t="str">
        <f>IF('Customer Base'!$I$15="MANUAL",IF(B19&lt;&gt;"",C19,""),IF('Customer Base'!$I$15="AUTOMATE",IF(A19&lt;&gt;"",C19,""),""))</f>
        <v/>
      </c>
      <c r="P19" s="103" t="s">
        <v>1297</v>
      </c>
      <c r="AM19" s="239">
        <v>0.8</v>
      </c>
      <c r="AN19" s="239" t="s">
        <v>2231</v>
      </c>
      <c r="AO19" s="103" t="str">
        <f>IF('Customer Base'!$I$15="MANUAL",IFERROR(AM19*B19,""),IF('Customer Base'!$I$15="AUTOMATE",IFERROR(AM19*A19,""),""))</f>
        <v/>
      </c>
      <c r="AQ19" s="103">
        <v>48</v>
      </c>
      <c r="AR19" s="103" t="s">
        <v>2195</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B20" s="270" t="s">
        <v>1</v>
      </c>
      <c r="C20" s="237" t="s">
        <v>1011</v>
      </c>
      <c r="D20" s="267">
        <v>338.63</v>
      </c>
      <c r="E20" s="267">
        <v>318.94600000000003</v>
      </c>
      <c r="F20" s="238">
        <f t="shared" si="0"/>
        <v>277.79327317473337</v>
      </c>
      <c r="G20" s="238">
        <f>IFERROR(ROUNDUP(F20*'Customer Base'!$J$5,2),0)</f>
        <v>4444.7</v>
      </c>
      <c r="H20" s="238">
        <f t="shared" si="1"/>
        <v>261.64561115668579</v>
      </c>
      <c r="I20" s="238">
        <f>IFERROR(ROUNDUP(H20*'Customer Base'!$J$5,2),0)</f>
        <v>4186.33</v>
      </c>
      <c r="J20" s="103">
        <f t="shared" si="4"/>
        <v>1950</v>
      </c>
      <c r="K20" s="103" t="s">
        <v>960</v>
      </c>
      <c r="L20" s="224">
        <f>J20/'Customer Base'!$J$5</f>
        <v>121.875</v>
      </c>
      <c r="M20" s="103">
        <v>185</v>
      </c>
      <c r="N20" s="103">
        <v>15</v>
      </c>
      <c r="O20" s="103" t="str">
        <f>IF('Customer Base'!$I$15="MANUAL",IF(B20&lt;&gt;"",C20,""),IF('Customer Base'!$I$15="AUTOMATE",IF(A20&lt;&gt;"",C20,""),""))</f>
        <v/>
      </c>
      <c r="P20" s="103" t="s">
        <v>1388</v>
      </c>
      <c r="AM20" s="239">
        <v>1.2</v>
      </c>
      <c r="AN20" s="239" t="s">
        <v>2232</v>
      </c>
      <c r="AO20" s="103" t="str">
        <f>IF('Customer Base'!$I$15="MANUAL",IFERROR(AM20*B20,""),IF('Customer Base'!$I$15="AUTOMATE",IFERROR(AM20*A20,""),""))</f>
        <v/>
      </c>
      <c r="AQ20" s="103">
        <v>48</v>
      </c>
      <c r="AR20" s="103" t="s">
        <v>2195</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B21" s="270" t="s">
        <v>1</v>
      </c>
      <c r="C21" s="237" t="s">
        <v>1119</v>
      </c>
      <c r="D21" s="267">
        <v>544.52</v>
      </c>
      <c r="E21" s="267">
        <v>512.86</v>
      </c>
      <c r="F21" s="238">
        <f t="shared" ref="F21:F49" si="5">$D21/1.219</f>
        <v>446.69401148482359</v>
      </c>
      <c r="G21" s="238">
        <f>IFERROR(ROUNDUP(F21*'Customer Base'!$J$5,2),0)</f>
        <v>7147.1100000000006</v>
      </c>
      <c r="H21" s="238">
        <f t="shared" ref="H21:H49" si="6">$E21/1.219</f>
        <v>420.72190319934373</v>
      </c>
      <c r="I21" s="238">
        <f>IFERROR(ROUNDUP(H21*'Customer Base'!$J$5,2),0)</f>
        <v>6731.56</v>
      </c>
      <c r="J21" s="103">
        <f t="shared" si="4"/>
        <v>1950</v>
      </c>
      <c r="K21" s="103" t="s">
        <v>1081</v>
      </c>
      <c r="L21" s="224">
        <f>J21/'Customer Base'!$J$5</f>
        <v>121.875</v>
      </c>
      <c r="M21" s="103">
        <v>185</v>
      </c>
      <c r="N21" s="103">
        <v>16</v>
      </c>
      <c r="O21" s="103" t="str">
        <f>IF('Customer Base'!$I$15="MANUAL",IF(B21&lt;&gt;"",C21,""),IF('Customer Base'!$I$15="AUTOMATE",IF(A21&lt;&gt;"",C21,""),""))</f>
        <v/>
      </c>
      <c r="P21" s="103" t="s">
        <v>1389</v>
      </c>
      <c r="AM21" s="103">
        <v>1.6</v>
      </c>
      <c r="AN21" s="103" t="s">
        <v>2253</v>
      </c>
      <c r="AO21" s="103" t="str">
        <f>IF('Customer Base'!$I$15="MANUAL",IFERROR(AM21*B21,""),IF('Customer Base'!$I$15="AUTOMATE",IFERROR(AM21*A21,""),""))</f>
        <v/>
      </c>
      <c r="AQ21" s="103">
        <v>48</v>
      </c>
      <c r="AR21" s="103" t="s">
        <v>2195</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B22" s="270" t="s">
        <v>1</v>
      </c>
      <c r="C22" s="237" t="s">
        <v>1120</v>
      </c>
      <c r="D22" s="267">
        <v>649.27</v>
      </c>
      <c r="E22" s="267">
        <v>611.51800000000003</v>
      </c>
      <c r="F22" s="238">
        <f t="shared" si="5"/>
        <v>532.62510254306801</v>
      </c>
      <c r="G22" s="238">
        <f>IFERROR(ROUNDUP(F22*'Customer Base'!$J$5,2),0)</f>
        <v>8522.01</v>
      </c>
      <c r="H22" s="238">
        <f t="shared" si="6"/>
        <v>501.65545529122232</v>
      </c>
      <c r="I22" s="238">
        <f>IFERROR(ROUNDUP(H22*'Customer Base'!$J$5,2),0)</f>
        <v>8026.49</v>
      </c>
      <c r="J22" s="103">
        <f t="shared" si="4"/>
        <v>7480</v>
      </c>
      <c r="K22" s="103" t="s">
        <v>1082</v>
      </c>
      <c r="L22" s="224">
        <f>J22/'Customer Base'!$J$5</f>
        <v>467.5</v>
      </c>
      <c r="M22" s="103">
        <v>712</v>
      </c>
      <c r="N22" s="103">
        <v>17</v>
      </c>
      <c r="O22" s="103" t="str">
        <f>IF('Customer Base'!$I$15="MANUAL",IF(B22&lt;&gt;"",C22,""),IF('Customer Base'!$I$15="AUTOMATE",IF(A22&lt;&gt;"",C22,""),""))</f>
        <v/>
      </c>
      <c r="P22" s="103" t="s">
        <v>1741</v>
      </c>
      <c r="AM22" s="103">
        <v>2</v>
      </c>
      <c r="AN22" s="103" t="s">
        <v>2254</v>
      </c>
      <c r="AO22" s="103" t="str">
        <f>IF('Customer Base'!$I$15="MANUAL",IFERROR(AM22*B22,""),IF('Customer Base'!$I$15="AUTOMATE",IFERROR(AM22*A22,""),""))</f>
        <v/>
      </c>
      <c r="AQ22" s="103">
        <v>48</v>
      </c>
      <c r="AR22" s="103" t="s">
        <v>2195</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B23" s="270" t="s">
        <v>1</v>
      </c>
      <c r="C23" s="237" t="s">
        <v>1121</v>
      </c>
      <c r="D23" s="267">
        <v>921.95</v>
      </c>
      <c r="E23" s="267">
        <v>868.35199999999998</v>
      </c>
      <c r="F23" s="238">
        <f t="shared" si="5"/>
        <v>756.31665299425754</v>
      </c>
      <c r="G23" s="238">
        <f>IFERROR(ROUNDUP(F23*'Customer Base'!$J$5,2),0)</f>
        <v>12101.07</v>
      </c>
      <c r="H23" s="238">
        <f t="shared" si="6"/>
        <v>712.3478260869565</v>
      </c>
      <c r="I23" s="238">
        <f>IFERROR(ROUNDUP(H23*'Customer Base'!$J$5,2),0)</f>
        <v>11397.57</v>
      </c>
      <c r="J23" s="103">
        <f t="shared" si="4"/>
        <v>7480</v>
      </c>
      <c r="K23" s="103" t="s">
        <v>576</v>
      </c>
      <c r="L23" s="224">
        <f>J23/'Customer Base'!$J$5</f>
        <v>467.5</v>
      </c>
      <c r="M23" s="103">
        <v>712</v>
      </c>
      <c r="N23" s="103">
        <v>18</v>
      </c>
      <c r="O23" s="103" t="str">
        <f>IF('Customer Base'!$I$15="MANUAL",IF(B23&lt;&gt;"",C23,""),IF('Customer Base'!$I$15="AUTOMATE",IF(A23&lt;&gt;"",C23,""),""))</f>
        <v/>
      </c>
      <c r="P23" s="103" t="s">
        <v>1755</v>
      </c>
      <c r="AM23" s="103">
        <v>3</v>
      </c>
      <c r="AN23" s="103" t="s">
        <v>2255</v>
      </c>
      <c r="AO23" s="103" t="str">
        <f>IF('Customer Base'!$I$15="MANUAL",IFERROR(AM23*B23,""),IF('Customer Base'!$I$15="AUTOMATE",IFERROR(AM23*A23,""),""))</f>
        <v/>
      </c>
      <c r="AQ23" s="103">
        <v>48</v>
      </c>
      <c r="AR23" s="103" t="s">
        <v>2195</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B24" s="270" t="s">
        <v>1</v>
      </c>
      <c r="C24" s="237" t="s">
        <v>1006</v>
      </c>
      <c r="D24" s="267">
        <v>1381.59</v>
      </c>
      <c r="E24" s="267">
        <v>1301.2650000000001</v>
      </c>
      <c r="F24" s="238">
        <f t="shared" si="5"/>
        <v>1133.3798195242</v>
      </c>
      <c r="G24" s="238">
        <f>IFERROR(ROUNDUP(F24*'Customer Base'!$J$5,2),0)</f>
        <v>18134.079999999998</v>
      </c>
      <c r="H24" s="238">
        <f t="shared" si="6"/>
        <v>1067.4856439704677</v>
      </c>
      <c r="I24" s="238">
        <f>IFERROR(ROUNDUP(H24*'Customer Base'!$J$5,2),0)</f>
        <v>17079.78</v>
      </c>
      <c r="J24" s="103">
        <f t="shared" si="4"/>
        <v>4200</v>
      </c>
      <c r="K24" s="103" t="s">
        <v>1083</v>
      </c>
      <c r="L24" s="224">
        <f>J24/'Customer Base'!$J$5</f>
        <v>262.5</v>
      </c>
      <c r="M24" s="103">
        <v>400</v>
      </c>
      <c r="N24" s="103">
        <v>19</v>
      </c>
      <c r="O24" s="103" t="str">
        <f>IF('Customer Base'!$I$15="MANUAL",IF(B24&lt;&gt;"",C24,""),IF('Customer Base'!$I$15="AUTOMATE",IF(A24&lt;&gt;"",C24,""),""))</f>
        <v/>
      </c>
      <c r="AM24" s="103">
        <v>5</v>
      </c>
      <c r="AN24" s="103" t="s">
        <v>2256</v>
      </c>
      <c r="AO24" s="103" t="str">
        <f>IF('Customer Base'!$I$15="MANUAL",IFERROR(AM24*B24,""),IF('Customer Base'!$I$15="AUTOMATE",IFERROR(AM24*A24,""),""))</f>
        <v/>
      </c>
      <c r="AQ24" s="103">
        <v>48</v>
      </c>
      <c r="AR24" s="103" t="s">
        <v>2195</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262.5</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B26" s="270" t="s">
        <v>1</v>
      </c>
      <c r="C26" s="237" t="s">
        <v>1104</v>
      </c>
      <c r="D26" s="267">
        <v>261.87</v>
      </c>
      <c r="E26" s="267">
        <v>246.64500000000001</v>
      </c>
      <c r="F26" s="238">
        <f t="shared" si="5"/>
        <v>214.8236259228876</v>
      </c>
      <c r="G26" s="238">
        <f>IFERROR(ROUNDUP(F26*'Customer Base'!$J$5,2),0)</f>
        <v>3437.1800000000003</v>
      </c>
      <c r="H26" s="238">
        <f t="shared" si="6"/>
        <v>202.33388022969646</v>
      </c>
      <c r="I26" s="238">
        <f>IFERROR(ROUNDUP(H26*'Customer Base'!$J$5,2),0)</f>
        <v>3237.3500000000004</v>
      </c>
      <c r="J26" s="103">
        <f t="shared" si="4"/>
        <v>4070</v>
      </c>
      <c r="K26" s="103" t="s">
        <v>1084</v>
      </c>
      <c r="L26" s="224">
        <f>J26/'Customer Base'!$J$5</f>
        <v>254.375</v>
      </c>
      <c r="M26" s="103">
        <v>387</v>
      </c>
      <c r="N26" s="103">
        <v>21</v>
      </c>
      <c r="O26" s="103" t="str">
        <f>IF('Customer Base'!$I$15="MANUAL",IF(B26&lt;&gt;"",C26,""),IF('Customer Base'!$I$15="AUTOMATE",IF(A26&lt;&gt;"",C26,""),""))</f>
        <v/>
      </c>
      <c r="AM26" s="103">
        <v>0.5</v>
      </c>
      <c r="AN26" s="103" t="s">
        <v>2220</v>
      </c>
      <c r="AO26" s="103" t="str">
        <f>IF('Customer Base'!$I$15="MANUAL",IFERROR(AM26*B26,""),IF('Customer Base'!$I$15="AUTOMATE",IFERROR(AM26*A26,""),""))</f>
        <v/>
      </c>
      <c r="AQ26" s="103">
        <v>12</v>
      </c>
      <c r="AR26" s="103" t="s">
        <v>2199</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B27" s="270" t="s">
        <v>1</v>
      </c>
      <c r="C27" s="237" t="s">
        <v>1105</v>
      </c>
      <c r="D27" s="267">
        <v>307.91000000000003</v>
      </c>
      <c r="E27" s="267">
        <v>290.012</v>
      </c>
      <c r="F27" s="238">
        <f t="shared" si="5"/>
        <v>252.59228876127975</v>
      </c>
      <c r="G27" s="238">
        <f>IFERROR(ROUNDUP(F27*'Customer Base'!$J$5,2),0)</f>
        <v>4041.48</v>
      </c>
      <c r="H27" s="238">
        <f t="shared" si="6"/>
        <v>237.90976210008202</v>
      </c>
      <c r="I27" s="238">
        <f>IFERROR(ROUNDUP(H27*'Customer Base'!$J$5,2),0)</f>
        <v>3806.5600000000004</v>
      </c>
      <c r="J27" s="103">
        <f t="shared" si="4"/>
        <v>4070</v>
      </c>
      <c r="K27" s="103" t="s">
        <v>1085</v>
      </c>
      <c r="L27" s="224">
        <f>J27/'Customer Base'!$J$5</f>
        <v>254.375</v>
      </c>
      <c r="M27" s="103">
        <v>387</v>
      </c>
      <c r="N27" s="103">
        <v>22</v>
      </c>
      <c r="O27" s="103" t="str">
        <f>IF('Customer Base'!$I$15="MANUAL",IF(B27&lt;&gt;"",C27,""),IF('Customer Base'!$I$15="AUTOMATE",IF(A27&lt;&gt;"",C27,""),""))</f>
        <v/>
      </c>
      <c r="AM27" s="103">
        <v>0.8</v>
      </c>
      <c r="AN27" s="103" t="s">
        <v>2221</v>
      </c>
      <c r="AO27" s="103" t="str">
        <f>IF('Customer Base'!$I$15="MANUAL",IFERROR(AM27*B27,""),IF('Customer Base'!$I$15="AUTOMATE",IFERROR(AM27*A27,""),""))</f>
        <v/>
      </c>
      <c r="AQ27" s="103">
        <v>12</v>
      </c>
      <c r="AR27" s="103" t="s">
        <v>2199</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B28" s="270" t="s">
        <v>1</v>
      </c>
      <c r="C28" s="237" t="s">
        <v>1106</v>
      </c>
      <c r="D28" s="267">
        <v>429.83</v>
      </c>
      <c r="E28" s="267">
        <v>404.83800000000002</v>
      </c>
      <c r="F28" s="238">
        <f t="shared" si="5"/>
        <v>352.60869565217388</v>
      </c>
      <c r="G28" s="238">
        <f>IFERROR(ROUNDUP(F28*'Customer Base'!$J$5,2),0)</f>
        <v>5641.74</v>
      </c>
      <c r="H28" s="238">
        <f t="shared" si="6"/>
        <v>332.10664479081214</v>
      </c>
      <c r="I28" s="238">
        <f>IFERROR(ROUNDUP(H28*'Customer Base'!$J$5,2),0)</f>
        <v>5313.71</v>
      </c>
      <c r="J28" s="103">
        <f t="shared" si="4"/>
        <v>3590</v>
      </c>
      <c r="K28" s="103" t="s">
        <v>1086</v>
      </c>
      <c r="L28" s="224">
        <f>J28/'Customer Base'!$J$5</f>
        <v>224.375</v>
      </c>
      <c r="M28" s="103">
        <v>341</v>
      </c>
      <c r="N28" s="103">
        <v>23</v>
      </c>
      <c r="O28" s="103" t="str">
        <f>IF('Customer Base'!$I$15="MANUAL",IF(B28&lt;&gt;"",C28,""),IF('Customer Base'!$I$15="AUTOMATE",IF(A28&lt;&gt;"",C28,""),""))</f>
        <v/>
      </c>
      <c r="AM28" s="103">
        <v>1.2</v>
      </c>
      <c r="AN28" s="103" t="s">
        <v>2222</v>
      </c>
      <c r="AO28" s="103" t="str">
        <f>IF('Customer Base'!$I$15="MANUAL",IFERROR(AM28*B28,""),IF('Customer Base'!$I$15="AUTOMATE",IFERROR(AM28*A28,""),""))</f>
        <v/>
      </c>
      <c r="AQ28" s="103">
        <v>12</v>
      </c>
      <c r="AR28" s="103" t="s">
        <v>2199</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6411.95</v>
      </c>
      <c r="H29" s="238">
        <f t="shared" si="6"/>
        <v>377.45036915504511</v>
      </c>
      <c r="I29" s="238">
        <f>IFERROR(ROUNDUP(H29*'Customer Base'!$J$5,2),0)</f>
        <v>6039.21</v>
      </c>
      <c r="J29" s="103">
        <f t="shared" si="4"/>
        <v>3590</v>
      </c>
      <c r="K29" s="103" t="s">
        <v>1087</v>
      </c>
      <c r="L29" s="224">
        <f>J29/'Customer Base'!$J$5</f>
        <v>224.375</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15kVA inverter, 30kWh Battery, and Remote Monitoring</v>
      </c>
      <c r="AM29" s="103">
        <v>1.6</v>
      </c>
      <c r="AN29" s="103" t="s">
        <v>2233</v>
      </c>
      <c r="AO29" s="103">
        <f>IF('Customer Base'!$I$15="MANUAL",IFERROR(AM29*B29,""),IF('Customer Base'!$I$15="AUTOMATE",IFERROR(AM29*A29,""),""))</f>
        <v>0</v>
      </c>
      <c r="AQ29" s="103">
        <v>12</v>
      </c>
      <c r="AR29" s="103" t="s">
        <v>2199</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7146.9800000000005</v>
      </c>
      <c r="H30" s="238">
        <f t="shared" si="6"/>
        <v>420.72190319934373</v>
      </c>
      <c r="I30" s="238">
        <f>IFERROR(ROUNDUP(H30*'Customer Base'!$J$5,2),0)</f>
        <v>6731.56</v>
      </c>
      <c r="J30" s="103">
        <f t="shared" si="4"/>
        <v>4180</v>
      </c>
      <c r="K30" s="103" t="s">
        <v>1088</v>
      </c>
      <c r="L30" s="224">
        <f>J30/'Customer Base'!$J$5</f>
        <v>261.25</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15kVA inverter, 15kWp Solar Panels and Remote Monitoring</v>
      </c>
      <c r="AM30" s="103">
        <v>2</v>
      </c>
      <c r="AN30" s="241" t="s">
        <v>2236</v>
      </c>
      <c r="AO30" s="103">
        <f>IF('Customer Base'!$I$15="MANUAL",IFERROR(AM30*B30,""),IF('Customer Base'!$I$15="AUTOMATE",IFERROR(AM30*A30,""),""))</f>
        <v>0</v>
      </c>
      <c r="AQ30" s="103">
        <v>12</v>
      </c>
      <c r="AR30" s="103" t="s">
        <v>2199</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B31" s="270" t="s">
        <v>1</v>
      </c>
      <c r="C31" s="237" t="s">
        <v>1930</v>
      </c>
      <c r="D31" s="267">
        <v>261</v>
      </c>
      <c r="E31" s="267">
        <v>246.64500000000001</v>
      </c>
      <c r="F31" s="238">
        <f t="shared" si="5"/>
        <v>214.10992616899097</v>
      </c>
      <c r="G31" s="238">
        <f>IFERROR(ROUNDUP(F31*'Customer Base'!$J$5,2),0)</f>
        <v>3425.76</v>
      </c>
      <c r="H31" s="238">
        <f t="shared" si="6"/>
        <v>202.33388022969646</v>
      </c>
      <c r="I31" s="238">
        <f>IFERROR(ROUNDUP(H31*'Customer Base'!$J$5,2),0)</f>
        <v>3237.3500000000004</v>
      </c>
      <c r="J31" s="103">
        <f t="shared" si="4"/>
        <v>4180</v>
      </c>
      <c r="K31" s="103" t="s">
        <v>1089</v>
      </c>
      <c r="L31" s="224">
        <f>J31/'Customer Base'!$J$5</f>
        <v>261.25</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15kVA inverter, 30kWh Battery, 15kWp Solar Panels and Remote Monitoring</v>
      </c>
      <c r="AM31" s="103">
        <v>0.5</v>
      </c>
      <c r="AN31" s="103" t="s">
        <v>2225</v>
      </c>
      <c r="AO31" s="103" t="str">
        <f>IF('Customer Base'!$I$15="MANUAL",IFERROR(AM31*B31,""),IF('Customer Base'!$I$15="AUTOMATE",IFERROR(AM31*A31,""),""))</f>
        <v/>
      </c>
      <c r="AQ31" s="103">
        <v>24</v>
      </c>
      <c r="AR31" s="103" t="s">
        <v>2199</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B32" s="270" t="s">
        <v>1</v>
      </c>
      <c r="C32" s="237" t="s">
        <v>1931</v>
      </c>
      <c r="D32" s="267">
        <v>307.91000000000003</v>
      </c>
      <c r="E32" s="267">
        <v>290.012</v>
      </c>
      <c r="F32" s="238">
        <f t="shared" si="5"/>
        <v>252.59228876127975</v>
      </c>
      <c r="G32" s="238">
        <f>IFERROR(ROUNDUP(F32*'Customer Base'!$J$5,2),0)</f>
        <v>4041.48</v>
      </c>
      <c r="H32" s="238">
        <f t="shared" si="6"/>
        <v>237.90976210008202</v>
      </c>
      <c r="I32" s="238">
        <f>IFERROR(ROUNDUP(H32*'Customer Base'!$J$5,2),0)</f>
        <v>3806.5600000000004</v>
      </c>
      <c r="J32" s="103">
        <f t="shared" si="4"/>
        <v>6790</v>
      </c>
      <c r="K32" s="103" t="s">
        <v>1090</v>
      </c>
      <c r="L32" s="224">
        <f>J32/'Customer Base'!$J$5</f>
        <v>424.375</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15kVA inverter, 30kWh Battery, and 15kWp Solar Panels</v>
      </c>
      <c r="AM32" s="103">
        <v>0.8</v>
      </c>
      <c r="AN32" s="103" t="s">
        <v>2226</v>
      </c>
      <c r="AO32" s="103" t="str">
        <f>IF('Customer Base'!$I$15="MANUAL",IFERROR(AM32*B32,""),IF('Customer Base'!$I$15="AUTOMATE",IFERROR(AM32*A32,""),""))</f>
        <v/>
      </c>
      <c r="AQ32" s="103">
        <v>24</v>
      </c>
      <c r="AR32" s="103" t="s">
        <v>2199</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B33" s="270" t="s">
        <v>1</v>
      </c>
      <c r="C33" s="237" t="s">
        <v>1932</v>
      </c>
      <c r="D33" s="267">
        <v>429.83</v>
      </c>
      <c r="E33" s="267">
        <v>404.83800000000002</v>
      </c>
      <c r="F33" s="238">
        <f t="shared" si="5"/>
        <v>352.60869565217388</v>
      </c>
      <c r="G33" s="238">
        <f>IFERROR(ROUNDUP(F33*'Customer Base'!$J$5,2),0)</f>
        <v>5641.74</v>
      </c>
      <c r="H33" s="238">
        <f t="shared" si="6"/>
        <v>332.10664479081214</v>
      </c>
      <c r="I33" s="238">
        <f>IFERROR(ROUNDUP(H33*'Customer Base'!$J$5,2),0)</f>
        <v>5313.71</v>
      </c>
      <c r="J33" s="103">
        <f t="shared" si="4"/>
        <v>6790</v>
      </c>
      <c r="K33" s="103" t="s">
        <v>1091</v>
      </c>
      <c r="L33" s="224">
        <f>J33/'Customer Base'!$J$5</f>
        <v>424.375</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15kVA inverter, 30kWh Battery, 15kWp Solar Panels and Remote Monitoring</v>
      </c>
      <c r="AM33" s="103">
        <v>1.2</v>
      </c>
      <c r="AN33" s="103" t="s">
        <v>2227</v>
      </c>
      <c r="AO33" s="103" t="str">
        <f>IF('Customer Base'!$I$15="MANUAL",IFERROR(AM33*B33,""),IF('Customer Base'!$I$15="AUTOMATE",IFERROR(AM33*A33,""),""))</f>
        <v/>
      </c>
      <c r="AQ33" s="103">
        <v>24</v>
      </c>
      <c r="AR33" s="103" t="s">
        <v>2199</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B34" s="270" t="s">
        <v>1</v>
      </c>
      <c r="C34" s="237" t="s">
        <v>1933</v>
      </c>
      <c r="D34" s="267">
        <v>488.51</v>
      </c>
      <c r="E34" s="267">
        <v>460.11200000000002</v>
      </c>
      <c r="F34" s="238">
        <f t="shared" si="5"/>
        <v>400.74651353568493</v>
      </c>
      <c r="G34" s="238">
        <f>IFERROR(ROUNDUP(F34*'Customer Base'!$J$5,2),0)</f>
        <v>6411.95</v>
      </c>
      <c r="H34" s="238">
        <f t="shared" si="6"/>
        <v>377.45036915504511</v>
      </c>
      <c r="I34" s="238">
        <f>IFERROR(ROUNDUP(H34*'Customer Base'!$J$5,2),0)</f>
        <v>6039.21</v>
      </c>
      <c r="J34" s="103">
        <f t="shared" si="4"/>
        <v>8220</v>
      </c>
      <c r="K34" s="103" t="s">
        <v>1092</v>
      </c>
      <c r="L34" s="224">
        <f>J34/'Customer Base'!$J$5</f>
        <v>513.75</v>
      </c>
      <c r="M34" s="103">
        <v>782</v>
      </c>
      <c r="N34" s="103">
        <v>29</v>
      </c>
      <c r="O34" s="103" t="str">
        <f>IF('Customer Base'!$I$15="MANUAL",IF(B34&lt;&gt;"",C34,""),IF('Customer Base'!$I$15="AUTOMATE",IF(A34&lt;&gt;"",C34,""),""))</f>
        <v/>
      </c>
      <c r="AM34" s="103">
        <v>1.6</v>
      </c>
      <c r="AN34" s="103" t="s">
        <v>2235</v>
      </c>
      <c r="AO34" s="103" t="str">
        <f>IF('Customer Base'!$I$15="MANUAL",IFERROR(AM34*B34,""),IF('Customer Base'!$I$15="AUTOMATE",IFERROR(AM34*A34,""),""))</f>
        <v/>
      </c>
      <c r="AQ34" s="103">
        <v>24</v>
      </c>
      <c r="AR34" s="103" t="s">
        <v>2199</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B35" s="270" t="s">
        <v>1</v>
      </c>
      <c r="C35" s="237" t="s">
        <v>1934</v>
      </c>
      <c r="D35" s="267">
        <v>544.51</v>
      </c>
      <c r="E35" s="267">
        <v>512.86</v>
      </c>
      <c r="F35" s="238">
        <f t="shared" si="5"/>
        <v>446.68580803937652</v>
      </c>
      <c r="G35" s="238">
        <f>IFERROR(ROUNDUP(F35*'Customer Base'!$J$5,2),0)</f>
        <v>7146.9800000000005</v>
      </c>
      <c r="H35" s="238">
        <f t="shared" si="6"/>
        <v>420.72190319934373</v>
      </c>
      <c r="I35" s="238">
        <f>IFERROR(ROUNDUP(H35*'Customer Base'!$J$5,2),0)</f>
        <v>6731.56</v>
      </c>
      <c r="J35" s="103">
        <f t="shared" si="4"/>
        <v>8220</v>
      </c>
      <c r="K35" s="103" t="s">
        <v>1093</v>
      </c>
      <c r="L35" s="224">
        <f>J35/'Customer Base'!$J$5</f>
        <v>513.75</v>
      </c>
      <c r="M35" s="103">
        <v>782</v>
      </c>
      <c r="N35" s="103">
        <v>30</v>
      </c>
      <c r="O35" s="103" t="str">
        <f>IF('Customer Base'!$I$15="MANUAL",IF(B35&lt;&gt;"",C35,""),IF('Customer Base'!$I$15="AUTOMATE",IF(A35&lt;&gt;"",C35,""),""))</f>
        <v/>
      </c>
      <c r="AM35" s="103">
        <v>2</v>
      </c>
      <c r="AN35" s="103" t="s">
        <v>2234</v>
      </c>
      <c r="AO35" s="103" t="str">
        <f>IF('Customer Base'!$I$15="MANUAL",IFERROR(AM35*B35,""),IF('Customer Base'!$I$15="AUTOMATE",IFERROR(AM35*A35,""),""))</f>
        <v/>
      </c>
      <c r="AQ35" s="103">
        <v>24</v>
      </c>
      <c r="AR35" s="103" t="s">
        <v>2199</v>
      </c>
      <c r="AS35" s="103">
        <v>1</v>
      </c>
      <c r="AT35" s="103" t="str">
        <f t="shared" si="2"/>
        <v/>
      </c>
      <c r="AV35" s="103" t="str">
        <f t="shared" si="3"/>
        <v/>
      </c>
      <c r="AW35" s="103">
        <v>80</v>
      </c>
      <c r="BD35" s="103" t="e" cm="1">
        <f t="array" ref="BD35">INDEX(AM$205:AM$236,MATCH(0,COUNTIF($BD$5:BD34,AM$205:AM$236),0))</f>
        <v>#N/A</v>
      </c>
    </row>
    <row r="36" spans="1:56">
      <c r="C36" s="237" t="s">
        <v>2709</v>
      </c>
      <c r="D36" s="267">
        <v>1293.0999999999999</v>
      </c>
      <c r="E36" s="267">
        <v>1217.9159999999999</v>
      </c>
      <c r="F36" s="238">
        <f t="shared" si="5"/>
        <v>1060.7875307629204</v>
      </c>
      <c r="G36" s="238">
        <f>IFERROR(ROUNDUP(F36*'Customer Base'!$J$5,2),0)</f>
        <v>16972.609999999997</v>
      </c>
      <c r="H36" s="238">
        <f t="shared" si="6"/>
        <v>999.11074651353556</v>
      </c>
      <c r="I36" s="238">
        <f>IFERROR(ROUNDUP(H36*'Customer Base'!$J$5,2),0)</f>
        <v>15985.78</v>
      </c>
      <c r="J36" s="103">
        <f t="shared" si="4"/>
        <v>6600</v>
      </c>
      <c r="K36" s="103" t="s">
        <v>2782</v>
      </c>
      <c r="L36" s="224">
        <f>J36/'Customer Base'!$J$5</f>
        <v>412.5</v>
      </c>
      <c r="M36" s="103">
        <v>628</v>
      </c>
      <c r="N36" s="103">
        <v>31</v>
      </c>
      <c r="O36" s="103" t="str">
        <f>IF('Customer Base'!$I$15="MANUAL",IF(B36&lt;&gt;"",C36,""),IF('Customer Base'!$I$15="AUTOMATE",IF(A36&lt;&gt;"",C36,""),""))</f>
        <v/>
      </c>
      <c r="AM36" s="103">
        <v>3</v>
      </c>
      <c r="AN36" s="103" t="s">
        <v>2311</v>
      </c>
      <c r="AO36" s="103">
        <f>IF('Customer Base'!$I$15="MANUAL",IFERROR(AM36*B36,""),IF('Customer Base'!$I$15="AUTOMATE",IFERROR(AM36*A36,""),""))</f>
        <v>0</v>
      </c>
      <c r="AQ36" s="103">
        <v>24</v>
      </c>
      <c r="AR36" s="103" t="s">
        <v>2199</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B37" s="270" t="s">
        <v>1</v>
      </c>
      <c r="C37" s="237" t="s">
        <v>899</v>
      </c>
      <c r="D37" s="267">
        <v>261</v>
      </c>
      <c r="E37" s="267">
        <v>246.64500000000001</v>
      </c>
      <c r="F37" s="238">
        <f t="shared" si="5"/>
        <v>214.10992616899097</v>
      </c>
      <c r="G37" s="238">
        <f>IFERROR(ROUNDUP(F37*'Customer Base'!$J$5,2),0)</f>
        <v>3425.76</v>
      </c>
      <c r="H37" s="238">
        <f t="shared" si="6"/>
        <v>202.33388022969646</v>
      </c>
      <c r="I37" s="238">
        <f>IFERROR(ROUNDUP(H37*'Customer Base'!$J$5,2),0)</f>
        <v>3237.3500000000004</v>
      </c>
      <c r="J37" s="103">
        <f t="shared" si="4"/>
        <v>6600</v>
      </c>
      <c r="K37" s="103" t="s">
        <v>295</v>
      </c>
      <c r="L37" s="224">
        <f>J37/'Customer Base'!$J$5</f>
        <v>412.5</v>
      </c>
      <c r="M37" s="103">
        <v>628</v>
      </c>
      <c r="N37" s="103">
        <v>32</v>
      </c>
      <c r="O37" s="103" t="str">
        <f>IF('Customer Base'!$I$15="MANUAL",IF(B37&lt;&gt;"",C37,""),IF('Customer Base'!$I$15="AUTOMATE",IF(A37&lt;&gt;"",C37,""),""))</f>
        <v/>
      </c>
      <c r="AM37" s="103">
        <v>0.5</v>
      </c>
      <c r="AN37" s="103" t="s">
        <v>2230</v>
      </c>
      <c r="AO37" s="103" t="str">
        <f>IF('Customer Base'!$I$15="MANUAL",IFERROR(AM37*B37,""),IF('Customer Base'!$I$15="AUTOMATE",IFERROR(AM37*A37,""),""))</f>
        <v/>
      </c>
      <c r="AQ37" s="103">
        <v>48</v>
      </c>
      <c r="AR37" s="103" t="s">
        <v>2199</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B38" s="270" t="s">
        <v>1</v>
      </c>
      <c r="C38" s="237" t="s">
        <v>900</v>
      </c>
      <c r="D38" s="267">
        <v>307.91000000000003</v>
      </c>
      <c r="E38" s="267">
        <v>290.012</v>
      </c>
      <c r="F38" s="238">
        <f t="shared" si="5"/>
        <v>252.59228876127975</v>
      </c>
      <c r="G38" s="238">
        <f>IFERROR(ROUNDUP(F38*'Customer Base'!$J$5,2),0)</f>
        <v>4041.48</v>
      </c>
      <c r="H38" s="238">
        <f t="shared" si="6"/>
        <v>237.90976210008202</v>
      </c>
      <c r="I38" s="238">
        <f>IFERROR(ROUNDUP(H38*'Customer Base'!$J$5,2),0)</f>
        <v>3806.5600000000004</v>
      </c>
      <c r="L38" s="103" t="str">
        <f t="shared" ref="L38:L69" si="7">IF(H38&gt;F38,"lkkajdfkj","")</f>
        <v/>
      </c>
      <c r="N38" s="103">
        <v>33</v>
      </c>
      <c r="O38" s="103" t="str">
        <f>IF('Customer Base'!$I$15="MANUAL",IF(B38&lt;&gt;"",C38,""),IF('Customer Base'!$I$15="AUTOMATE",IF(A38&lt;&gt;"",C38,""),""))</f>
        <v/>
      </c>
      <c r="AM38" s="103">
        <v>0.8</v>
      </c>
      <c r="AN38" s="103" t="s">
        <v>2231</v>
      </c>
      <c r="AO38" s="103" t="str">
        <f>IF('Customer Base'!$I$15="MANUAL",IFERROR(AM38*B38,""),IF('Customer Base'!$I$15="AUTOMATE",IFERROR(AM38*A38,""),""))</f>
        <v/>
      </c>
      <c r="AQ38" s="103">
        <v>48</v>
      </c>
      <c r="AR38" s="103" t="s">
        <v>2199</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B39" s="270" t="s">
        <v>1</v>
      </c>
      <c r="C39" s="237" t="s">
        <v>901</v>
      </c>
      <c r="D39" s="267">
        <v>429.83</v>
      </c>
      <c r="E39" s="267">
        <v>404.83800000000002</v>
      </c>
      <c r="F39" s="238">
        <f t="shared" si="5"/>
        <v>352.60869565217388</v>
      </c>
      <c r="G39" s="238">
        <f>IFERROR(ROUNDUP(F39*'Customer Base'!$J$5,2),0)</f>
        <v>5641.74</v>
      </c>
      <c r="H39" s="238">
        <f t="shared" si="6"/>
        <v>332.10664479081214</v>
      </c>
      <c r="I39" s="238">
        <f>IFERROR(ROUNDUP(H39*'Customer Base'!$J$5,2),0)</f>
        <v>5313.71</v>
      </c>
      <c r="L39" s="103" t="str">
        <f t="shared" si="7"/>
        <v/>
      </c>
      <c r="N39" s="103">
        <v>34</v>
      </c>
      <c r="O39" s="103" t="str">
        <f>IF('Customer Base'!$I$15="MANUAL",IF(B39&lt;&gt;"",C39,""),IF('Customer Base'!$I$15="AUTOMATE",IF(A39&lt;&gt;"",C39,""),""))</f>
        <v/>
      </c>
      <c r="AM39" s="103">
        <v>1.2</v>
      </c>
      <c r="AN39" s="103" t="s">
        <v>2232</v>
      </c>
      <c r="AO39" s="103" t="str">
        <f>IF('Customer Base'!$I$15="MANUAL",IFERROR(AM39*B39,""),IF('Customer Base'!$I$15="AUTOMATE",IFERROR(AM39*A39,""),""))</f>
        <v/>
      </c>
      <c r="AQ39" s="103">
        <v>48</v>
      </c>
      <c r="AR39" s="103" t="s">
        <v>2199</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B40" s="270" t="s">
        <v>1</v>
      </c>
      <c r="C40" s="237" t="s">
        <v>902</v>
      </c>
      <c r="D40" s="267">
        <v>488.51</v>
      </c>
      <c r="E40" s="267">
        <v>460.11200000000002</v>
      </c>
      <c r="F40" s="238">
        <f t="shared" si="5"/>
        <v>400.74651353568493</v>
      </c>
      <c r="G40" s="238">
        <f>IFERROR(ROUNDUP(F40*'Customer Base'!$J$5,2),0)</f>
        <v>6411.95</v>
      </c>
      <c r="H40" s="238">
        <f t="shared" si="6"/>
        <v>377.45036915504511</v>
      </c>
      <c r="I40" s="238">
        <f>IFERROR(ROUNDUP(H40*'Customer Base'!$J$5,2),0)</f>
        <v>6039.21</v>
      </c>
      <c r="L40" s="103" t="str">
        <f t="shared" si="7"/>
        <v/>
      </c>
      <c r="N40" s="103">
        <v>35</v>
      </c>
      <c r="O40" s="103" t="str">
        <f>IF('Customer Base'!$I$15="MANUAL",IF(B40&lt;&gt;"",C40,""),IF('Customer Base'!$I$15="AUTOMATE",IF(A40&lt;&gt;"",C40,""),""))</f>
        <v/>
      </c>
      <c r="AM40" s="103">
        <v>1.6</v>
      </c>
      <c r="AN40" s="103" t="s">
        <v>2253</v>
      </c>
      <c r="AO40" s="103" t="str">
        <f>IF('Customer Base'!$I$15="MANUAL",IFERROR(AM40*B40,""),IF('Customer Base'!$I$15="AUTOMATE",IFERROR(AM40*A40,""),""))</f>
        <v/>
      </c>
      <c r="AQ40" s="103">
        <v>48</v>
      </c>
      <c r="AR40" s="103" t="s">
        <v>2199</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B41" s="270" t="s">
        <v>1</v>
      </c>
      <c r="C41" s="237" t="s">
        <v>1935</v>
      </c>
      <c r="D41" s="267">
        <v>544.51</v>
      </c>
      <c r="E41" s="267">
        <v>512.86</v>
      </c>
      <c r="F41" s="238">
        <f t="shared" si="5"/>
        <v>446.68580803937652</v>
      </c>
      <c r="G41" s="238">
        <f>IFERROR(ROUNDUP(F41*'Customer Base'!$J$5,2),0)</f>
        <v>7146.9800000000005</v>
      </c>
      <c r="H41" s="238">
        <f t="shared" si="6"/>
        <v>420.72190319934373</v>
      </c>
      <c r="I41" s="238">
        <f>IFERROR(ROUNDUP(H41*'Customer Base'!$J$5,2),0)</f>
        <v>6731.56</v>
      </c>
      <c r="L41" s="103" t="str">
        <f t="shared" si="7"/>
        <v/>
      </c>
      <c r="N41" s="103">
        <v>36</v>
      </c>
      <c r="O41" s="103" t="str">
        <f>IF('Customer Base'!$I$15="MANUAL",IF(B41&lt;&gt;"",C41,""),IF('Customer Base'!$I$15="AUTOMATE",IF(A41&lt;&gt;"",C41,""),""))</f>
        <v/>
      </c>
      <c r="AM41" s="103">
        <v>2</v>
      </c>
      <c r="AN41" s="103" t="s">
        <v>2254</v>
      </c>
      <c r="AO41" s="103" t="str">
        <f>IF('Customer Base'!$I$15="MANUAL",IFERROR(AM41*B41,""),IF('Customer Base'!$I$15="AUTOMATE",IFERROR(AM41*A41,""),""))</f>
        <v/>
      </c>
      <c r="AQ41" s="103">
        <v>48</v>
      </c>
      <c r="AR41" s="103" t="s">
        <v>2199</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10892.47</v>
      </c>
      <c r="H42" s="238">
        <f t="shared" si="6"/>
        <v>641.19606234618539</v>
      </c>
      <c r="I42" s="238">
        <f>IFERROR(ROUNDUP(H42*'Customer Base'!$J$5,2),0)</f>
        <v>10259.14</v>
      </c>
      <c r="L42" s="103" t="str">
        <f t="shared" si="7"/>
        <v/>
      </c>
      <c r="N42" s="103">
        <v>37</v>
      </c>
      <c r="O42" s="103" t="str">
        <f>IF('Customer Base'!$I$15="MANUAL",IF(B42&lt;&gt;"",C42,""),IF('Customer Base'!$I$15="AUTOMATE",IF(A42&lt;&gt;"",C42,""),""))</f>
        <v/>
      </c>
      <c r="AM42" s="103">
        <v>3</v>
      </c>
      <c r="AN42" s="103" t="s">
        <v>2312</v>
      </c>
      <c r="AO42" s="103">
        <f>IF('Customer Base'!$I$15="MANUAL",IFERROR(AM42*B42,""),IF('Customer Base'!$I$15="AUTOMATE",IFERROR(AM42*A42,""),""))</f>
        <v>0</v>
      </c>
      <c r="AQ42" s="103">
        <v>48</v>
      </c>
      <c r="AR42" s="103" t="s">
        <v>2199</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11366.57</v>
      </c>
      <c r="H43" s="238">
        <f t="shared" si="6"/>
        <v>669.10418375717802</v>
      </c>
      <c r="I43" s="238">
        <f>IFERROR(ROUNDUP(H43*'Customer Base'!$J$5,2),0)</f>
        <v>10705.67</v>
      </c>
      <c r="L43" s="103" t="str">
        <f t="shared" si="7"/>
        <v/>
      </c>
      <c r="N43" s="103">
        <v>38</v>
      </c>
      <c r="O43" s="103" t="str">
        <f>IF('Customer Base'!$I$15="MANUAL",IF(B43&lt;&gt;"",C43,""),IF('Customer Base'!$I$15="AUTOMATE",IF(A43&lt;&gt;"",C43,""),""))</f>
        <v/>
      </c>
      <c r="AM43" s="103">
        <v>3</v>
      </c>
      <c r="AN43" s="103" t="s">
        <v>2313</v>
      </c>
      <c r="AO43" s="103">
        <f>IF('Customer Base'!$I$15="MANUAL",IFERROR(AM43*B43,""),IF('Customer Base'!$I$15="AUTOMATE",IFERROR(AM43*A43,""),""))</f>
        <v>0</v>
      </c>
      <c r="AQ43" s="103">
        <v>48</v>
      </c>
      <c r="AR43" s="103" t="s">
        <v>2199</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15419.73</v>
      </c>
      <c r="H44" s="238">
        <f t="shared" si="6"/>
        <v>907.70467596390472</v>
      </c>
      <c r="I44" s="238">
        <f>IFERROR(ROUNDUP(H44*'Customer Base'!$J$5,2),0)</f>
        <v>14523.28</v>
      </c>
      <c r="L44" s="103" t="str">
        <f t="shared" si="7"/>
        <v/>
      </c>
      <c r="N44" s="103">
        <v>39</v>
      </c>
      <c r="O44" s="103" t="str">
        <f>IF('Customer Base'!$I$15="MANUAL",IF(B44&lt;&gt;"",C44,""),IF('Customer Base'!$I$15="AUTOMATE",IF(A44&lt;&gt;"",C44,""),""))</f>
        <v/>
      </c>
      <c r="AM44" s="103">
        <v>5</v>
      </c>
      <c r="AN44" s="103" t="s">
        <v>2256</v>
      </c>
      <c r="AO44" s="103">
        <f>IF('Customer Base'!$I$15="MANUAL",IFERROR(AM44*B44,""),IF('Customer Base'!$I$15="AUTOMATE",IFERROR(AM44*A44,""),""))</f>
        <v>0</v>
      </c>
      <c r="AQ44" s="103">
        <v>48</v>
      </c>
      <c r="AR44" s="103" t="s">
        <v>2199</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B45" s="270" t="s">
        <v>1</v>
      </c>
      <c r="C45" s="237" t="s">
        <v>1911</v>
      </c>
      <c r="D45" s="267">
        <v>1914.36</v>
      </c>
      <c r="E45" s="267">
        <v>1803.06</v>
      </c>
      <c r="F45" s="238">
        <f>$D45/1.219</f>
        <v>1570.4347826086955</v>
      </c>
      <c r="G45" s="238">
        <f>IFERROR(ROUNDUP(F45*'Customer Base'!$J$5,2),0)</f>
        <v>25126.959999999999</v>
      </c>
      <c r="H45" s="238">
        <f>$E45/1.219</f>
        <v>1479.1304347826085</v>
      </c>
      <c r="I45" s="238">
        <f>IFERROR(ROUNDUP(H45*'Customer Base'!$J$5,2),0)</f>
        <v>23666.09</v>
      </c>
      <c r="L45" s="103" t="str">
        <f t="shared" si="7"/>
        <v/>
      </c>
      <c r="N45" s="103">
        <v>40</v>
      </c>
      <c r="O45" s="103" t="str">
        <f>IF('Customer Base'!$I$15="MANUAL",IF(B45&lt;&gt;"",C45,""),IF('Customer Base'!$I$15="AUTOMATE",IF(A45&lt;&gt;"",C45,""),""))</f>
        <v/>
      </c>
      <c r="AM45" s="103">
        <v>6</v>
      </c>
      <c r="AN45" s="103" t="s">
        <v>2257</v>
      </c>
      <c r="AO45" s="103" t="str">
        <f>IF('Customer Base'!$I$15="MANUAL",IFERROR(AM45*B45,""),IF('Customer Base'!$I$15="AUTOMATE",IFERROR(AM45*A45,""),""))</f>
        <v/>
      </c>
      <c r="AP45" s="103">
        <v>450</v>
      </c>
      <c r="AQ45" s="103">
        <v>48</v>
      </c>
      <c r="AR45" s="103" t="s">
        <v>2199</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B47" s="270" t="s">
        <v>1</v>
      </c>
      <c r="C47" s="237" t="s">
        <v>2710</v>
      </c>
      <c r="D47" s="267">
        <v>988.79</v>
      </c>
      <c r="E47" s="267">
        <v>931.30600000000004</v>
      </c>
      <c r="F47" s="238">
        <f>$D47/1.219</f>
        <v>811.14848236259218</v>
      </c>
      <c r="G47" s="238">
        <f>IFERROR(ROUNDUP(F47*'Customer Base'!$J$5,2),0)</f>
        <v>12978.380000000001</v>
      </c>
      <c r="H47" s="238">
        <f>$E47/1.219</f>
        <v>763.99179655455293</v>
      </c>
      <c r="I47" s="238">
        <f>IFERROR(ROUNDUP(H47*'Customer Base'!$J$5,2),0)</f>
        <v>12223.87</v>
      </c>
      <c r="L47" s="103" t="str">
        <f t="shared" si="7"/>
        <v/>
      </c>
      <c r="N47" s="103">
        <v>42</v>
      </c>
      <c r="O47" s="103" t="str">
        <f>IF('Customer Base'!$I$15="MANUAL",IF(B47&lt;&gt;"",C47,""),IF('Customer Base'!$I$15="AUTOMATE",IF(A47&lt;&gt;"",C47,""),""))</f>
        <v/>
      </c>
      <c r="AM47" s="103">
        <v>3</v>
      </c>
      <c r="AN47" s="103" t="s">
        <v>2251</v>
      </c>
      <c r="AO47" s="103" t="str">
        <f>IF('Customer Base'!$I$15="MANUAL",IFERROR(AM47*B47,""),IF('Customer Base'!$I$15="AUTOMATE",IFERROR(AM47*A47,""),""))</f>
        <v/>
      </c>
      <c r="AQ47" s="103">
        <v>24</v>
      </c>
      <c r="AR47" s="103" t="s">
        <v>2261</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B48" s="270" t="s">
        <v>1</v>
      </c>
      <c r="C48" s="237" t="s">
        <v>2711</v>
      </c>
      <c r="D48" s="267">
        <v>2166.8760000000002</v>
      </c>
      <c r="E48" s="267">
        <v>1950.1880000000001</v>
      </c>
      <c r="F48" s="238">
        <f>$D48/1.219</f>
        <v>1777.5849056603774</v>
      </c>
      <c r="G48" s="238">
        <f>IFERROR(ROUNDUP(F48*'Customer Base'!$J$5,2),0)</f>
        <v>28441.359999999997</v>
      </c>
      <c r="H48" s="238">
        <f>$E48/1.219</f>
        <v>1599.8260869565217</v>
      </c>
      <c r="I48" s="238">
        <f>IFERROR(ROUNDUP(H48*'Customer Base'!$J$5,2),0)</f>
        <v>25597.219999999998</v>
      </c>
      <c r="L48" s="103" t="str">
        <f t="shared" si="7"/>
        <v/>
      </c>
      <c r="N48" s="103">
        <v>43</v>
      </c>
      <c r="O48" s="103" t="str">
        <f>IF('Customer Base'!$I$15="MANUAL",IF(B48&lt;&gt;"",C48,""),IF('Customer Base'!$I$15="AUTOMATE",IF(A48&lt;&gt;"",C48,""),""))</f>
        <v/>
      </c>
      <c r="AM48" s="103">
        <v>5</v>
      </c>
      <c r="AN48" s="103" t="s">
        <v>2252</v>
      </c>
      <c r="AO48" s="103" t="str">
        <f>IF('Customer Base'!$I$15="MANUAL",IFERROR(AM48*B48,""),IF('Customer Base'!$I$15="AUTOMATE",IFERROR(AM48*A48,""),""))</f>
        <v/>
      </c>
      <c r="AQ48" s="103">
        <v>24</v>
      </c>
      <c r="AR48" s="103" t="s">
        <v>2261</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B49" s="270" t="s">
        <v>1</v>
      </c>
      <c r="C49" s="237" t="s">
        <v>905</v>
      </c>
      <c r="D49" s="267">
        <v>592.37</v>
      </c>
      <c r="E49" s="267">
        <v>557.928</v>
      </c>
      <c r="F49" s="238">
        <f t="shared" si="5"/>
        <v>485.94749794913861</v>
      </c>
      <c r="G49" s="238">
        <f>IFERROR(ROUNDUP(F49*'Customer Base'!$J$5,2),0)</f>
        <v>7775.16</v>
      </c>
      <c r="H49" s="238">
        <f t="shared" si="6"/>
        <v>457.69319114027888</v>
      </c>
      <c r="I49" s="238">
        <f>IFERROR(ROUNDUP(H49*'Customer Base'!$J$5,2),0)</f>
        <v>7323.1</v>
      </c>
      <c r="L49" s="103" t="str">
        <f t="shared" si="7"/>
        <v/>
      </c>
      <c r="N49" s="103">
        <v>45</v>
      </c>
      <c r="O49" s="103" t="str">
        <f>IF('Customer Base'!$I$15="MANUAL",IF(B49&lt;&gt;"",C49,""),IF('Customer Base'!$I$15="AUTOMATE",IF(A49&lt;&gt;"",C49,""),""))</f>
        <v/>
      </c>
      <c r="AM49" s="103">
        <v>3</v>
      </c>
      <c r="AN49" s="103" t="s">
        <v>2255</v>
      </c>
      <c r="AO49" s="103" t="str">
        <f>IF('Customer Base'!$I$15="MANUAL",IFERROR(AM49*B49,""),IF('Customer Base'!$I$15="AUTOMATE",IFERROR(AM49*A49,""),""))</f>
        <v/>
      </c>
      <c r="AQ49" s="103">
        <v>48</v>
      </c>
      <c r="AR49" s="103" t="s">
        <v>2261</v>
      </c>
      <c r="AS49" s="103">
        <v>1</v>
      </c>
      <c r="AT49" s="103" t="str">
        <f t="shared" si="9"/>
        <v/>
      </c>
      <c r="AV49" s="103" t="str">
        <f t="shared" si="8"/>
        <v/>
      </c>
      <c r="AW49" s="103">
        <v>35</v>
      </c>
      <c r="AZ49" s="240"/>
    </row>
    <row r="50" spans="1:52">
      <c r="A50" s="103" t="str">
        <f>IF(AND('Customer Base'!D$8=48,'Customer Base'!D$13="Victron",'Customer Base'!E$13="Multiplus",'Customer Base'!D$14&gt;3,'Customer Base'!D$14&lt;=5),'Customer Base'!D$15,IF(AND('Customer Base'!D$7="Mini-Grid",'Customer Base'!D$8=48,'Customer Base'!F$13="Victron",'Customer Base'!F$14&gt;3,'Customer Base'!F$14&lt;=5),'Customer Base'!F$15,""))</f>
        <v/>
      </c>
      <c r="B50" s="270" t="s">
        <v>1</v>
      </c>
      <c r="C50" s="237" t="s">
        <v>908</v>
      </c>
      <c r="D50" s="267">
        <v>937.31</v>
      </c>
      <c r="E50" s="267">
        <v>882.81899999999996</v>
      </c>
      <c r="F50" s="238">
        <f t="shared" ref="F50:F183" si="10">$D50/1.219</f>
        <v>768.91714520098435</v>
      </c>
      <c r="G50" s="238">
        <f>IFERROR(ROUNDUP(F50*'Customer Base'!$J$5,2),0)</f>
        <v>12302.68</v>
      </c>
      <c r="H50" s="238">
        <f t="shared" ref="H50:H184" si="11">$E50/1.219</f>
        <v>724.21575061525834</v>
      </c>
      <c r="I50" s="238">
        <f>IFERROR(ROUNDUP(H50*'Customer Base'!$J$5,2),0)</f>
        <v>11587.460000000001</v>
      </c>
      <c r="L50" s="103" t="str">
        <f t="shared" si="7"/>
        <v/>
      </c>
      <c r="N50" s="103">
        <v>46</v>
      </c>
      <c r="O50" s="103" t="str">
        <f>IF('Customer Base'!$I$15="MANUAL",IF(B50&lt;&gt;"",C50,""),IF('Customer Base'!$I$15="AUTOMATE",IF(A50&lt;&gt;"",C50,""),""))</f>
        <v/>
      </c>
      <c r="AM50" s="103">
        <v>5</v>
      </c>
      <c r="AN50" s="103" t="s">
        <v>2256</v>
      </c>
      <c r="AO50" s="103" t="str">
        <f>IF('Customer Base'!$I$15="MANUAL",IFERROR(AM50*B50,""),IF('Customer Base'!$I$15="AUTOMATE",IFERROR(AM50*A50,""),""))</f>
        <v/>
      </c>
      <c r="AQ50" s="103">
        <v>48</v>
      </c>
      <c r="AR50" s="103" t="s">
        <v>2261</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B51" s="270" t="s">
        <v>1</v>
      </c>
      <c r="C51" s="237" t="s">
        <v>1012</v>
      </c>
      <c r="D51" s="267">
        <v>1629.91</v>
      </c>
      <c r="E51" s="267">
        <v>1535.144</v>
      </c>
      <c r="F51" s="238">
        <f t="shared" si="10"/>
        <v>1337.0877768662838</v>
      </c>
      <c r="G51" s="238">
        <f>IFERROR(ROUNDUP(F51*'Customer Base'!$J$5,2),0)</f>
        <v>21393.41</v>
      </c>
      <c r="H51" s="238">
        <f t="shared" si="11"/>
        <v>1259.3470057424117</v>
      </c>
      <c r="I51" s="238">
        <f>IFERROR(ROUNDUP(H51*'Customer Base'!$J$5,2),0)</f>
        <v>20149.559999999998</v>
      </c>
      <c r="L51" s="103" t="str">
        <f t="shared" si="7"/>
        <v/>
      </c>
      <c r="N51" s="103">
        <v>47</v>
      </c>
      <c r="O51" s="103" t="str">
        <f>IF('Customer Base'!$I$15="MANUAL",IF(B51&lt;&gt;"",C51,""),IF('Customer Base'!$I$15="AUTOMATE",IF(A51&lt;&gt;"",C51,""),""))</f>
        <v/>
      </c>
      <c r="AM51" s="103">
        <v>8</v>
      </c>
      <c r="AN51" s="103" t="s">
        <v>2258</v>
      </c>
      <c r="AO51" s="103" t="str">
        <f>IF('Customer Base'!$I$15="MANUAL",IFERROR(AM51*B51,""),IF('Customer Base'!$I$15="AUTOMATE",IFERROR(AM51*A51,""),""))</f>
        <v/>
      </c>
      <c r="AQ51" s="103">
        <v>48</v>
      </c>
      <c r="AR51" s="103" t="s">
        <v>2261</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B52" s="270" t="s">
        <v>1</v>
      </c>
      <c r="C52" s="237" t="s">
        <v>2712</v>
      </c>
      <c r="D52" s="267">
        <v>1945.97</v>
      </c>
      <c r="E52" s="267">
        <v>1832.836</v>
      </c>
      <c r="F52" s="238">
        <f t="shared" si="10"/>
        <v>1596.3658736669399</v>
      </c>
      <c r="G52" s="238">
        <f>IFERROR(ROUNDUP(F52*'Customer Base'!$J$5,2),0)</f>
        <v>25541.859999999997</v>
      </c>
      <c r="H52" s="238">
        <f t="shared" si="11"/>
        <v>1503.5570139458571</v>
      </c>
      <c r="I52" s="238">
        <f>IFERROR(ROUNDUP(H52*'Customer Base'!$J$5,2),0)</f>
        <v>24056.92</v>
      </c>
      <c r="L52" s="103" t="str">
        <f t="shared" si="7"/>
        <v/>
      </c>
      <c r="N52" s="103">
        <v>48</v>
      </c>
      <c r="O52" s="103" t="str">
        <f>IF('Customer Base'!$I$15="MANUAL",IF(B52&lt;&gt;"",C52,""),IF('Customer Base'!$I$15="AUTOMATE",IF(A52&lt;&gt;"",C52,""),""))</f>
        <v/>
      </c>
      <c r="AM52" s="103">
        <v>10</v>
      </c>
      <c r="AN52" s="103" t="s">
        <v>2259</v>
      </c>
      <c r="AO52" s="103" t="str">
        <f>IF('Customer Base'!$I$15="MANUAL",IFERROR(AM52*B52,""),IF('Customer Base'!$I$15="AUTOMATE",IFERROR(AM52*A52,""),""))</f>
        <v/>
      </c>
      <c r="AQ52" s="103">
        <v>48</v>
      </c>
      <c r="AR52" s="103" t="s">
        <v>2261</v>
      </c>
      <c r="AS52" s="103">
        <v>1</v>
      </c>
      <c r="AT52" s="103" t="str">
        <f t="shared" si="9"/>
        <v/>
      </c>
      <c r="AV52" s="103" t="str">
        <f t="shared" si="8"/>
        <v/>
      </c>
      <c r="AW52" s="103">
        <v>140</v>
      </c>
    </row>
    <row r="53" spans="1:52">
      <c r="A53" s="103">
        <f>IF(AND('Customer Base'!D$8=48,'Customer Base'!D$13="Victron",'Customer Base'!E$13="Multiplus",'Customer Base'!D$14&gt;10,'Customer Base'!D$14&lt;=15),'Customer Base'!D$15,IF(AND('Customer Base'!D$7="Mini-Grid",'Customer Base'!D$8=48,'Customer Base'!F$13="Victron",'Customer Base'!F$14&gt;10,'Customer Base'!F$14&lt;=15),'Customer Base'!F$15,""))</f>
        <v>1</v>
      </c>
      <c r="B53" s="270">
        <v>9</v>
      </c>
      <c r="C53" s="237" t="s">
        <v>2713</v>
      </c>
      <c r="D53" s="267">
        <v>2716.22</v>
      </c>
      <c r="E53" s="267">
        <v>2558.3040000000001</v>
      </c>
      <c r="F53" s="238">
        <f t="shared" si="10"/>
        <v>2228.236259228876</v>
      </c>
      <c r="G53" s="238">
        <f>IFERROR(ROUNDUP(F53*'Customer Base'!$J$5,2),0)</f>
        <v>35651.79</v>
      </c>
      <c r="H53" s="238">
        <f t="shared" si="11"/>
        <v>2098.6907301066449</v>
      </c>
      <c r="I53" s="238">
        <f>IFERROR(ROUNDUP(H53*'Customer Base'!$J$5,2),0)</f>
        <v>33579.060000000005</v>
      </c>
      <c r="L53" s="103" t="str">
        <f t="shared" si="7"/>
        <v/>
      </c>
      <c r="N53" s="103">
        <v>49</v>
      </c>
      <c r="O53" s="103" t="str">
        <f>IF('Customer Base'!$I$15="MANUAL",IF(B53&lt;&gt;"",C53,""),IF('Customer Base'!$I$15="AUTOMATE",IF(A53&lt;&gt;"",C53,""),""))</f>
        <v>Victron MultiPlus-II 48/15000/200-100 230V</v>
      </c>
      <c r="AM53" s="103">
        <v>15</v>
      </c>
      <c r="AN53" s="103" t="s">
        <v>2260</v>
      </c>
      <c r="AO53" s="103">
        <f>IF('Customer Base'!$I$15="MANUAL",IFERROR(AM53*B53,""),IF('Customer Base'!$I$15="AUTOMATE",IFERROR(AM53*A53,""),""))</f>
        <v>15</v>
      </c>
      <c r="AQ53" s="103">
        <v>48</v>
      </c>
      <c r="AR53" s="103" t="s">
        <v>2261</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8853.82</v>
      </c>
      <c r="H54" s="238">
        <f>$E54/1.219</f>
        <v>521.19114027891715</v>
      </c>
      <c r="I54" s="238">
        <f>IFERROR(ROUNDUP(H54*'Customer Base'!$J$5,2),0)</f>
        <v>8339.06</v>
      </c>
      <c r="J54" s="103" t="str">
        <f t="shared" ref="J54:J85" si="12">IF(D54&lt;&gt;"",IF(D54&lt;E54,"lkdfjk",""),"")</f>
        <v/>
      </c>
      <c r="L54" s="103" t="str">
        <f t="shared" si="7"/>
        <v/>
      </c>
      <c r="N54" s="103">
        <v>51</v>
      </c>
      <c r="O54" s="103" t="str">
        <f>IF('Customer Base'!$I$15="MANUAL",IF(B54&lt;&gt;"",C54,""),IF('Customer Base'!$I$15="AUTOMATE",IF(A54&lt;&gt;"",C54,""),""))</f>
        <v/>
      </c>
      <c r="AM54" s="103">
        <v>3</v>
      </c>
      <c r="AN54" s="103" t="s">
        <v>2255</v>
      </c>
      <c r="AO54" s="103">
        <f>IF('Customer Base'!$I$15="MANUAL",IFERROR(AM54*B54,""),IF('Customer Base'!$I$15="AUTOMATE",IFERROR(AM54*A54,""),""))</f>
        <v>0</v>
      </c>
      <c r="AQ54" s="103">
        <v>48</v>
      </c>
      <c r="AR54" s="103" t="s">
        <v>2262</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13630.19</v>
      </c>
      <c r="H55" s="238">
        <f>$E55/1.219</f>
        <v>802.35849056603774</v>
      </c>
      <c r="I55" s="238">
        <f>IFERROR(ROUNDUP(H55*'Customer Base'!$J$5,2),0)</f>
        <v>12837.74</v>
      </c>
      <c r="J55" s="103" t="str">
        <f t="shared" si="12"/>
        <v/>
      </c>
      <c r="L55" s="103" t="str">
        <f t="shared" si="7"/>
        <v/>
      </c>
      <c r="N55" s="103">
        <v>52</v>
      </c>
      <c r="O55" s="103" t="str">
        <f>IF('Customer Base'!$I$15="MANUAL",IF(B55&lt;&gt;"",C55,""),IF('Customer Base'!$I$15="AUTOMATE",IF(A55&lt;&gt;"",C55,""),""))</f>
        <v/>
      </c>
      <c r="AM55" s="103">
        <v>5</v>
      </c>
      <c r="AN55" s="103" t="s">
        <v>2256</v>
      </c>
      <c r="AO55" s="103">
        <f>IF('Customer Base'!$I$15="MANUAL",IFERROR(AM55*B55,""),IF('Customer Base'!$I$15="AUTOMATE",IFERROR(AM55*A55,""),""))</f>
        <v>0</v>
      </c>
      <c r="AQ55" s="103">
        <v>48</v>
      </c>
      <c r="AR55" s="103" t="s">
        <v>2262</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B57" s="270" t="s">
        <v>1</v>
      </c>
      <c r="C57" s="243" t="s">
        <v>910</v>
      </c>
      <c r="D57" s="267">
        <v>1672.37</v>
      </c>
      <c r="E57" s="267">
        <v>1575.126</v>
      </c>
      <c r="F57" s="238">
        <f t="shared" si="10"/>
        <v>1371.9196062346184</v>
      </c>
      <c r="G57" s="238">
        <f>IFERROR(ROUNDUP(F57*'Customer Base'!$J$5,2),0)</f>
        <v>21950.719999999998</v>
      </c>
      <c r="H57" s="238">
        <f t="shared" si="11"/>
        <v>1292.1460213289581</v>
      </c>
      <c r="I57" s="238">
        <f>IFERROR(ROUNDUP(H57*'Customer Base'!$J$5,2),0)</f>
        <v>20674.34</v>
      </c>
      <c r="J57" s="103" t="str">
        <f t="shared" si="12"/>
        <v/>
      </c>
      <c r="L57" s="103" t="str">
        <f t="shared" si="7"/>
        <v/>
      </c>
      <c r="N57" s="103">
        <v>54</v>
      </c>
      <c r="O57" s="103" t="str">
        <f>IF('Customer Base'!$I$15="MANUAL",IF(B57&lt;&gt;"",C57,""),IF('Customer Base'!$I$15="AUTOMATE",IF(A57&lt;&gt;"",C57,""),""))</f>
        <v/>
      </c>
      <c r="AM57" s="103">
        <v>5</v>
      </c>
      <c r="AN57" s="103" t="s">
        <v>2256</v>
      </c>
      <c r="AO57" s="103" t="str">
        <f>IF('Customer Base'!$I$15="MANUAL",IFERROR(AM57*B57,""),IF('Customer Base'!$I$15="AUTOMATE",IFERROR(AM57*A57,""),""))</f>
        <v/>
      </c>
      <c r="AQ57" s="103">
        <v>48</v>
      </c>
      <c r="AR57" s="103" t="s">
        <v>2200</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B58" s="270" t="s">
        <v>1</v>
      </c>
      <c r="C58" s="243" t="s">
        <v>911</v>
      </c>
      <c r="D58" s="267">
        <v>2207.83</v>
      </c>
      <c r="E58" s="267">
        <v>2079.4639999999999</v>
      </c>
      <c r="F58" s="238">
        <f t="shared" si="10"/>
        <v>1811.1812961443804</v>
      </c>
      <c r="G58" s="238">
        <f>IFERROR(ROUNDUP(F58*'Customer Base'!$J$5,2),0)</f>
        <v>28978.91</v>
      </c>
      <c r="H58" s="238">
        <f t="shared" si="11"/>
        <v>1705.8769483182934</v>
      </c>
      <c r="I58" s="238">
        <f>IFERROR(ROUNDUP(H58*'Customer Base'!$J$5,2),0)</f>
        <v>27294.039999999997</v>
      </c>
      <c r="J58" s="103" t="str">
        <f t="shared" si="12"/>
        <v/>
      </c>
      <c r="L58" s="103" t="str">
        <f t="shared" si="7"/>
        <v/>
      </c>
      <c r="N58" s="103">
        <v>55</v>
      </c>
      <c r="O58" s="103" t="str">
        <f>IF('Customer Base'!$I$15="MANUAL",IF(B58&lt;&gt;"",C58,""),IF('Customer Base'!$I$15="AUTOMATE",IF(A58&lt;&gt;"",C58,""),""))</f>
        <v/>
      </c>
      <c r="AM58" s="103">
        <v>8</v>
      </c>
      <c r="AN58" s="103" t="s">
        <v>2258</v>
      </c>
      <c r="AO58" s="103" t="str">
        <f>IF('Customer Base'!$I$15="MANUAL",IFERROR(AM58*B58,""),IF('Customer Base'!$I$15="AUTOMATE",IFERROR(AM58*A58,""),""))</f>
        <v/>
      </c>
      <c r="AQ58" s="103">
        <v>48</v>
      </c>
      <c r="AR58" s="103" t="s">
        <v>2200</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B59" s="270" t="s">
        <v>1</v>
      </c>
      <c r="C59" s="243" t="s">
        <v>912</v>
      </c>
      <c r="D59" s="267">
        <v>2637.65</v>
      </c>
      <c r="E59" s="267">
        <v>2484.3020000000001</v>
      </c>
      <c r="F59" s="238">
        <f t="shared" si="10"/>
        <v>2163.7817883511075</v>
      </c>
      <c r="G59" s="238">
        <f>IFERROR(ROUNDUP(F59*'Customer Base'!$J$5,2),0)</f>
        <v>34620.51</v>
      </c>
      <c r="H59" s="238">
        <f t="shared" si="11"/>
        <v>2037.9835931091059</v>
      </c>
      <c r="I59" s="238">
        <f>IFERROR(ROUNDUP(H59*'Customer Base'!$J$5,2),0)</f>
        <v>32607.739999999998</v>
      </c>
      <c r="J59" s="103" t="str">
        <f t="shared" si="12"/>
        <v/>
      </c>
      <c r="L59" s="103" t="str">
        <f t="shared" si="7"/>
        <v/>
      </c>
      <c r="N59" s="103">
        <v>56</v>
      </c>
      <c r="O59" s="103" t="str">
        <f>IF('Customer Base'!$I$15="MANUAL",IF(B59&lt;&gt;"",C59,""),IF('Customer Base'!$I$15="AUTOMATE",IF(A59&lt;&gt;"",C59,""),""))</f>
        <v/>
      </c>
      <c r="AM59" s="103">
        <v>10</v>
      </c>
      <c r="AN59" s="103" t="s">
        <v>2259</v>
      </c>
      <c r="AO59" s="103" t="str">
        <f>IF('Customer Base'!$I$15="MANUAL",IFERROR(AM59*B59,""),IF('Customer Base'!$I$15="AUTOMATE",IFERROR(AM59*A59,""),""))</f>
        <v/>
      </c>
      <c r="AQ59" s="103">
        <v>48</v>
      </c>
      <c r="AR59" s="103" t="s">
        <v>2200</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B60" s="270" t="s">
        <v>1</v>
      </c>
      <c r="C60" s="243" t="s">
        <v>913</v>
      </c>
      <c r="D60" s="267">
        <v>3464.8</v>
      </c>
      <c r="E60" s="267">
        <v>3263.36</v>
      </c>
      <c r="F60" s="238">
        <f t="shared" si="10"/>
        <v>2842.3297785069731</v>
      </c>
      <c r="G60" s="238">
        <f>IFERROR(ROUNDUP(F60*'Customer Base'!$J$5,2),0)</f>
        <v>45477.279999999999</v>
      </c>
      <c r="H60" s="238">
        <f t="shared" si="11"/>
        <v>2677.0795734208368</v>
      </c>
      <c r="I60" s="238">
        <f>IFERROR(ROUNDUP(H60*'Customer Base'!$J$5,2),0)</f>
        <v>42833.279999999999</v>
      </c>
      <c r="J60" s="103" t="str">
        <f t="shared" si="12"/>
        <v/>
      </c>
      <c r="L60" s="103" t="str">
        <f t="shared" si="7"/>
        <v/>
      </c>
      <c r="N60" s="103">
        <v>57</v>
      </c>
      <c r="O60" s="103" t="str">
        <f>IF('Customer Base'!$I$15="MANUAL",IF(B60&lt;&gt;"",C60,""),IF('Customer Base'!$I$15="AUTOMATE",IF(A60&lt;&gt;"",C60,""),""))</f>
        <v/>
      </c>
      <c r="AM60" s="103">
        <v>15</v>
      </c>
      <c r="AN60" s="103" t="s">
        <v>2260</v>
      </c>
      <c r="AO60" s="103" t="str">
        <f>IF('Customer Base'!$I$15="MANUAL",IFERROR(AM60*B60,""),IF('Customer Base'!$I$15="AUTOMATE",IFERROR(AM60*A60,""),""))</f>
        <v/>
      </c>
      <c r="AQ60" s="103">
        <v>48</v>
      </c>
      <c r="AR60" s="103" t="s">
        <v>2200</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2714</v>
      </c>
      <c r="D62" s="267">
        <v>1462.86</v>
      </c>
      <c r="E62" s="267">
        <v>1377.81</v>
      </c>
      <c r="F62" s="238">
        <f t="shared" si="10"/>
        <v>1200.0492206726824</v>
      </c>
      <c r="G62" s="238">
        <f>IFERROR(ROUNDUP(F62*'Customer Base'!$J$5,2),0)</f>
        <v>19200.789999999997</v>
      </c>
      <c r="H62" s="238">
        <f t="shared" si="11"/>
        <v>1130.2789171452009</v>
      </c>
      <c r="I62" s="238">
        <f>IFERROR(ROUNDUP(H62*'Customer Base'!$J$5,2),0)</f>
        <v>18084.469999999998</v>
      </c>
      <c r="J62" s="103" t="str">
        <f t="shared" si="12"/>
        <v/>
      </c>
      <c r="L62" s="103" t="str">
        <f t="shared" si="7"/>
        <v/>
      </c>
      <c r="N62" s="103">
        <v>59</v>
      </c>
      <c r="O62" s="103" t="str">
        <f>IF('Customer Base'!$I$15="MANUAL",IF(B62&lt;&gt;"",C62,""),IF('Customer Base'!$I$15="AUTOMATE",IF(A62&lt;&gt;"",C62,""),""))</f>
        <v/>
      </c>
      <c r="AM62" s="103">
        <v>5</v>
      </c>
      <c r="AN62" s="103" t="s">
        <v>2256</v>
      </c>
      <c r="AO62" s="103">
        <f>IF('Customer Base'!$I$15="MANUAL",IFERROR(AM62*B62,""),IF('Customer Base'!$I$15="AUTOMATE",IFERROR(AM62*A62,""),""))</f>
        <v>0</v>
      </c>
      <c r="AQ62" s="103">
        <v>48</v>
      </c>
      <c r="AR62" s="103" t="s">
        <v>2201</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17624.55</v>
      </c>
      <c r="H64" s="238">
        <f t="shared" si="11"/>
        <v>1037.4913863822806</v>
      </c>
      <c r="I64" s="238">
        <f>IFERROR(ROUNDUP(H64*'Customer Base'!$J$5,2),0)</f>
        <v>16599.87</v>
      </c>
      <c r="J64" s="103" t="str">
        <f t="shared" si="12"/>
        <v/>
      </c>
      <c r="L64" s="103" t="str">
        <f t="shared" si="7"/>
        <v/>
      </c>
      <c r="N64" s="103">
        <v>61</v>
      </c>
      <c r="O64" s="103" t="str">
        <f>IF('Customer Base'!$I$15="MANUAL",IF(B64&lt;&gt;"",C64,""),IF('Customer Base'!$I$15="AUTOMATE",IF(A64&lt;&gt;"",C64,""),""))</f>
        <v/>
      </c>
      <c r="AM64" s="103">
        <v>3</v>
      </c>
      <c r="AN64" s="103" t="s">
        <v>2251</v>
      </c>
      <c r="AO64" s="103">
        <f>IF('Customer Base'!$I$15="MANUAL",IFERROR(AM64*B64,""),IF('Customer Base'!$I$15="AUTOMATE",IFERROR(AM64*A64,""),""))</f>
        <v>0</v>
      </c>
      <c r="AQ64" s="103">
        <v>24</v>
      </c>
      <c r="AR64" s="103" t="s">
        <v>2263</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17624.55</v>
      </c>
      <c r="H65" s="238">
        <f t="shared" si="11"/>
        <v>1037.4913863822806</v>
      </c>
      <c r="I65" s="238">
        <f>IFERROR(ROUNDUP(H65*'Customer Base'!$J$5,2),0)</f>
        <v>16599.87</v>
      </c>
      <c r="J65" s="103" t="str">
        <f t="shared" si="12"/>
        <v/>
      </c>
      <c r="L65" s="103" t="str">
        <f t="shared" si="7"/>
        <v/>
      </c>
      <c r="N65" s="103">
        <v>62</v>
      </c>
      <c r="O65" s="103" t="str">
        <f>IF('Customer Base'!$I$15="MANUAL",IF(B65&lt;&gt;"",C65,""),IF('Customer Base'!$I$15="AUTOMATE",IF(A65&lt;&gt;"",C65,""),""))</f>
        <v/>
      </c>
      <c r="AM65" s="103">
        <v>3</v>
      </c>
      <c r="AN65" s="103" t="s">
        <v>2255</v>
      </c>
      <c r="AO65" s="103">
        <f>IF('Customer Base'!$I$15="MANUAL",IFERROR(AM65*B65,""),IF('Customer Base'!$I$15="AUTOMATE",IFERROR(AM65*A65,""),""))</f>
        <v>0</v>
      </c>
      <c r="AQ65" s="103">
        <v>48</v>
      </c>
      <c r="AR65" s="103" t="s">
        <v>2263</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24854.21</v>
      </c>
      <c r="H66" s="238">
        <f t="shared" si="11"/>
        <v>1463.0762920426578</v>
      </c>
      <c r="I66" s="238">
        <f>IFERROR(ROUNDUP(H66*'Customer Base'!$J$5,2),0)</f>
        <v>23409.23</v>
      </c>
      <c r="J66" s="103" t="str">
        <f t="shared" si="12"/>
        <v/>
      </c>
      <c r="L66" s="103" t="str">
        <f t="shared" si="7"/>
        <v/>
      </c>
      <c r="N66" s="103">
        <v>63</v>
      </c>
      <c r="O66" s="103" t="str">
        <f>IF('Customer Base'!$I$15="MANUAL",IF(B66&lt;&gt;"",C66,""),IF('Customer Base'!$I$15="AUTOMATE",IF(A66&lt;&gt;"",C66,""),""))</f>
        <v/>
      </c>
      <c r="AM66" s="103">
        <v>5</v>
      </c>
      <c r="AN66" s="103" t="s">
        <v>2256</v>
      </c>
      <c r="AO66" s="103">
        <f>IF('Customer Base'!$I$15="MANUAL",IFERROR(AM66*B66,""),IF('Customer Base'!$I$15="AUTOMATE",IFERROR(AM66*A66,""),""))</f>
        <v>0</v>
      </c>
      <c r="AQ66" s="103">
        <v>48</v>
      </c>
      <c r="AR66" s="103" t="s">
        <v>2263</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1883</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B69" s="270" t="s">
        <v>1</v>
      </c>
      <c r="C69" s="351" t="s">
        <v>1774</v>
      </c>
      <c r="D69" s="332">
        <v>1170.4100000000001</v>
      </c>
      <c r="E69" s="332">
        <v>1102.3610000000001</v>
      </c>
      <c r="F69" s="266">
        <f t="shared" si="10"/>
        <v>960.13945857260046</v>
      </c>
      <c r="G69" s="266">
        <f>IFERROR(ROUNDUP(F69*'Customer Base'!$J$5,2),0)</f>
        <v>15362.24</v>
      </c>
      <c r="H69" s="266">
        <f t="shared" si="11"/>
        <v>904.31583264971289</v>
      </c>
      <c r="I69" s="266">
        <f>IFERROR(ROUNDUP(H69*'Customer Base'!$J$5,2),0)</f>
        <v>14469.06</v>
      </c>
      <c r="J69" s="103" t="str">
        <f t="shared" si="12"/>
        <v/>
      </c>
      <c r="L69" s="103" t="str">
        <f t="shared" si="7"/>
        <v/>
      </c>
      <c r="N69" s="103">
        <v>66</v>
      </c>
      <c r="O69" s="103" t="str">
        <f>IF('Customer Base'!$I$15="MANUAL",IF(B69&lt;&gt;"",C69,""),IF('Customer Base'!$I$15="AUTOMATE",IF(A69&lt;&gt;"",C69,""),""))</f>
        <v/>
      </c>
      <c r="AM69" s="103">
        <v>3</v>
      </c>
      <c r="AN69" s="103" t="s">
        <v>2251</v>
      </c>
      <c r="AO69" s="103" t="str">
        <f>IF('Customer Base'!$I$15="MANUAL",IFERROR(AM69*B69,""),IF('Customer Base'!$I$15="AUTOMATE",IFERROR(AM69*A69,""),""))</f>
        <v/>
      </c>
      <c r="AP69" s="103">
        <v>450</v>
      </c>
      <c r="AQ69" s="103">
        <v>24</v>
      </c>
      <c r="AR69" s="103" t="s">
        <v>2264</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B70" s="270" t="s">
        <v>1</v>
      </c>
      <c r="C70" s="351" t="s">
        <v>1775</v>
      </c>
      <c r="D70" s="332">
        <v>1204</v>
      </c>
      <c r="E70" s="332">
        <v>1134</v>
      </c>
      <c r="F70" s="266">
        <f t="shared" si="10"/>
        <v>987.69483182936824</v>
      </c>
      <c r="G70" s="266">
        <f>IFERROR(ROUNDUP(F70*'Customer Base'!$J$5,2),0)</f>
        <v>15803.12</v>
      </c>
      <c r="H70" s="266">
        <f t="shared" si="11"/>
        <v>930.27071369975386</v>
      </c>
      <c r="I70" s="266">
        <f>IFERROR(ROUNDUP(H70*'Customer Base'!$J$5,2),0)</f>
        <v>14884.34</v>
      </c>
      <c r="J70" s="103" t="str">
        <f t="shared" si="12"/>
        <v/>
      </c>
      <c r="L70" s="103" t="str">
        <f t="shared" ref="L70:L101" si="13">IF(H70&gt;F70,"lkkajdfkj","")</f>
        <v/>
      </c>
      <c r="N70" s="103">
        <v>67</v>
      </c>
      <c r="O70" s="103" t="str">
        <f>IF('Customer Base'!$I$15="MANUAL",IF(B70&lt;&gt;"",C70,""),IF('Customer Base'!$I$15="AUTOMATE",IF(A70&lt;&gt;"",C70,""),""))</f>
        <v/>
      </c>
      <c r="AM70" s="103">
        <v>5</v>
      </c>
      <c r="AN70" s="103" t="s">
        <v>2256</v>
      </c>
      <c r="AO70" s="103" t="str">
        <f>IF('Customer Base'!$I$15="MANUAL",IFERROR(AM70*B70,""),IF('Customer Base'!$I$15="AUTOMATE",IFERROR(AM70*A70,""),""))</f>
        <v/>
      </c>
      <c r="AP70" s="103">
        <v>450</v>
      </c>
      <c r="AQ70" s="103">
        <v>48</v>
      </c>
      <c r="AR70" s="103" t="s">
        <v>2264</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B71" s="270" t="s">
        <v>1</v>
      </c>
      <c r="C71" s="351" t="s">
        <v>1777</v>
      </c>
      <c r="D71" s="332">
        <v>1582.4</v>
      </c>
      <c r="E71" s="332">
        <v>1490.4</v>
      </c>
      <c r="F71" s="266">
        <f t="shared" si="10"/>
        <v>1298.1132075471698</v>
      </c>
      <c r="G71" s="266">
        <f>IFERROR(ROUNDUP(F71*'Customer Base'!$J$5,2),0)</f>
        <v>20769.82</v>
      </c>
      <c r="H71" s="266">
        <f t="shared" si="11"/>
        <v>1222.6415094339623</v>
      </c>
      <c r="I71" s="266">
        <f>IFERROR(ROUNDUP(H71*'Customer Base'!$J$5,2),0)</f>
        <v>19562.269999999997</v>
      </c>
      <c r="J71" s="103" t="str">
        <f t="shared" si="12"/>
        <v/>
      </c>
      <c r="L71" s="103" t="str">
        <f t="shared" si="13"/>
        <v/>
      </c>
      <c r="N71" s="103">
        <v>68</v>
      </c>
      <c r="O71" s="103" t="str">
        <f>IF('Customer Base'!$I$15="MANUAL",IF(B71&lt;&gt;"",C71,""),IF('Customer Base'!$I$15="AUTOMATE",IF(A71&lt;&gt;"",C71,""),""))</f>
        <v/>
      </c>
      <c r="AM71" s="103">
        <v>8</v>
      </c>
      <c r="AN71" s="103" t="s">
        <v>2258</v>
      </c>
      <c r="AO71" s="103" t="str">
        <f>IF('Customer Base'!$I$15="MANUAL",IFERROR(AM71*B71,""),IF('Customer Base'!$I$15="AUTOMATE",IFERROR(AM71*A71,""),""))</f>
        <v/>
      </c>
      <c r="AP71" s="103">
        <v>500</v>
      </c>
      <c r="AQ71" s="103">
        <v>48</v>
      </c>
      <c r="AR71" s="103" t="s">
        <v>2264</v>
      </c>
      <c r="AS71" s="103">
        <v>1</v>
      </c>
      <c r="AT71" s="103" t="str">
        <f t="shared" si="9"/>
        <v/>
      </c>
      <c r="AV71" s="103" t="str">
        <f t="shared" si="8"/>
        <v/>
      </c>
      <c r="AW71" s="103">
        <v>120</v>
      </c>
    </row>
    <row r="72" spans="1:49" ht="17">
      <c r="C72" s="352" t="s">
        <v>1776</v>
      </c>
      <c r="D72" s="332">
        <v>757.69</v>
      </c>
      <c r="E72" s="332">
        <v>713.64200000000005</v>
      </c>
      <c r="F72" s="266">
        <f t="shared" si="10"/>
        <v>621.56685808039379</v>
      </c>
      <c r="G72" s="266">
        <f>IFERROR(ROUNDUP(F72*'Customer Base'!$J$5,2),0)</f>
        <v>9945.07</v>
      </c>
      <c r="H72" s="266">
        <f t="shared" si="11"/>
        <v>585.43232157506156</v>
      </c>
      <c r="I72" s="266">
        <f>IFERROR(ROUNDUP(H72*'Customer Base'!$J$5,2),0)</f>
        <v>9366.92</v>
      </c>
      <c r="J72" s="103" t="str">
        <f t="shared" si="12"/>
        <v/>
      </c>
      <c r="L72" s="103" t="str">
        <f t="shared" si="13"/>
        <v/>
      </c>
      <c r="N72" s="103">
        <v>69</v>
      </c>
      <c r="O72" s="103" t="str">
        <f>IF('Customer Base'!$I$15="MANUAL",IF(B72&lt;&gt;"",C72,""),IF('Customer Base'!$I$15="AUTOMATE",IF(A72&lt;&gt;"",C72,""),""))</f>
        <v/>
      </c>
      <c r="AM72" s="103">
        <v>3</v>
      </c>
      <c r="AN72" s="103" t="s">
        <v>2251</v>
      </c>
      <c r="AO72" s="103">
        <f>IF('Customer Base'!$I$15="MANUAL",IFERROR(AM72*B72,""),IF('Customer Base'!$I$15="AUTOMATE",IFERROR(AM72*A72,""),""))</f>
        <v>0</v>
      </c>
      <c r="AP72" s="103">
        <v>145</v>
      </c>
      <c r="AQ72" s="103">
        <v>24</v>
      </c>
      <c r="AR72" s="103" t="s">
        <v>2265</v>
      </c>
      <c r="AS72" s="103">
        <v>1</v>
      </c>
      <c r="AT72" s="103" t="str">
        <f t="shared" si="9"/>
        <v/>
      </c>
      <c r="AV72" s="103" t="str">
        <f t="shared" si="8"/>
        <v/>
      </c>
      <c r="AW72" s="103">
        <v>60</v>
      </c>
    </row>
    <row r="73" spans="1:49">
      <c r="C73" s="351" t="s">
        <v>1772</v>
      </c>
      <c r="D73" s="332">
        <v>342.28</v>
      </c>
      <c r="E73" s="332">
        <v>322.38</v>
      </c>
      <c r="F73" s="266">
        <f t="shared" si="10"/>
        <v>280.78753076292037</v>
      </c>
      <c r="G73" s="266">
        <f>IFERROR(ROUNDUP(F73*'Customer Base'!$J$5,2),0)</f>
        <v>4492.6100000000006</v>
      </c>
      <c r="H73" s="266">
        <f t="shared" si="11"/>
        <v>264.46267432321571</v>
      </c>
      <c r="I73" s="266">
        <f>IFERROR(ROUNDUP(H73*'Customer Base'!$J$5,2),0)</f>
        <v>4231.41</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1920</v>
      </c>
      <c r="D74" s="332">
        <v>368.15</v>
      </c>
      <c r="E74" s="332">
        <v>318.39999999999998</v>
      </c>
      <c r="F74" s="266">
        <f t="shared" si="10"/>
        <v>302.00984413453648</v>
      </c>
      <c r="G74" s="266">
        <f>IFERROR(ROUNDUP(F74*'Customer Base'!$J$5,2),0)</f>
        <v>4832.16</v>
      </c>
      <c r="H74" s="266">
        <f t="shared" si="11"/>
        <v>261.1977030352748</v>
      </c>
      <c r="I74" s="266">
        <f>IFERROR(ROUNDUP(H74*'Customer Base'!$J$5,2),0)</f>
        <v>4179.17</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1912</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B77" s="270" t="s">
        <v>1</v>
      </c>
      <c r="C77" s="262" t="s">
        <v>1913</v>
      </c>
      <c r="D77" s="330">
        <v>1276.5</v>
      </c>
      <c r="E77" s="330">
        <v>1138.5</v>
      </c>
      <c r="F77" s="263">
        <f t="shared" ref="F77:F83" si="14">$D77/1.219</f>
        <v>1047.1698113207547</v>
      </c>
      <c r="G77" s="263">
        <f>IFERROR(ROUNDUP(F77*'Customer Base'!$J$5,2),0)</f>
        <v>16754.719999999998</v>
      </c>
      <c r="H77" s="263">
        <f t="shared" ref="H77:H83" si="15">$E77/1.219</f>
        <v>933.96226415094338</v>
      </c>
      <c r="I77" s="263">
        <f>IFERROR(ROUNDUP(H77*'Customer Base'!$J$5,2),0)</f>
        <v>14943.4</v>
      </c>
      <c r="J77" s="103" t="str">
        <f t="shared" si="12"/>
        <v/>
      </c>
      <c r="L77" s="103" t="str">
        <f t="shared" si="13"/>
        <v/>
      </c>
      <c r="N77" s="103">
        <v>74</v>
      </c>
      <c r="O77" s="103" t="str">
        <f>IF('Customer Base'!$I$15="MANUAL",IF(B77&lt;&gt;"",C77,""),IF('Customer Base'!$I$15="AUTOMATE",IF(A77&lt;&gt;"",C77,""),""))</f>
        <v/>
      </c>
      <c r="AM77" s="103">
        <v>3</v>
      </c>
      <c r="AN77" s="103" t="s">
        <v>2255</v>
      </c>
      <c r="AO77" s="103" t="str">
        <f>IF('Customer Base'!$I$15="MANUAL",IFERROR(AM77*B77,""),IF('Customer Base'!$I$15="AUTOMATE",IFERROR(AM77*A77,""),""))</f>
        <v/>
      </c>
      <c r="AP77" s="103">
        <v>500</v>
      </c>
      <c r="AQ77" s="103">
        <v>48</v>
      </c>
      <c r="AR77" s="103" t="s">
        <v>2203</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B78" s="270" t="s">
        <v>1</v>
      </c>
      <c r="C78" s="262" t="s">
        <v>1914</v>
      </c>
      <c r="D78" s="330">
        <v>1554</v>
      </c>
      <c r="E78" s="330">
        <v>1386</v>
      </c>
      <c r="F78" s="263">
        <f t="shared" si="14"/>
        <v>1274.8154224774405</v>
      </c>
      <c r="G78" s="263">
        <f>IFERROR(ROUNDUP(F78*'Customer Base'!$J$5,2),0)</f>
        <v>20397.05</v>
      </c>
      <c r="H78" s="263">
        <f t="shared" si="15"/>
        <v>1136.9975389663657</v>
      </c>
      <c r="I78" s="263">
        <f>IFERROR(ROUNDUP(H78*'Customer Base'!$J$5,2),0)</f>
        <v>18191.969999999998</v>
      </c>
      <c r="J78" s="103" t="str">
        <f t="shared" si="12"/>
        <v/>
      </c>
      <c r="L78" s="103" t="str">
        <f t="shared" si="13"/>
        <v/>
      </c>
      <c r="N78" s="103">
        <v>75</v>
      </c>
      <c r="O78" s="103" t="str">
        <f>IF('Customer Base'!$I$15="MANUAL",IF(B78&lt;&gt;"",C78,""),IF('Customer Base'!$I$15="AUTOMATE",IF(A78&lt;&gt;"",C78,""),""))</f>
        <v/>
      </c>
      <c r="AM78" s="103">
        <v>5</v>
      </c>
      <c r="AN78" s="103" t="s">
        <v>2256</v>
      </c>
      <c r="AO78" s="103" t="str">
        <f>IF('Customer Base'!$I$15="MANUAL",IFERROR(AM78*B78,""),IF('Customer Base'!$I$15="AUTOMATE",IFERROR(AM78*A78,""),""))</f>
        <v/>
      </c>
      <c r="AP78" s="103">
        <v>500</v>
      </c>
      <c r="AQ78" s="103">
        <v>48</v>
      </c>
      <c r="AR78" s="103" t="s">
        <v>2203</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B79" s="270" t="s">
        <v>1</v>
      </c>
      <c r="C79" s="262" t="s">
        <v>1915</v>
      </c>
      <c r="D79" s="330">
        <v>1646.5</v>
      </c>
      <c r="E79" s="330">
        <v>1468.5</v>
      </c>
      <c r="F79" s="263">
        <f t="shared" si="14"/>
        <v>1350.6972928630023</v>
      </c>
      <c r="G79" s="263">
        <f>IFERROR(ROUNDUP(F79*'Customer Base'!$J$5,2),0)</f>
        <v>21611.16</v>
      </c>
      <c r="H79" s="263">
        <f t="shared" si="15"/>
        <v>1204.67596390484</v>
      </c>
      <c r="I79" s="263">
        <f>IFERROR(ROUNDUP(H79*'Customer Base'!$J$5,2),0)</f>
        <v>19274.82</v>
      </c>
      <c r="J79" s="103" t="str">
        <f t="shared" si="12"/>
        <v/>
      </c>
      <c r="L79" s="103" t="str">
        <f t="shared" si="13"/>
        <v/>
      </c>
      <c r="N79" s="103">
        <v>76</v>
      </c>
      <c r="O79" s="103" t="str">
        <f>IF('Customer Base'!$I$15="MANUAL",IF(B79&lt;&gt;"",C79,""),IF('Customer Base'!$I$15="AUTOMATE",IF(A79&lt;&gt;"",C79,""),""))</f>
        <v/>
      </c>
      <c r="AM79" s="103">
        <v>6</v>
      </c>
      <c r="AN79" s="103" t="s">
        <v>2257</v>
      </c>
      <c r="AO79" s="103" t="str">
        <f>IF('Customer Base'!$I$15="MANUAL",IFERROR(AM79*B79,""),IF('Customer Base'!$I$15="AUTOMATE",IFERROR(AM79*A79,""),""))</f>
        <v/>
      </c>
      <c r="AP79" s="103">
        <v>500</v>
      </c>
      <c r="AQ79" s="103">
        <v>48</v>
      </c>
      <c r="AR79" s="103" t="s">
        <v>2203</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B80" s="270" t="s">
        <v>1</v>
      </c>
      <c r="C80" s="262" t="s">
        <v>1916</v>
      </c>
      <c r="D80" s="330">
        <v>2525.25</v>
      </c>
      <c r="E80" s="330">
        <v>2252.25</v>
      </c>
      <c r="F80" s="263">
        <f t="shared" si="14"/>
        <v>2071.5750615258407</v>
      </c>
      <c r="G80" s="263">
        <f>IFERROR(ROUNDUP(F80*'Customer Base'!$J$5,2),0)</f>
        <v>33145.21</v>
      </c>
      <c r="H80" s="263">
        <f t="shared" si="15"/>
        <v>1847.6210008203443</v>
      </c>
      <c r="I80" s="263">
        <f>IFERROR(ROUNDUP(H80*'Customer Base'!$J$5,2),0)</f>
        <v>29561.94</v>
      </c>
      <c r="J80" s="103" t="str">
        <f t="shared" si="12"/>
        <v/>
      </c>
      <c r="L80" s="103" t="str">
        <f t="shared" si="13"/>
        <v/>
      </c>
      <c r="N80" s="103">
        <v>77</v>
      </c>
      <c r="O80" s="103" t="str">
        <f>IF('Customer Base'!$I$15="MANUAL",IF(B80&lt;&gt;"",C80,""),IF('Customer Base'!$I$15="AUTOMATE",IF(A80&lt;&gt;"",C80,""),""))</f>
        <v/>
      </c>
      <c r="AM80" s="103">
        <v>8</v>
      </c>
      <c r="AN80" s="103" t="s">
        <v>2258</v>
      </c>
      <c r="AO80" s="103" t="str">
        <f>IF('Customer Base'!$I$15="MANUAL",IFERROR(AM80*B80,""),IF('Customer Base'!$I$15="AUTOMATE",IFERROR(AM80*A80,""),""))</f>
        <v/>
      </c>
      <c r="AP80" s="103">
        <v>500</v>
      </c>
      <c r="AQ80" s="103">
        <v>48</v>
      </c>
      <c r="AR80" s="103" t="s">
        <v>2203</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B81" s="270" t="s">
        <v>1</v>
      </c>
      <c r="C81" s="262" t="s">
        <v>1917</v>
      </c>
      <c r="D81" s="330">
        <v>4810</v>
      </c>
      <c r="E81" s="330">
        <v>4290</v>
      </c>
      <c r="F81" s="263">
        <f t="shared" si="14"/>
        <v>3945.8572600492203</v>
      </c>
      <c r="G81" s="263">
        <f>IFERROR(ROUNDUP(F81*'Customer Base'!$J$5,2),0)</f>
        <v>63133.72</v>
      </c>
      <c r="H81" s="263">
        <f t="shared" si="15"/>
        <v>3519.2780968006559</v>
      </c>
      <c r="I81" s="263">
        <f>IFERROR(ROUNDUP(H81*'Customer Base'!$J$5,2),0)</f>
        <v>56308.450000000004</v>
      </c>
      <c r="J81" s="103" t="str">
        <f t="shared" si="12"/>
        <v/>
      </c>
      <c r="L81" s="103" t="str">
        <f t="shared" si="13"/>
        <v/>
      </c>
      <c r="N81" s="103">
        <v>78</v>
      </c>
      <c r="O81" s="103" t="str">
        <f>IF('Customer Base'!$I$15="MANUAL",IF(B81&lt;&gt;"",C81,""),IF('Customer Base'!$I$15="AUTOMATE",IF(A81&lt;&gt;"",C81,""),""))</f>
        <v/>
      </c>
      <c r="AM81" s="103">
        <v>16</v>
      </c>
      <c r="AN81" s="103" t="s">
        <v>2266</v>
      </c>
      <c r="AO81" s="103" t="str">
        <f>IF('Customer Base'!$I$15="MANUAL",IFERROR(AM81*B81,""),IF('Customer Base'!$I$15="AUTOMATE",IFERROR(AM81*A81,""),""))</f>
        <v/>
      </c>
      <c r="AP81" s="103">
        <v>500</v>
      </c>
      <c r="AQ81" s="103">
        <v>48</v>
      </c>
      <c r="AR81" s="103" t="s">
        <v>2203</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B82" s="270" t="s">
        <v>1</v>
      </c>
      <c r="C82" s="262" t="s">
        <v>1918</v>
      </c>
      <c r="D82" s="330">
        <v>3400.3</v>
      </c>
      <c r="E82" s="330">
        <v>3032.7</v>
      </c>
      <c r="F82" s="263">
        <f t="shared" si="14"/>
        <v>2789.4175553732566</v>
      </c>
      <c r="G82" s="263">
        <f>IFERROR(ROUNDUP(F82*'Customer Base'!$J$5,2),0)</f>
        <v>44630.69</v>
      </c>
      <c r="H82" s="263">
        <f t="shared" si="15"/>
        <v>2487.8589007383098</v>
      </c>
      <c r="I82" s="263">
        <f>IFERROR(ROUNDUP(H82*'Customer Base'!$J$5,2),0)</f>
        <v>39805.75</v>
      </c>
      <c r="J82" s="103" t="str">
        <f t="shared" si="12"/>
        <v/>
      </c>
      <c r="L82" s="103" t="str">
        <f t="shared" si="13"/>
        <v/>
      </c>
      <c r="N82" s="103">
        <v>79</v>
      </c>
      <c r="O82" s="103" t="str">
        <f>IF('Customer Base'!$I$15="MANUAL",IF(B82&lt;&gt;"",C82,""),IF('Customer Base'!$I$15="AUTOMATE",IF(A82&lt;&gt;"",C82,""),""))</f>
        <v/>
      </c>
      <c r="AM82" s="103">
        <v>10</v>
      </c>
      <c r="AN82" s="103" t="s">
        <v>2259</v>
      </c>
      <c r="AO82" s="103" t="str">
        <f>IF('Customer Base'!$I$15="MANUAL",IFERROR(AM82*B82,""),IF('Customer Base'!$I$15="AUTOMATE",IFERROR(AM82*A82,""),""))</f>
        <v/>
      </c>
      <c r="AP82" s="103">
        <v>800</v>
      </c>
      <c r="AQ82" s="103">
        <v>48</v>
      </c>
      <c r="AR82" s="103" t="s">
        <v>2203</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B83" s="270" t="s">
        <v>1</v>
      </c>
      <c r="C83" s="262" t="s">
        <v>1919</v>
      </c>
      <c r="D83" s="330">
        <v>3594.55</v>
      </c>
      <c r="E83" s="330">
        <v>3205.95</v>
      </c>
      <c r="F83" s="263">
        <f t="shared" si="14"/>
        <v>2948.7694831829367</v>
      </c>
      <c r="G83" s="263">
        <f>IFERROR(ROUNDUP(F83*'Customer Base'!$J$5,2),0)</f>
        <v>47180.32</v>
      </c>
      <c r="H83" s="263">
        <f t="shared" si="15"/>
        <v>2629.9835931091056</v>
      </c>
      <c r="I83" s="263">
        <f>IFERROR(ROUNDUP(H83*'Customer Base'!$J$5,2),0)</f>
        <v>42079.740000000005</v>
      </c>
      <c r="J83" s="103" t="str">
        <f t="shared" si="12"/>
        <v/>
      </c>
      <c r="L83" s="103" t="str">
        <f t="shared" si="13"/>
        <v/>
      </c>
      <c r="N83" s="103">
        <v>80</v>
      </c>
      <c r="O83" s="103" t="str">
        <f>IF('Customer Base'!$I$15="MANUAL",IF(B83&lt;&gt;"",C83,""),IF('Customer Base'!$I$15="AUTOMATE",IF(A83&lt;&gt;"",C83,""),""))</f>
        <v/>
      </c>
      <c r="AM83" s="103">
        <v>12</v>
      </c>
      <c r="AN83" s="103" t="s">
        <v>2267</v>
      </c>
      <c r="AO83" s="103" t="str">
        <f>IF('Customer Base'!$I$15="MANUAL",IFERROR(AM83*B83,""),IF('Customer Base'!$I$15="AUTOMATE",IFERROR(AM83*A83,""),""))</f>
        <v/>
      </c>
      <c r="AP83" s="103">
        <v>800</v>
      </c>
      <c r="AQ83" s="103">
        <v>48</v>
      </c>
      <c r="AR83" s="103" t="s">
        <v>2203</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1942</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B86" s="270" t="s">
        <v>1</v>
      </c>
      <c r="C86" s="237" t="s">
        <v>2337</v>
      </c>
      <c r="D86" s="267">
        <v>729.28</v>
      </c>
      <c r="E86" s="267">
        <v>686.88</v>
      </c>
      <c r="F86" s="238">
        <f t="shared" ref="F86:F100" si="16">$D86/1.219</f>
        <v>598.26086956521738</v>
      </c>
      <c r="G86" s="238">
        <f>IFERROR(ROUNDUP(F86*'Customer Base'!$J$5,2),0)</f>
        <v>9572.18</v>
      </c>
      <c r="H86" s="238">
        <f t="shared" ref="H86:H100" si="17">$E86/1.219</f>
        <v>563.47826086956513</v>
      </c>
      <c r="I86" s="238">
        <f>IFERROR(ROUNDUP(H86*'Customer Base'!$J$5,2),0)</f>
        <v>9015.66</v>
      </c>
      <c r="J86" s="103" t="str">
        <f t="shared" ref="J86:J114" si="18">IF(D86&lt;&gt;"",IF(D86&lt;E86,"lkdfjk",""),"")</f>
        <v/>
      </c>
      <c r="L86" s="103" t="str">
        <f t="shared" si="13"/>
        <v/>
      </c>
      <c r="N86" s="103">
        <v>83</v>
      </c>
      <c r="O86" s="103" t="str">
        <f>IF('Customer Base'!$I$15="MANUAL",IF(B86&lt;&gt;"",C86,""),IF('Customer Base'!$I$15="AUTOMATE",IF(A86&lt;&gt;"",C86,""),""))</f>
        <v/>
      </c>
      <c r="AM86" s="103">
        <v>2</v>
      </c>
      <c r="AN86" s="103" t="s">
        <v>2254</v>
      </c>
      <c r="AO86" s="103" t="str">
        <f>IF('Customer Base'!$I$15="MANUAL",IFERROR(AM86*B86,""),IF('Customer Base'!$I$15="AUTOMATE",IFERROR(AM86*A86,""),""))</f>
        <v/>
      </c>
      <c r="AP86" s="103">
        <v>600</v>
      </c>
      <c r="AQ86" s="103">
        <v>48</v>
      </c>
      <c r="AR86" s="103" t="s">
        <v>2204</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B87" s="270" t="s">
        <v>1</v>
      </c>
      <c r="C87" s="237" t="s">
        <v>2338</v>
      </c>
      <c r="D87" s="267">
        <v>846.14</v>
      </c>
      <c r="E87" s="267">
        <v>796.94299999999998</v>
      </c>
      <c r="F87" s="238">
        <f t="shared" si="16"/>
        <v>694.12633305988504</v>
      </c>
      <c r="G87" s="238">
        <f>IFERROR(ROUNDUP(F87*'Customer Base'!$J$5,2),0)</f>
        <v>11106.03</v>
      </c>
      <c r="H87" s="238">
        <f t="shared" si="17"/>
        <v>653.76784249384741</v>
      </c>
      <c r="I87" s="238">
        <f>IFERROR(ROUNDUP(H87*'Customer Base'!$J$5,2),0)</f>
        <v>10460.290000000001</v>
      </c>
      <c r="J87" s="103" t="str">
        <f t="shared" si="18"/>
        <v/>
      </c>
      <c r="L87" s="103" t="str">
        <f t="shared" si="13"/>
        <v/>
      </c>
      <c r="N87" s="103">
        <v>84</v>
      </c>
      <c r="O87" s="103" t="str">
        <f>IF('Customer Base'!$I$15="MANUAL",IF(B87&lt;&gt;"",C87,""),IF('Customer Base'!$I$15="AUTOMATE",IF(A87&lt;&gt;"",C87,""),""))</f>
        <v/>
      </c>
      <c r="AM87" s="103">
        <v>3</v>
      </c>
      <c r="AN87" s="103" t="s">
        <v>2255</v>
      </c>
      <c r="AO87" s="103" t="str">
        <f>IF('Customer Base'!$I$15="MANUAL",IFERROR(AM87*B87,""),IF('Customer Base'!$I$15="AUTOMATE",IFERROR(AM87*A87,""),""))</f>
        <v/>
      </c>
      <c r="AP87" s="103">
        <v>600</v>
      </c>
      <c r="AQ87" s="103">
        <v>48</v>
      </c>
      <c r="AR87" s="103" t="s">
        <v>2204</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B88" s="270" t="s">
        <v>1</v>
      </c>
      <c r="C88" s="237" t="s">
        <v>2339</v>
      </c>
      <c r="D88" s="267">
        <v>1086.1300000000001</v>
      </c>
      <c r="E88" s="267">
        <v>1022.981</v>
      </c>
      <c r="F88" s="238">
        <f t="shared" si="16"/>
        <v>891.00082034454476</v>
      </c>
      <c r="G88" s="238">
        <f>IFERROR(ROUNDUP(F88*'Customer Base'!$J$5,2),0)</f>
        <v>14256.02</v>
      </c>
      <c r="H88" s="238">
        <f t="shared" si="17"/>
        <v>839.19688269073004</v>
      </c>
      <c r="I88" s="238">
        <f>IFERROR(ROUNDUP(H88*'Customer Base'!$J$5,2),0)</f>
        <v>13427.16</v>
      </c>
      <c r="J88" s="103" t="str">
        <f t="shared" si="18"/>
        <v/>
      </c>
      <c r="L88" s="103" t="str">
        <f t="shared" si="13"/>
        <v/>
      </c>
      <c r="N88" s="103">
        <v>85</v>
      </c>
      <c r="O88" s="103" t="str">
        <f>IF('Customer Base'!$I$15="MANUAL",IF(B88&lt;&gt;"",C88,""),IF('Customer Base'!$I$15="AUTOMATE",IF(A88&lt;&gt;"",C88,""),""))</f>
        <v/>
      </c>
      <c r="AM88" s="103">
        <v>5</v>
      </c>
      <c r="AN88" s="103" t="s">
        <v>2256</v>
      </c>
      <c r="AO88" s="103" t="str">
        <f>IF('Customer Base'!$I$15="MANUAL",IFERROR(AM88*B88,""),IF('Customer Base'!$I$15="AUTOMATE",IFERROR(AM88*A88,""),""))</f>
        <v/>
      </c>
      <c r="AP88" s="103">
        <v>600</v>
      </c>
      <c r="AQ88" s="103">
        <v>48</v>
      </c>
      <c r="AR88" s="103" t="s">
        <v>2204</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B89" s="270" t="s">
        <v>1</v>
      </c>
      <c r="C89" s="237" t="s">
        <v>2340</v>
      </c>
      <c r="D89" s="267">
        <v>1266.3499999999999</v>
      </c>
      <c r="E89" s="267">
        <v>1192.7249999999999</v>
      </c>
      <c r="F89" s="238">
        <f t="shared" si="16"/>
        <v>1038.8433141919604</v>
      </c>
      <c r="G89" s="238">
        <f>IFERROR(ROUNDUP(F89*'Customer Base'!$J$5,2),0)</f>
        <v>16621.5</v>
      </c>
      <c r="H89" s="238">
        <f t="shared" si="17"/>
        <v>978.44544708777676</v>
      </c>
      <c r="I89" s="238">
        <f>IFERROR(ROUNDUP(H89*'Customer Base'!$J$5,2),0)</f>
        <v>15655.130000000001</v>
      </c>
      <c r="J89" s="103" t="str">
        <f t="shared" si="18"/>
        <v/>
      </c>
      <c r="L89" s="103" t="str">
        <f t="shared" si="13"/>
        <v/>
      </c>
      <c r="N89" s="103">
        <v>86</v>
      </c>
      <c r="O89" s="103" t="str">
        <f>IF('Customer Base'!$I$15="MANUAL",IF(B89&lt;&gt;"",C89,""),IF('Customer Base'!$I$15="AUTOMATE",IF(A89&lt;&gt;"",C89,""),""))</f>
        <v/>
      </c>
      <c r="AM89" s="103">
        <v>5</v>
      </c>
      <c r="AN89" s="103" t="s">
        <v>2256</v>
      </c>
      <c r="AO89" s="103" t="str">
        <f>IF('Customer Base'!$I$15="MANUAL",IFERROR(AM89*B89,""),IF('Customer Base'!$I$15="AUTOMATE",IFERROR(AM89*A89,""),""))</f>
        <v/>
      </c>
      <c r="AP89" s="103">
        <v>1100</v>
      </c>
      <c r="AQ89" s="103">
        <v>48</v>
      </c>
      <c r="AR89" s="103" t="s">
        <v>2204</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B90" s="270" t="s">
        <v>1</v>
      </c>
      <c r="C90" s="237" t="s">
        <v>2341</v>
      </c>
      <c r="D90" s="267">
        <v>1884.04</v>
      </c>
      <c r="E90" s="267">
        <v>1774.499</v>
      </c>
      <c r="F90" s="238">
        <f t="shared" si="16"/>
        <v>1545.5619360131254</v>
      </c>
      <c r="G90" s="238">
        <f>IFERROR(ROUNDUP(F90*'Customer Base'!$J$5,2),0)</f>
        <v>24729</v>
      </c>
      <c r="H90" s="238">
        <f t="shared" si="17"/>
        <v>1455.7005742411811</v>
      </c>
      <c r="I90" s="238">
        <f>IFERROR(ROUNDUP(H90*'Customer Base'!$J$5,2),0)</f>
        <v>23291.21</v>
      </c>
      <c r="J90" s="103" t="str">
        <f t="shared" si="18"/>
        <v/>
      </c>
      <c r="L90" s="103" t="str">
        <f t="shared" si="13"/>
        <v/>
      </c>
      <c r="N90" s="103">
        <v>87</v>
      </c>
      <c r="O90" s="103" t="str">
        <f>IF('Customer Base'!$I$15="MANUAL",IF(B90&lt;&gt;"",C90,""),IF('Customer Base'!$I$15="AUTOMATE",IF(A90&lt;&gt;"",C90,""),""))</f>
        <v/>
      </c>
      <c r="AM90" s="103">
        <v>10</v>
      </c>
      <c r="AN90" s="103" t="s">
        <v>2259</v>
      </c>
      <c r="AO90" s="103" t="str">
        <f>IF('Customer Base'!$I$15="MANUAL",IFERROR(AM90*B90,""),IF('Customer Base'!$I$15="AUTOMATE",IFERROR(AM90*A90,""),""))</f>
        <v/>
      </c>
      <c r="AP90" s="103">
        <v>1100</v>
      </c>
      <c r="AQ90" s="103">
        <v>48</v>
      </c>
      <c r="AR90" s="103" t="s">
        <v>2204</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B91" s="270" t="s">
        <v>1</v>
      </c>
      <c r="C91" s="237" t="s">
        <v>2342</v>
      </c>
      <c r="D91" s="267">
        <v>2491.11</v>
      </c>
      <c r="E91" s="267">
        <v>2346.2779999999998</v>
      </c>
      <c r="F91" s="238">
        <f t="shared" si="16"/>
        <v>2043.5684987694831</v>
      </c>
      <c r="G91" s="238">
        <f>IFERROR(ROUNDUP(F91*'Customer Base'!$J$5,2),0)</f>
        <v>32697.1</v>
      </c>
      <c r="H91" s="238">
        <f t="shared" si="17"/>
        <v>1924.7563576702212</v>
      </c>
      <c r="I91" s="238">
        <f>IFERROR(ROUNDUP(H91*'Customer Base'!$J$5,2),0)</f>
        <v>30796.109999999997</v>
      </c>
      <c r="J91" s="103" t="str">
        <f t="shared" si="18"/>
        <v/>
      </c>
      <c r="L91" s="103" t="str">
        <f t="shared" si="13"/>
        <v/>
      </c>
      <c r="N91" s="103">
        <v>88</v>
      </c>
      <c r="O91" s="103" t="str">
        <f>IF('Customer Base'!$I$15="MANUAL",IF(B91&lt;&gt;"",C91,""),IF('Customer Base'!$I$15="AUTOMATE",IF(A91&lt;&gt;"",C91,""),""))</f>
        <v/>
      </c>
      <c r="AM91" s="103">
        <v>20</v>
      </c>
      <c r="AN91" s="103" t="s">
        <v>2268</v>
      </c>
      <c r="AO91" s="103" t="str">
        <f>IF('Customer Base'!$I$15="MANUAL",IFERROR(AM91*B91,""),IF('Customer Base'!$I$15="AUTOMATE",IFERROR(AM91*A91,""),""))</f>
        <v/>
      </c>
      <c r="AP91" s="103">
        <v>1100</v>
      </c>
      <c r="AQ91" s="103">
        <v>48</v>
      </c>
      <c r="AR91" s="103" t="s">
        <v>2204</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B92" s="270" t="s">
        <v>1</v>
      </c>
      <c r="C92" s="237" t="s">
        <v>2343</v>
      </c>
      <c r="D92" s="267">
        <v>2913.47</v>
      </c>
      <c r="E92" s="267">
        <v>2744.0859999999998</v>
      </c>
      <c r="F92" s="238">
        <f t="shared" si="16"/>
        <v>2390.0492206726822</v>
      </c>
      <c r="G92" s="238">
        <f>IFERROR(ROUNDUP(F92*'Customer Base'!$J$5,2),0)</f>
        <v>38240.79</v>
      </c>
      <c r="H92" s="238">
        <f t="shared" si="17"/>
        <v>2251.0959803117307</v>
      </c>
      <c r="I92" s="238">
        <f>IFERROR(ROUNDUP(H92*'Customer Base'!$J$5,2),0)</f>
        <v>36017.54</v>
      </c>
      <c r="J92" s="103" t="str">
        <f t="shared" si="18"/>
        <v/>
      </c>
      <c r="L92" s="103" t="str">
        <f t="shared" si="13"/>
        <v/>
      </c>
      <c r="N92" s="103">
        <v>89</v>
      </c>
      <c r="O92" s="103" t="str">
        <f>IF('Customer Base'!$I$15="MANUAL",IF(B92&lt;&gt;"",C92,""),IF('Customer Base'!$I$15="AUTOMATE",IF(A92&lt;&gt;"",C92,""),""))</f>
        <v/>
      </c>
      <c r="AM92" s="103">
        <v>30</v>
      </c>
      <c r="AN92" s="103" t="s">
        <v>2269</v>
      </c>
      <c r="AO92" s="103" t="str">
        <f>IF('Customer Base'!$I$15="MANUAL",IFERROR(AM92*B92,""),IF('Customer Base'!$I$15="AUTOMATE",IFERROR(AM92*A92,""),""))</f>
        <v/>
      </c>
      <c r="AP92" s="103">
        <v>1100</v>
      </c>
      <c r="AQ92" s="103">
        <v>48</v>
      </c>
      <c r="AR92" s="103" t="s">
        <v>2204</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B93" s="270" t="s">
        <v>1</v>
      </c>
      <c r="C93" s="237" t="s">
        <v>2344</v>
      </c>
      <c r="D93" s="267">
        <v>3448.48</v>
      </c>
      <c r="E93" s="267">
        <v>3247.9870000000001</v>
      </c>
      <c r="F93" s="238">
        <f t="shared" si="16"/>
        <v>2828.9417555373257</v>
      </c>
      <c r="G93" s="238">
        <f>IFERROR(ROUNDUP(F93*'Customer Base'!$J$5,2),0)</f>
        <v>45263.07</v>
      </c>
      <c r="H93" s="238">
        <f t="shared" si="17"/>
        <v>2664.4684167350288</v>
      </c>
      <c r="I93" s="238">
        <f>IFERROR(ROUNDUP(H93*'Customer Base'!$J$5,2),0)</f>
        <v>42631.5</v>
      </c>
      <c r="J93" s="103" t="str">
        <f t="shared" si="18"/>
        <v/>
      </c>
      <c r="L93" s="103" t="str">
        <f t="shared" si="13"/>
        <v/>
      </c>
      <c r="N93" s="103">
        <v>90</v>
      </c>
      <c r="O93" s="103" t="str">
        <f>IF('Customer Base'!$I$15="MANUAL",IF(B93&lt;&gt;"",C93,""),IF('Customer Base'!$I$15="AUTOMATE",IF(A93&lt;&gt;"",C93,""),""))</f>
        <v/>
      </c>
      <c r="AM93" s="103">
        <v>40</v>
      </c>
      <c r="AN93" s="103" t="s">
        <v>2270</v>
      </c>
      <c r="AO93" s="103" t="str">
        <f>IF('Customer Base'!$I$15="MANUAL",IFERROR(AM93*B93,""),IF('Customer Base'!$I$15="AUTOMATE",IFERROR(AM93*A93,""),""))</f>
        <v/>
      </c>
      <c r="AP93" s="103">
        <v>1100</v>
      </c>
      <c r="AQ93" s="103">
        <v>48</v>
      </c>
      <c r="AR93" s="103" t="s">
        <v>2204</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B94" s="270" t="s">
        <v>1</v>
      </c>
      <c r="C94" s="237" t="s">
        <v>2345</v>
      </c>
      <c r="D94" s="267">
        <v>3756.7</v>
      </c>
      <c r="E94" s="267">
        <v>3538.2910000000002</v>
      </c>
      <c r="F94" s="238">
        <f t="shared" si="16"/>
        <v>3081.7883511074647</v>
      </c>
      <c r="G94" s="238">
        <f>IFERROR(ROUNDUP(F94*'Customer Base'!$J$5,2),0)</f>
        <v>49308.62</v>
      </c>
      <c r="H94" s="238">
        <f t="shared" si="17"/>
        <v>2902.6177194421657</v>
      </c>
      <c r="I94" s="238">
        <f>IFERROR(ROUNDUP(H94*'Customer Base'!$J$5,2),0)</f>
        <v>46441.89</v>
      </c>
      <c r="J94" s="103" t="str">
        <f t="shared" si="18"/>
        <v/>
      </c>
      <c r="L94" s="103" t="str">
        <f t="shared" si="13"/>
        <v/>
      </c>
      <c r="N94" s="103">
        <v>91</v>
      </c>
      <c r="O94" s="103" t="str">
        <f>IF('Customer Base'!$I$15="MANUAL",IF(B94&lt;&gt;"",C94,""),IF('Customer Base'!$I$15="AUTOMATE",IF(A94&lt;&gt;"",C94,""),""))</f>
        <v/>
      </c>
      <c r="AM94" s="103">
        <v>50</v>
      </c>
      <c r="AN94" s="103" t="s">
        <v>2271</v>
      </c>
      <c r="AO94" s="103" t="str">
        <f>IF('Customer Base'!$I$15="MANUAL",IFERROR(AM94*B94,""),IF('Customer Base'!$I$15="AUTOMATE",IFERROR(AM94*A94,""),""))</f>
        <v/>
      </c>
      <c r="AP94" s="103">
        <v>1100</v>
      </c>
      <c r="AQ94" s="103">
        <v>48</v>
      </c>
      <c r="AR94" s="103" t="s">
        <v>2204</v>
      </c>
      <c r="AS94" s="103">
        <v>3</v>
      </c>
      <c r="AT94" s="103" t="str">
        <f t="shared" si="19"/>
        <v/>
      </c>
      <c r="AV94" s="103" t="str">
        <f t="shared" ref="AV94:AV165" si="20">IF(AU94&lt;&gt;"",AU94,AT94)</f>
        <v/>
      </c>
    </row>
    <row r="95" spans="1:49" ht="17">
      <c r="A95" s="103" t="str">
        <f>IFERROR(IF(AND('Customer Base'!D7="Grid-Tied",'Customer Base'!D13="Huawei",'Customer Base'!D34="No"),1,""),"")</f>
        <v/>
      </c>
      <c r="B95" s="270" t="s">
        <v>1</v>
      </c>
      <c r="C95" s="350" t="s">
        <v>2346</v>
      </c>
      <c r="D95" s="267">
        <v>65.12</v>
      </c>
      <c r="E95" s="267">
        <v>61.235999999999997</v>
      </c>
      <c r="F95" s="238">
        <f t="shared" si="16"/>
        <v>53.420836751435601</v>
      </c>
      <c r="G95" s="238">
        <f>IFERROR(ROUNDUP(F95*'Customer Base'!$J$5,2),0)</f>
        <v>854.74</v>
      </c>
      <c r="H95" s="238">
        <f t="shared" si="17"/>
        <v>50.234618539786702</v>
      </c>
      <c r="I95" s="238">
        <f>IFERROR(ROUNDUP(H95*'Customer Base'!$J$5,2),0)</f>
        <v>803.76</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2347</v>
      </c>
      <c r="D96" s="267">
        <v>158.93</v>
      </c>
      <c r="E96" s="267">
        <v>149.68799999999999</v>
      </c>
      <c r="F96" s="238">
        <f t="shared" si="16"/>
        <v>130.37735849056602</v>
      </c>
      <c r="G96" s="238">
        <f>IFERROR(ROUNDUP(F96*'Customer Base'!$J$5,2),0)</f>
        <v>2086.0400000000004</v>
      </c>
      <c r="H96" s="238">
        <f t="shared" si="17"/>
        <v>122.79573420836749</v>
      </c>
      <c r="I96" s="238">
        <f>IFERROR(ROUNDUP(H96*'Customer Base'!$J$5,2),0)</f>
        <v>1964.74</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2348</v>
      </c>
      <c r="D97" s="267">
        <v>605.01</v>
      </c>
      <c r="E97" s="267">
        <v>569.83500000000004</v>
      </c>
      <c r="F97" s="238">
        <f t="shared" si="16"/>
        <v>496.31665299425754</v>
      </c>
      <c r="G97" s="238">
        <f>IFERROR(ROUNDUP(F97*'Customer Base'!$J$5,2),0)</f>
        <v>7941.0700000000006</v>
      </c>
      <c r="H97" s="238">
        <f t="shared" si="17"/>
        <v>467.46103363412635</v>
      </c>
      <c r="I97" s="238">
        <f>IFERROR(ROUNDUP(H97*'Customer Base'!$J$5,2),0)</f>
        <v>7479.38</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B98" s="270" t="s">
        <v>1</v>
      </c>
      <c r="C98" s="237" t="s">
        <v>2349</v>
      </c>
      <c r="D98" s="267">
        <v>101.51</v>
      </c>
      <c r="E98" s="267">
        <v>95.611999999999995</v>
      </c>
      <c r="F98" s="238">
        <f t="shared" si="16"/>
        <v>83.273174733388018</v>
      </c>
      <c r="G98" s="238">
        <f>IFERROR(ROUNDUP(F98*'Customer Base'!$J$5,2),0)</f>
        <v>1332.3799999999999</v>
      </c>
      <c r="H98" s="238">
        <f t="shared" si="17"/>
        <v>78.434782608695642</v>
      </c>
      <c r="I98" s="238">
        <f>IFERROR(ROUNDUP(H98*'Customer Base'!$J$5,2),0)</f>
        <v>1254.96</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2350</v>
      </c>
      <c r="D99" s="267">
        <v>66.75</v>
      </c>
      <c r="E99" s="267">
        <v>62.872</v>
      </c>
      <c r="F99" s="238">
        <f t="shared" si="16"/>
        <v>54.757998359310903</v>
      </c>
      <c r="G99" s="238">
        <f>IFERROR(ROUNDUP(F99*'Customer Base'!$J$5,2),0)</f>
        <v>876.13</v>
      </c>
      <c r="H99" s="238">
        <f t="shared" si="17"/>
        <v>51.576702214930265</v>
      </c>
      <c r="I99" s="238">
        <f>IFERROR(ROUNDUP(H99*'Customer Base'!$J$5,2),0)</f>
        <v>825.23</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2351</v>
      </c>
      <c r="D100" s="267">
        <v>294.12</v>
      </c>
      <c r="E100" s="267">
        <v>277.02</v>
      </c>
      <c r="F100" s="238">
        <f t="shared" si="16"/>
        <v>241.27973748974568</v>
      </c>
      <c r="G100" s="238">
        <f>IFERROR(ROUNDUP(F100*'Customer Base'!$J$5,2),0)</f>
        <v>3860.48</v>
      </c>
      <c r="H100" s="238">
        <f t="shared" si="17"/>
        <v>227.25184577522558</v>
      </c>
      <c r="I100" s="238">
        <f>IFERROR(ROUNDUP(H100*'Customer Base'!$J$5,2),0)</f>
        <v>3636.03</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1897</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B103" s="270" t="s">
        <v>1</v>
      </c>
      <c r="C103" s="248" t="s">
        <v>23</v>
      </c>
      <c r="D103" s="321">
        <v>1337.82</v>
      </c>
      <c r="E103" s="321">
        <v>1260.0360000000001</v>
      </c>
      <c r="F103" s="249">
        <f t="shared" si="10"/>
        <v>1097.4733388022969</v>
      </c>
      <c r="G103" s="249">
        <f>IFERROR(ROUNDUP(F103*'Customer Base'!$J$5,2),0)</f>
        <v>17559.579999999998</v>
      </c>
      <c r="H103" s="249">
        <f t="shared" si="11"/>
        <v>1033.6636587366693</v>
      </c>
      <c r="I103" s="249">
        <f>IFERROR(ROUNDUP(H103*'Customer Base'!$J$5,2),0)</f>
        <v>16538.62</v>
      </c>
      <c r="J103" s="103" t="str">
        <f t="shared" si="18"/>
        <v/>
      </c>
      <c r="L103" s="103" t="str">
        <f t="shared" si="21"/>
        <v/>
      </c>
      <c r="N103" s="103">
        <v>100</v>
      </c>
      <c r="O103" s="103" t="str">
        <f>IF('Customer Base'!$I$15="MANUAL",IF(B103&lt;&gt;"",C103,""),IF('Customer Base'!$I$15="AUTOMATE",IF(A103&lt;&gt;"",C103,""),""))</f>
        <v/>
      </c>
      <c r="AM103" s="103">
        <v>3</v>
      </c>
      <c r="AN103" s="103" t="s">
        <v>2274</v>
      </c>
      <c r="AO103" s="103" t="str">
        <f>IF('Customer Base'!$I$15="MANUAL",IFERROR(AM103*B103,""),IF('Customer Base'!$I$15="AUTOMATE",IFERROR(AM103*A103,""),""))</f>
        <v/>
      </c>
      <c r="AP103" s="103">
        <v>1000</v>
      </c>
      <c r="AQ103" s="103" t="s">
        <v>2198</v>
      </c>
      <c r="AR103" s="103" t="s">
        <v>2205</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B104" s="270" t="s">
        <v>1</v>
      </c>
      <c r="C104" s="248" t="s">
        <v>24</v>
      </c>
      <c r="D104" s="321">
        <v>1666.9</v>
      </c>
      <c r="E104" s="321">
        <v>1570.0070000000001</v>
      </c>
      <c r="F104" s="249">
        <f t="shared" si="10"/>
        <v>1367.4323215750615</v>
      </c>
      <c r="G104" s="249">
        <f>IFERROR(ROUNDUP(F104*'Customer Base'!$J$5,2),0)</f>
        <v>21878.92</v>
      </c>
      <c r="H104" s="249">
        <f t="shared" si="11"/>
        <v>1287.9466776045938</v>
      </c>
      <c r="I104" s="249">
        <f>IFERROR(ROUNDUP(H104*'Customer Base'!$J$5,2),0)</f>
        <v>20607.149999999998</v>
      </c>
      <c r="J104" s="103" t="str">
        <f t="shared" si="18"/>
        <v/>
      </c>
      <c r="L104" s="103" t="str">
        <f t="shared" si="21"/>
        <v/>
      </c>
      <c r="N104" s="103">
        <v>101</v>
      </c>
      <c r="O104" s="103" t="str">
        <f>IF('Customer Base'!$I$15="MANUAL",IF(B104&lt;&gt;"",C104,""),IF('Customer Base'!$I$15="AUTOMATE",IF(A104&lt;&gt;"",C104,""),""))</f>
        <v/>
      </c>
      <c r="AM104" s="103">
        <v>5</v>
      </c>
      <c r="AN104" s="103" t="s">
        <v>2275</v>
      </c>
      <c r="AO104" s="103" t="str">
        <f>IF('Customer Base'!$I$15="MANUAL",IFERROR(AM104*B104,""),IF('Customer Base'!$I$15="AUTOMATE",IFERROR(AM104*A104,""),""))</f>
        <v/>
      </c>
      <c r="AP104" s="103">
        <v>1000</v>
      </c>
      <c r="AQ104" s="103" t="s">
        <v>2198</v>
      </c>
      <c r="AR104" s="103" t="s">
        <v>2206</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B105" s="270" t="s">
        <v>1</v>
      </c>
      <c r="C105" s="248" t="s">
        <v>2715</v>
      </c>
      <c r="D105" s="321">
        <v>2224.0632000000001</v>
      </c>
      <c r="E105" s="321">
        <v>2094.7570000000001</v>
      </c>
      <c r="F105" s="249">
        <f t="shared" si="10"/>
        <v>1824.498113207547</v>
      </c>
      <c r="G105" s="249">
        <f>IFERROR(ROUNDUP(F105*'Customer Base'!$J$5,2),0)</f>
        <v>29191.969999999998</v>
      </c>
      <c r="H105" s="249">
        <f t="shared" si="11"/>
        <v>1718.422477440525</v>
      </c>
      <c r="I105" s="249">
        <f>IFERROR(ROUNDUP(H105*'Customer Base'!$J$5,2),0)</f>
        <v>27494.76</v>
      </c>
      <c r="J105" s="103" t="str">
        <f t="shared" si="18"/>
        <v/>
      </c>
      <c r="L105" s="103" t="str">
        <f t="shared" si="21"/>
        <v/>
      </c>
      <c r="N105" s="103">
        <v>102</v>
      </c>
      <c r="O105" s="103" t="str">
        <f>IF('Customer Base'!$I$15="MANUAL",IF(B105&lt;&gt;"",C105,""),IF('Customer Base'!$I$15="AUTOMATE",IF(A105&lt;&gt;"",C105,""),""))</f>
        <v/>
      </c>
      <c r="AM105" s="103">
        <v>6</v>
      </c>
      <c r="AN105" s="103" t="s">
        <v>2277</v>
      </c>
      <c r="AO105" s="103" t="str">
        <f>IF('Customer Base'!$I$15="MANUAL",IFERROR(AM105*B105,""),IF('Customer Base'!$I$15="AUTOMATE",IFERROR(AM105*A105,""),""))</f>
        <v/>
      </c>
      <c r="AP105" s="103">
        <v>1000</v>
      </c>
      <c r="AQ105" s="103" t="s">
        <v>2198</v>
      </c>
      <c r="AR105" s="103" t="s">
        <v>2206</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B106" s="270" t="s">
        <v>1</v>
      </c>
      <c r="C106" s="248" t="s">
        <v>25</v>
      </c>
      <c r="D106" s="321">
        <v>2563.2471999999998</v>
      </c>
      <c r="E106" s="321">
        <v>2414.221</v>
      </c>
      <c r="F106" s="249">
        <f t="shared" si="10"/>
        <v>2102.745857260049</v>
      </c>
      <c r="G106" s="249">
        <f>IFERROR(ROUNDUP(F106*'Customer Base'!$J$5,2),0)</f>
        <v>33643.94</v>
      </c>
      <c r="H106" s="249">
        <f t="shared" si="11"/>
        <v>1980.4930270713699</v>
      </c>
      <c r="I106" s="249">
        <f>IFERROR(ROUNDUP(H106*'Customer Base'!$J$5,2),0)</f>
        <v>31687.89</v>
      </c>
      <c r="J106" s="103" t="str">
        <f t="shared" si="18"/>
        <v/>
      </c>
      <c r="L106" s="103" t="str">
        <f t="shared" si="21"/>
        <v/>
      </c>
      <c r="N106" s="103">
        <v>103</v>
      </c>
      <c r="O106" s="103" t="str">
        <f>IF('Customer Base'!$I$15="MANUAL",IF(B106&lt;&gt;"",C106,""),IF('Customer Base'!$I$15="AUTOMATE",IF(A106&lt;&gt;"",C106,""),""))</f>
        <v/>
      </c>
      <c r="AM106" s="103">
        <v>8.1999999999999993</v>
      </c>
      <c r="AN106" s="103" t="s">
        <v>2276</v>
      </c>
      <c r="AO106" s="103" t="str">
        <f>IF('Customer Base'!$I$15="MANUAL",IFERROR(AM106*B106,""),IF('Customer Base'!$I$15="AUTOMATE",IFERROR(AM106*A106,""),""))</f>
        <v/>
      </c>
      <c r="AP106" s="103">
        <v>1000</v>
      </c>
      <c r="AQ106" s="103" t="s">
        <v>2198</v>
      </c>
      <c r="AR106" s="103" t="s">
        <v>2206</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B107" s="270" t="s">
        <v>1</v>
      </c>
      <c r="C107" s="248" t="s">
        <v>1124</v>
      </c>
      <c r="D107" s="321">
        <v>1733.12</v>
      </c>
      <c r="E107" s="321">
        <v>1632.261</v>
      </c>
      <c r="F107" s="249">
        <f t="shared" si="10"/>
        <v>1421.7555373256766</v>
      </c>
      <c r="G107" s="249">
        <f>IFERROR(ROUNDUP(F107*'Customer Base'!$J$5,2),0)</f>
        <v>22748.09</v>
      </c>
      <c r="H107" s="249">
        <f t="shared" si="11"/>
        <v>1339.0164068908941</v>
      </c>
      <c r="I107" s="249">
        <f>IFERROR(ROUNDUP(H107*'Customer Base'!$J$5,2),0)</f>
        <v>21424.269999999997</v>
      </c>
      <c r="J107" s="103" t="str">
        <f t="shared" si="18"/>
        <v/>
      </c>
      <c r="L107" s="103" t="str">
        <f t="shared" si="21"/>
        <v/>
      </c>
      <c r="N107" s="103">
        <v>104</v>
      </c>
      <c r="O107" s="103" t="str">
        <f>IF('Customer Base'!$I$15="MANUAL",IF(B107&lt;&gt;"",C107,""),IF('Customer Base'!$I$15="AUTOMATE",IF(A107&lt;&gt;"",C107,""),""))</f>
        <v/>
      </c>
      <c r="AM107" s="103">
        <v>3</v>
      </c>
      <c r="AN107" s="103" t="s">
        <v>2274</v>
      </c>
      <c r="AO107" s="103" t="str">
        <f>IF('Customer Base'!$I$15="MANUAL",IFERROR(AM107*B107,""),IF('Customer Base'!$I$15="AUTOMATE",IFERROR(AM107*A107,""),""))</f>
        <v/>
      </c>
      <c r="AP107" s="103">
        <v>1000</v>
      </c>
      <c r="AQ107" s="103" t="s">
        <v>2198</v>
      </c>
      <c r="AR107" s="103" t="s">
        <v>2207</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B108" s="270" t="s">
        <v>1</v>
      </c>
      <c r="C108" s="248" t="s">
        <v>1122</v>
      </c>
      <c r="D108" s="321">
        <v>1895.82</v>
      </c>
      <c r="E108" s="321">
        <v>1785.596</v>
      </c>
      <c r="F108" s="249">
        <f t="shared" si="10"/>
        <v>1555.2255947497947</v>
      </c>
      <c r="G108" s="249">
        <f>IFERROR(ROUNDUP(F108*'Customer Base'!$J$5,2),0)</f>
        <v>24883.609999999997</v>
      </c>
      <c r="H108" s="249">
        <f t="shared" si="11"/>
        <v>1464.8039376538145</v>
      </c>
      <c r="I108" s="249">
        <f>IFERROR(ROUNDUP(H108*'Customer Base'!$J$5,2),0)</f>
        <v>23436.87</v>
      </c>
      <c r="J108" s="103" t="str">
        <f t="shared" si="18"/>
        <v/>
      </c>
      <c r="L108" s="103" t="str">
        <f t="shared" si="21"/>
        <v/>
      </c>
      <c r="N108" s="103">
        <v>105</v>
      </c>
      <c r="O108" s="103" t="str">
        <f>IF('Customer Base'!$I$15="MANUAL",IF(B108&lt;&gt;"",C108,""),IF('Customer Base'!$I$15="AUTOMATE",IF(A108&lt;&gt;"",C108,""),""))</f>
        <v/>
      </c>
      <c r="AM108" s="103">
        <v>5</v>
      </c>
      <c r="AN108" s="103" t="s">
        <v>2275</v>
      </c>
      <c r="AO108" s="103" t="str">
        <f>IF('Customer Base'!$I$15="MANUAL",IFERROR(AM108*B108,""),IF('Customer Base'!$I$15="AUTOMATE",IFERROR(AM108*A108,""),""))</f>
        <v/>
      </c>
      <c r="AP108" s="103">
        <v>1000</v>
      </c>
      <c r="AQ108" s="103" t="s">
        <v>2198</v>
      </c>
      <c r="AR108" s="103" t="s">
        <v>2207</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B109" s="270" t="s">
        <v>1</v>
      </c>
      <c r="C109" s="248" t="s">
        <v>1123</v>
      </c>
      <c r="D109" s="321">
        <v>1938.42</v>
      </c>
      <c r="E109" s="321">
        <v>1825.7239999999999</v>
      </c>
      <c r="F109" s="249">
        <f t="shared" si="10"/>
        <v>1590.1722723543887</v>
      </c>
      <c r="G109" s="249">
        <f>IFERROR(ROUNDUP(F109*'Customer Base'!$J$5,2),0)</f>
        <v>25442.76</v>
      </c>
      <c r="H109" s="249">
        <f t="shared" si="11"/>
        <v>1497.7227235438884</v>
      </c>
      <c r="I109" s="249">
        <f>IFERROR(ROUNDUP(H109*'Customer Base'!$J$5,2),0)</f>
        <v>23963.57</v>
      </c>
      <c r="J109" s="103" t="str">
        <f t="shared" si="18"/>
        <v/>
      </c>
      <c r="L109" s="103" t="str">
        <f t="shared" si="21"/>
        <v/>
      </c>
      <c r="N109" s="103">
        <v>106</v>
      </c>
      <c r="O109" s="103" t="str">
        <f>IF('Customer Base'!$I$15="MANUAL",IF(B109&lt;&gt;"",C109,""),IF('Customer Base'!$I$15="AUTOMATE",IF(A109&lt;&gt;"",C109,""),""))</f>
        <v/>
      </c>
      <c r="AM109" s="103">
        <v>6</v>
      </c>
      <c r="AN109" s="103" t="s">
        <v>2277</v>
      </c>
      <c r="AO109" s="103" t="str">
        <f>IF('Customer Base'!$I$15="MANUAL",IFERROR(AM109*B109,""),IF('Customer Base'!$I$15="AUTOMATE",IFERROR(AM109*A109,""),""))</f>
        <v/>
      </c>
      <c r="AP109" s="103">
        <v>1000</v>
      </c>
      <c r="AQ109" s="103" t="s">
        <v>2198</v>
      </c>
      <c r="AR109" s="103" t="s">
        <v>2207</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B110" s="270" t="s">
        <v>1</v>
      </c>
      <c r="C110" s="248" t="s">
        <v>2762</v>
      </c>
      <c r="D110" s="321">
        <v>2600.6055999999999</v>
      </c>
      <c r="E110" s="321">
        <v>2449.4079999999999</v>
      </c>
      <c r="F110" s="249">
        <f t="shared" si="10"/>
        <v>2133.3926168990974</v>
      </c>
      <c r="G110" s="249">
        <f>IFERROR(ROUNDUP(F110*'Customer Base'!$J$5,2),0)</f>
        <v>34134.29</v>
      </c>
      <c r="H110" s="249">
        <f t="shared" si="11"/>
        <v>2009.3584905660375</v>
      </c>
      <c r="I110" s="249">
        <f>IFERROR(ROUNDUP(H110*'Customer Base'!$J$5,2),0)</f>
        <v>32149.739999999998</v>
      </c>
      <c r="J110" s="103" t="str">
        <f t="shared" si="18"/>
        <v/>
      </c>
      <c r="L110" s="103" t="str">
        <f t="shared" si="21"/>
        <v/>
      </c>
      <c r="N110" s="103">
        <v>107</v>
      </c>
      <c r="O110" s="103" t="str">
        <f>IF('Customer Base'!$I$15="MANUAL",IF(B110&lt;&gt;"",C110,""),IF('Customer Base'!$I$15="AUTOMATE",IF(A110&lt;&gt;"",C110,""),""))</f>
        <v/>
      </c>
      <c r="AM110" s="103">
        <v>10</v>
      </c>
      <c r="AN110" s="103" t="s">
        <v>2278</v>
      </c>
      <c r="AO110" s="103" t="str">
        <f>IF('Customer Base'!$I$15="MANUAL",IFERROR(AM110*B110,""),IF('Customer Base'!$I$15="AUTOMATE",IFERROR(AM110*A110,""),""))</f>
        <v/>
      </c>
      <c r="AP110" s="103">
        <v>1000</v>
      </c>
      <c r="AQ110" s="103" t="s">
        <v>2198</v>
      </c>
      <c r="AR110" s="103" t="s">
        <v>2207</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B111" s="270" t="s">
        <v>1</v>
      </c>
      <c r="C111" s="248" t="s">
        <v>2763</v>
      </c>
      <c r="D111" s="321">
        <v>3004.7195999999999</v>
      </c>
      <c r="E111" s="321">
        <v>2830.027</v>
      </c>
      <c r="F111" s="249">
        <f t="shared" si="10"/>
        <v>2464.9053322395403</v>
      </c>
      <c r="G111" s="249">
        <f>IFERROR(ROUNDUP(F111*'Customer Base'!$J$5,2),0)</f>
        <v>39438.490000000005</v>
      </c>
      <c r="H111" s="249">
        <f t="shared" si="11"/>
        <v>2321.5972108285478</v>
      </c>
      <c r="I111" s="249">
        <f>IFERROR(ROUNDUP(H111*'Customer Base'!$J$5,2),0)</f>
        <v>37145.560000000005</v>
      </c>
      <c r="J111" s="103" t="str">
        <f t="shared" si="18"/>
        <v/>
      </c>
      <c r="L111" s="103" t="str">
        <f t="shared" si="21"/>
        <v/>
      </c>
      <c r="N111" s="103">
        <v>108</v>
      </c>
      <c r="O111" s="103" t="str">
        <f>IF('Customer Base'!$I$15="MANUAL",IF(B111&lt;&gt;"",C111,""),IF('Customer Base'!$I$15="AUTOMATE",IF(A111&lt;&gt;"",C111,""),""))</f>
        <v/>
      </c>
      <c r="AM111" s="103">
        <v>15</v>
      </c>
      <c r="AN111" s="103" t="s">
        <v>2279</v>
      </c>
      <c r="AO111" s="103" t="str">
        <f>IF('Customer Base'!$I$15="MANUAL",IFERROR(AM111*B111,""),IF('Customer Base'!$I$15="AUTOMATE",IFERROR(AM111*A111,""),""))</f>
        <v/>
      </c>
      <c r="AP111" s="103">
        <v>1000</v>
      </c>
      <c r="AQ111" s="103" t="s">
        <v>2198</v>
      </c>
      <c r="AR111" s="103" t="s">
        <v>2207</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B112" s="270" t="s">
        <v>1</v>
      </c>
      <c r="C112" s="248" t="s">
        <v>2764</v>
      </c>
      <c r="D112" s="321">
        <v>3365.7647999999999</v>
      </c>
      <c r="E112" s="321">
        <v>3170.0810000000001</v>
      </c>
      <c r="F112" s="249">
        <f t="shared" si="10"/>
        <v>2761.0867924528297</v>
      </c>
      <c r="G112" s="249">
        <f>IFERROR(ROUNDUP(F112*'Customer Base'!$J$5,2),0)</f>
        <v>44177.39</v>
      </c>
      <c r="H112" s="249">
        <f t="shared" si="11"/>
        <v>2600.5586546349468</v>
      </c>
      <c r="I112" s="249">
        <f>IFERROR(ROUNDUP(H112*'Customer Base'!$J$5,2),0)</f>
        <v>41608.94</v>
      </c>
      <c r="J112" s="103" t="str">
        <f t="shared" si="18"/>
        <v/>
      </c>
      <c r="L112" s="103" t="str">
        <f t="shared" si="21"/>
        <v/>
      </c>
      <c r="N112" s="103">
        <v>109</v>
      </c>
      <c r="O112" s="103" t="str">
        <f>IF('Customer Base'!$I$15="MANUAL",IF(B112&lt;&gt;"",C112,""),IF('Customer Base'!$I$15="AUTOMATE",IF(A112&lt;&gt;"",C112,""),""))</f>
        <v/>
      </c>
      <c r="AM112" s="103">
        <v>20</v>
      </c>
      <c r="AN112" s="103" t="s">
        <v>2280</v>
      </c>
      <c r="AO112" s="103" t="str">
        <f>IF('Customer Base'!$I$15="MANUAL",IFERROR(AM112*B112,""),IF('Customer Base'!$I$15="AUTOMATE",IFERROR(AM112*A112,""),""))</f>
        <v/>
      </c>
      <c r="AP112" s="103">
        <v>1000</v>
      </c>
      <c r="AQ112" s="103" t="s">
        <v>2198</v>
      </c>
      <c r="AR112" s="103" t="s">
        <v>2207</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B113" s="270" t="s">
        <v>1</v>
      </c>
      <c r="C113" s="248" t="s">
        <v>1125</v>
      </c>
      <c r="D113" s="321">
        <v>3204.36</v>
      </c>
      <c r="E113" s="321">
        <v>3018.06</v>
      </c>
      <c r="F113" s="249">
        <f t="shared" si="10"/>
        <v>2628.6792452830186</v>
      </c>
      <c r="G113" s="249">
        <f>IFERROR(ROUNDUP(F113*'Customer Base'!$J$5,2),0)</f>
        <v>42058.87</v>
      </c>
      <c r="H113" s="249">
        <f t="shared" si="11"/>
        <v>2475.8490566037735</v>
      </c>
      <c r="I113" s="249">
        <f>IFERROR(ROUNDUP(H113*'Customer Base'!$J$5,2),0)</f>
        <v>39613.590000000004</v>
      </c>
      <c r="J113" s="103" t="str">
        <f t="shared" si="18"/>
        <v/>
      </c>
      <c r="L113" s="103" t="str">
        <f t="shared" si="21"/>
        <v/>
      </c>
      <c r="N113" s="103">
        <v>110</v>
      </c>
      <c r="O113" s="103" t="str">
        <f>IF('Customer Base'!$I$15="MANUAL",IF(B113&lt;&gt;"",C113,""),IF('Customer Base'!$I$15="AUTOMATE",IF(A113&lt;&gt;"",C113,""),""))</f>
        <v/>
      </c>
      <c r="AM113" s="103">
        <v>25</v>
      </c>
      <c r="AN113" s="103" t="s">
        <v>2281</v>
      </c>
      <c r="AO113" s="103" t="str">
        <f>IF('Customer Base'!$I$15="MANUAL",IFERROR(AM113*B113,""),IF('Customer Base'!$I$15="AUTOMATE",IFERROR(AM113*A113,""),""))</f>
        <v/>
      </c>
      <c r="AP113" s="103">
        <v>1000</v>
      </c>
      <c r="AQ113" s="103" t="s">
        <v>2198</v>
      </c>
      <c r="AR113" s="103" t="s">
        <v>2208</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B114" s="270">
        <v>4</v>
      </c>
      <c r="C114" s="248" t="s">
        <v>1126</v>
      </c>
      <c r="D114" s="321">
        <v>3297.24</v>
      </c>
      <c r="E114" s="321">
        <v>3105.54</v>
      </c>
      <c r="F114" s="249">
        <f t="shared" si="10"/>
        <v>2704.8728465955696</v>
      </c>
      <c r="G114" s="249">
        <f>IFERROR(ROUNDUP(F114*'Customer Base'!$J$5,2),0)</f>
        <v>43277.97</v>
      </c>
      <c r="H114" s="249">
        <f t="shared" si="11"/>
        <v>2547.6127973748971</v>
      </c>
      <c r="I114" s="249">
        <f>IFERROR(ROUNDUP(H114*'Customer Base'!$J$5,2),0)</f>
        <v>40761.810000000005</v>
      </c>
      <c r="J114" s="103" t="str">
        <f t="shared" si="18"/>
        <v/>
      </c>
      <c r="L114" s="103" t="str">
        <f t="shared" si="21"/>
        <v/>
      </c>
      <c r="N114" s="103">
        <v>111</v>
      </c>
      <c r="O114" s="103" t="str">
        <f>IF('Customer Base'!$I$15="MANUAL",IF(B114&lt;&gt;"",C114,""),IF('Customer Base'!$I$15="AUTOMATE",IF(A114&lt;&gt;"",C114,""),""))</f>
        <v/>
      </c>
      <c r="AM114" s="103">
        <v>27</v>
      </c>
      <c r="AN114" s="103" t="s">
        <v>2282</v>
      </c>
      <c r="AO114" s="103" t="str">
        <f>IF('Customer Base'!$I$15="MANUAL",IFERROR(AM114*B114,""),IF('Customer Base'!$I$15="AUTOMATE",IFERROR(AM114*A114,""),""))</f>
        <v/>
      </c>
      <c r="AP114" s="103">
        <v>1000</v>
      </c>
      <c r="AQ114" s="103" t="s">
        <v>2198</v>
      </c>
      <c r="AR114" s="103" t="s">
        <v>2208</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B115" s="270" t="s">
        <v>1</v>
      </c>
      <c r="C115" s="248" t="s">
        <v>2716</v>
      </c>
      <c r="D115" s="321">
        <v>4183.04</v>
      </c>
      <c r="E115" s="321">
        <v>3939.84</v>
      </c>
      <c r="F115" s="249">
        <f t="shared" si="10"/>
        <v>3431.5340442986053</v>
      </c>
      <c r="G115" s="249">
        <f>IFERROR(ROUNDUP(F115*'Customer Base'!$J$5,2),0)</f>
        <v>54904.55</v>
      </c>
      <c r="H115" s="249">
        <f t="shared" si="11"/>
        <v>3232.0262510254306</v>
      </c>
      <c r="I115" s="249">
        <f>IFERROR(ROUNDUP(H115*'Customer Base'!$J$5,2),0)</f>
        <v>51712.43</v>
      </c>
      <c r="L115" s="103" t="str">
        <f t="shared" si="21"/>
        <v/>
      </c>
      <c r="N115" s="103">
        <v>112</v>
      </c>
      <c r="O115" s="103" t="str">
        <f>IF('Customer Base'!$I$15="MANUAL",IF(B115&lt;&gt;"",C115,""),IF('Customer Base'!$I$15="AUTOMATE",IF(A115&lt;&gt;"",C115,""),""))</f>
        <v/>
      </c>
      <c r="AM115" s="103">
        <v>30</v>
      </c>
      <c r="AN115" s="103" t="s">
        <v>2769</v>
      </c>
      <c r="AO115" s="103" t="str">
        <f>IF('Customer Base'!$I$15="MANUAL",IFERROR(AM115*B115,""),IF('Customer Base'!$I$15="AUTOMATE",IFERROR(AM115*A115,""),""))</f>
        <v/>
      </c>
      <c r="AP115" s="103">
        <v>1000</v>
      </c>
      <c r="AQ115" s="103" t="s">
        <v>2198</v>
      </c>
      <c r="AR115" s="103" t="s">
        <v>2771</v>
      </c>
      <c r="AS115" s="103">
        <v>3</v>
      </c>
      <c r="AT115" s="103" t="str">
        <f t="shared" si="19"/>
        <v/>
      </c>
      <c r="AV115" s="103" t="str">
        <f t="shared" si="20"/>
        <v/>
      </c>
    </row>
    <row r="116" spans="1:48">
      <c r="C116" s="248" t="s">
        <v>2717</v>
      </c>
      <c r="D116" s="321">
        <v>4148.04</v>
      </c>
      <c r="E116" s="321">
        <v>3907.44</v>
      </c>
      <c r="F116" s="249">
        <f t="shared" si="10"/>
        <v>3402.8219852337979</v>
      </c>
      <c r="G116" s="249">
        <f>IFERROR(ROUNDUP(F116*'Customer Base'!$J$5,2),0)</f>
        <v>54445.16</v>
      </c>
      <c r="H116" s="249">
        <f t="shared" si="11"/>
        <v>3205.4470877768663</v>
      </c>
      <c r="I116" s="249">
        <f>IFERROR(ROUNDUP(H116*'Customer Base'!$J$5,2),0)</f>
        <v>51287.16</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2769</v>
      </c>
      <c r="AO116" s="103">
        <f>IF('Customer Base'!$I$15="MANUAL",IFERROR(AM116*B116,""),IF('Customer Base'!$I$15="AUTOMATE",IFERROR(AM116*A116,""),""))</f>
        <v>0</v>
      </c>
      <c r="AP116" s="103">
        <v>1000</v>
      </c>
      <c r="AQ116" s="103" t="s">
        <v>2198</v>
      </c>
      <c r="AR116" s="103" t="s">
        <v>2771</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B117" s="270" t="s">
        <v>1</v>
      </c>
      <c r="C117" s="248" t="s">
        <v>2718</v>
      </c>
      <c r="D117" s="321">
        <v>4490.92</v>
      </c>
      <c r="E117" s="321">
        <v>4229.82</v>
      </c>
      <c r="F117" s="249">
        <f t="shared" si="10"/>
        <v>3684.1017227235438</v>
      </c>
      <c r="G117" s="249">
        <f>IFERROR(ROUNDUP(F117*'Customer Base'!$J$5,2),0)</f>
        <v>58945.630000000005</v>
      </c>
      <c r="H117" s="249">
        <f t="shared" si="11"/>
        <v>3469.9097621000815</v>
      </c>
      <c r="I117" s="249">
        <f>IFERROR(ROUNDUP(H117*'Customer Base'!$J$5,2),0)</f>
        <v>55518.560000000005</v>
      </c>
      <c r="J117" s="103" t="str">
        <f t="shared" si="22"/>
        <v/>
      </c>
      <c r="L117" s="103" t="str">
        <f t="shared" si="21"/>
        <v/>
      </c>
      <c r="N117" s="103">
        <v>114</v>
      </c>
      <c r="O117" s="103" t="str">
        <f>IF('Customer Base'!$I$15="MANUAL",IF(B117&lt;&gt;"",C117,""),IF('Customer Base'!$I$15="AUTOMATE",IF(A117&lt;&gt;"",C117,""),""))</f>
        <v/>
      </c>
      <c r="AM117" s="103">
        <v>33.299999999999997</v>
      </c>
      <c r="AN117" s="103" t="s">
        <v>2770</v>
      </c>
      <c r="AO117" s="103" t="str">
        <f>IF('Customer Base'!$I$15="MANUAL",IFERROR(AM117*B117,""),IF('Customer Base'!$I$15="AUTOMATE",IFERROR(AM117*A117,""),""))</f>
        <v/>
      </c>
      <c r="AP117" s="103">
        <v>1000</v>
      </c>
      <c r="AQ117" s="103" t="s">
        <v>2198</v>
      </c>
      <c r="AR117" s="103" t="s">
        <v>2771</v>
      </c>
      <c r="AS117" s="103">
        <v>3</v>
      </c>
      <c r="AT117" s="103" t="str">
        <f t="shared" si="19"/>
        <v/>
      </c>
      <c r="AV117" s="103" t="str">
        <f t="shared" si="20"/>
        <v/>
      </c>
    </row>
    <row r="118" spans="1:48">
      <c r="C118" s="248" t="s">
        <v>2719</v>
      </c>
      <c r="D118" s="321">
        <v>4458.24</v>
      </c>
      <c r="E118" s="321">
        <v>4199.04</v>
      </c>
      <c r="F118" s="249">
        <f t="shared" si="10"/>
        <v>3657.2928630024608</v>
      </c>
      <c r="G118" s="249">
        <f>IFERROR(ROUNDUP(F118*'Customer Base'!$J$5,2),0)</f>
        <v>58516.69</v>
      </c>
      <c r="H118" s="249">
        <f t="shared" si="11"/>
        <v>3444.6595570139457</v>
      </c>
      <c r="I118" s="249">
        <f>IFERROR(ROUNDUP(H118*'Customer Base'!$J$5,2),0)</f>
        <v>55114.560000000005</v>
      </c>
      <c r="J118" s="103" t="str">
        <f t="shared" si="22"/>
        <v/>
      </c>
      <c r="L118" s="103" t="str">
        <f t="shared" si="21"/>
        <v/>
      </c>
      <c r="N118" s="103">
        <v>115</v>
      </c>
      <c r="O118" s="103" t="str">
        <f>IF('Customer Base'!$I$15="MANUAL",IF(B118&lt;&gt;"",C118,""),IF('Customer Base'!$I$15="AUTOMATE",IF(A118&lt;&gt;"",C118,""),""))</f>
        <v/>
      </c>
      <c r="AM118" s="103">
        <v>33.299999999999997</v>
      </c>
      <c r="AN118" s="103" t="s">
        <v>2770</v>
      </c>
      <c r="AO118" s="103">
        <f>IF('Customer Base'!$I$15="MANUAL",IFERROR(AM118*B118,""),IF('Customer Base'!$I$15="AUTOMATE",IFERROR(AM118*A118,""),""))</f>
        <v>0</v>
      </c>
      <c r="AP118" s="103">
        <v>1000</v>
      </c>
      <c r="AQ118" s="103" t="s">
        <v>2198</v>
      </c>
      <c r="AR118" s="103" t="s">
        <v>2771</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B119" s="270" t="s">
        <v>1</v>
      </c>
      <c r="C119" s="248" t="s">
        <v>1015</v>
      </c>
      <c r="D119" s="321">
        <v>5951.2</v>
      </c>
      <c r="E119" s="321">
        <v>5605.2</v>
      </c>
      <c r="F119" s="249">
        <f t="shared" si="10"/>
        <v>4882.0344544708769</v>
      </c>
      <c r="G119" s="249">
        <f>IFERROR(ROUNDUP(F119*'Customer Base'!$J$5,2),0)</f>
        <v>78112.56</v>
      </c>
      <c r="H119" s="249">
        <f t="shared" si="11"/>
        <v>4598.1952420016405</v>
      </c>
      <c r="I119" s="249">
        <f>IFERROR(ROUNDUP(H119*'Customer Base'!$J$5,2),0)</f>
        <v>73571.12999999999</v>
      </c>
      <c r="J119" s="103" t="str">
        <f t="shared" si="22"/>
        <v/>
      </c>
      <c r="L119" s="103" t="str">
        <f t="shared" si="21"/>
        <v/>
      </c>
      <c r="N119" s="103">
        <v>116</v>
      </c>
      <c r="O119" s="103" t="str">
        <f>IF('Customer Base'!$I$15="MANUAL",IF(B119&lt;&gt;"",C119,""),IF('Customer Base'!$I$15="AUTOMATE",IF(A119&lt;&gt;"",C119,""),""))</f>
        <v/>
      </c>
      <c r="AM119" s="103">
        <v>50</v>
      </c>
      <c r="AN119" s="103" t="s">
        <v>2283</v>
      </c>
      <c r="AO119" s="103" t="str">
        <f>IF('Customer Base'!$I$15="MANUAL",IFERROR(AM119*B119,""),IF('Customer Base'!$I$15="AUTOMATE",IFERROR(AM119*A119,""),""))</f>
        <v/>
      </c>
      <c r="AP119" s="103">
        <v>1000</v>
      </c>
      <c r="AQ119" s="103" t="s">
        <v>2198</v>
      </c>
      <c r="AR119" s="103" t="s">
        <v>2209</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B120" s="270" t="s">
        <v>1</v>
      </c>
      <c r="C120" s="248" t="s">
        <v>1016</v>
      </c>
      <c r="D120" s="321">
        <v>8345.44</v>
      </c>
      <c r="E120" s="321">
        <v>7860.24</v>
      </c>
      <c r="F120" s="249">
        <f t="shared" si="10"/>
        <v>6846.1361771944212</v>
      </c>
      <c r="G120" s="249">
        <f>IFERROR(ROUNDUP(F120*'Customer Base'!$J$5,2),0)</f>
        <v>109538.18</v>
      </c>
      <c r="H120" s="249">
        <f t="shared" si="11"/>
        <v>6448.1050041017224</v>
      </c>
      <c r="I120" s="249">
        <f>IFERROR(ROUNDUP(H120*'Customer Base'!$J$5,2),0)</f>
        <v>103169.68999999999</v>
      </c>
      <c r="J120" s="103" t="str">
        <f t="shared" si="22"/>
        <v/>
      </c>
      <c r="L120" s="103" t="str">
        <f t="shared" si="21"/>
        <v/>
      </c>
      <c r="N120" s="103">
        <v>117</v>
      </c>
      <c r="O120" s="103" t="str">
        <f>IF('Customer Base'!$I$15="MANUAL",IF(B120&lt;&gt;"",C120,""),IF('Customer Base'!$I$15="AUTOMATE",IF(A120&lt;&gt;"",C120,""),""))</f>
        <v/>
      </c>
      <c r="AM120" s="103">
        <v>100</v>
      </c>
      <c r="AN120" s="103" t="s">
        <v>2284</v>
      </c>
      <c r="AO120" s="103" t="str">
        <f>IF('Customer Base'!$I$15="MANUAL",IFERROR(AM120*B120,""),IF('Customer Base'!$I$15="AUTOMATE",IFERROR(AM120*A120,""),""))</f>
        <v/>
      </c>
      <c r="AP120" s="103">
        <v>1000</v>
      </c>
      <c r="AQ120" s="103" t="s">
        <v>2198</v>
      </c>
      <c r="AR120" s="103" t="s">
        <v>2209</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1483</v>
      </c>
      <c r="D122" s="321">
        <v>2038.2</v>
      </c>
      <c r="E122" s="321">
        <v>1919.7</v>
      </c>
      <c r="F122" s="249">
        <f t="shared" ref="F122:F133" si="23">$D122/1.219</f>
        <v>1672.0262510254306</v>
      </c>
      <c r="G122" s="249">
        <f>IFERROR(ROUNDUP(F122*'Customer Base'!$J$5,2),0)</f>
        <v>26752.429999999997</v>
      </c>
      <c r="H122" s="249">
        <f t="shared" ref="H122:H133" si="24">$E122/1.219</f>
        <v>1574.8154224774405</v>
      </c>
      <c r="I122" s="249">
        <f>IFERROR(ROUNDUP(H122*'Customer Base'!$J$5,2),0)</f>
        <v>25197.05</v>
      </c>
      <c r="J122" s="103" t="str">
        <f t="shared" si="22"/>
        <v/>
      </c>
      <c r="L122" s="103" t="str">
        <f t="shared" si="21"/>
        <v/>
      </c>
      <c r="N122" s="103">
        <v>119</v>
      </c>
      <c r="O122" s="103" t="str">
        <f>IF('Customer Base'!$I$15="MANUAL",IF(B122&lt;&gt;"",C122,""),IF('Customer Base'!$I$15="AUTOMATE",IF(A122&lt;&gt;"",C122,""),""))</f>
        <v/>
      </c>
      <c r="AM122" s="103">
        <v>3</v>
      </c>
      <c r="AN122" s="103" t="s">
        <v>2285</v>
      </c>
      <c r="AO122" s="103">
        <f>IF('Customer Base'!$I$15="MANUAL",IFERROR(AM122*B122,""),IF('Customer Base'!$I$15="AUTOMATE",IFERROR(AM122*A122,""),""))</f>
        <v>0</v>
      </c>
      <c r="AP122" s="103">
        <v>1000</v>
      </c>
      <c r="AQ122" s="103">
        <v>48</v>
      </c>
      <c r="AR122" s="103" t="s">
        <v>2272</v>
      </c>
      <c r="AS122" s="103">
        <v>3</v>
      </c>
      <c r="AT122" s="103" t="str">
        <f t="shared" ref="AT122:AT133" si="25">IF(AND(AR122=$AY$1,$AZ$1=AN122),BA$1,"")</f>
        <v/>
      </c>
      <c r="AV122" s="103" t="str">
        <f t="shared" ref="AV122:AV133" si="26">IF(AU122&lt;&gt;"",AU122,AT122)</f>
        <v/>
      </c>
    </row>
    <row r="123" spans="1:48">
      <c r="C123" s="250" t="s">
        <v>1484</v>
      </c>
      <c r="D123" s="321">
        <v>2476.27</v>
      </c>
      <c r="E123" s="321">
        <v>2332.2979999999998</v>
      </c>
      <c r="F123" s="249">
        <f t="shared" si="23"/>
        <v>2031.3945857260048</v>
      </c>
      <c r="G123" s="249">
        <f>IFERROR(ROUNDUP(F123*'Customer Base'!$J$5,2),0)</f>
        <v>32502.32</v>
      </c>
      <c r="H123" s="249">
        <f t="shared" si="24"/>
        <v>1913.2879409351924</v>
      </c>
      <c r="I123" s="249">
        <f>IFERROR(ROUNDUP(H123*'Customer Base'!$J$5,2),0)</f>
        <v>30612.609999999997</v>
      </c>
      <c r="J123" s="103" t="str">
        <f t="shared" si="22"/>
        <v/>
      </c>
      <c r="L123" s="103" t="str">
        <f t="shared" si="21"/>
        <v/>
      </c>
      <c r="N123" s="103">
        <v>120</v>
      </c>
      <c r="O123" s="103" t="str">
        <f>IF('Customer Base'!$I$15="MANUAL",IF(B123&lt;&gt;"",C123,""),IF('Customer Base'!$I$15="AUTOMATE",IF(A123&lt;&gt;"",C123,""),""))</f>
        <v/>
      </c>
      <c r="AM123" s="103">
        <v>5</v>
      </c>
      <c r="AN123" s="103" t="s">
        <v>2286</v>
      </c>
      <c r="AO123" s="103">
        <f>IF('Customer Base'!$I$15="MANUAL",IFERROR(AM123*B123,""),IF('Customer Base'!$I$15="AUTOMATE",IFERROR(AM123*A123,""),""))</f>
        <v>0</v>
      </c>
      <c r="AP123" s="103">
        <v>1000</v>
      </c>
      <c r="AQ123" s="103">
        <v>48</v>
      </c>
      <c r="AR123" s="103" t="s">
        <v>2272</v>
      </c>
      <c r="AS123" s="103">
        <v>3</v>
      </c>
      <c r="AT123" s="103" t="str">
        <f t="shared" si="25"/>
        <v/>
      </c>
      <c r="AV123" s="103" t="str">
        <f t="shared" si="26"/>
        <v/>
      </c>
    </row>
    <row r="124" spans="1:48">
      <c r="C124" s="250" t="s">
        <v>1485</v>
      </c>
      <c r="D124" s="321">
        <v>2748.56</v>
      </c>
      <c r="E124" s="321">
        <v>2588.7600000000002</v>
      </c>
      <c r="F124" s="249">
        <f t="shared" si="23"/>
        <v>2254.7662018047577</v>
      </c>
      <c r="G124" s="249">
        <f>IFERROR(ROUNDUP(F124*'Customer Base'!$J$5,2),0)</f>
        <v>36076.26</v>
      </c>
      <c r="H124" s="249">
        <f t="shared" si="24"/>
        <v>2123.6751435602955</v>
      </c>
      <c r="I124" s="249">
        <f>IFERROR(ROUNDUP(H124*'Customer Base'!$J$5,2),0)</f>
        <v>33978.810000000005</v>
      </c>
      <c r="J124" s="103" t="str">
        <f t="shared" si="22"/>
        <v/>
      </c>
      <c r="L124" s="103" t="str">
        <f t="shared" si="21"/>
        <v/>
      </c>
      <c r="N124" s="103">
        <v>121</v>
      </c>
      <c r="O124" s="103" t="str">
        <f>IF('Customer Base'!$I$15="MANUAL",IF(B124&lt;&gt;"",C124,""),IF('Customer Base'!$I$15="AUTOMATE",IF(A124&lt;&gt;"",C124,""),""))</f>
        <v/>
      </c>
      <c r="AM124" s="103">
        <v>6</v>
      </c>
      <c r="AN124" s="103" t="s">
        <v>2287</v>
      </c>
      <c r="AO124" s="103">
        <f>IF('Customer Base'!$I$15="MANUAL",IFERROR(AM124*B124,""),IF('Customer Base'!$I$15="AUTOMATE",IFERROR(AM124*A124,""),""))</f>
        <v>0</v>
      </c>
      <c r="AP124" s="103">
        <v>1000</v>
      </c>
      <c r="AQ124" s="103">
        <v>48</v>
      </c>
      <c r="AR124" s="103" t="s">
        <v>2272</v>
      </c>
      <c r="AS124" s="103">
        <v>3</v>
      </c>
      <c r="AT124" s="103" t="str">
        <f t="shared" si="25"/>
        <v/>
      </c>
      <c r="AV124" s="103" t="str">
        <f t="shared" si="26"/>
        <v/>
      </c>
    </row>
    <row r="125" spans="1:48">
      <c r="C125" s="250" t="s">
        <v>1486</v>
      </c>
      <c r="D125" s="321">
        <v>2337.48</v>
      </c>
      <c r="E125" s="321">
        <v>2201.58</v>
      </c>
      <c r="F125" s="249">
        <f t="shared" si="23"/>
        <v>1917.5389663658736</v>
      </c>
      <c r="G125" s="249">
        <f>IFERROR(ROUNDUP(F125*'Customer Base'!$J$5,2),0)</f>
        <v>30680.629999999997</v>
      </c>
      <c r="H125" s="249">
        <f t="shared" si="24"/>
        <v>1806.0541427399505</v>
      </c>
      <c r="I125" s="249">
        <f>IFERROR(ROUNDUP(H125*'Customer Base'!$J$5,2),0)</f>
        <v>28896.87</v>
      </c>
      <c r="J125" s="103" t="str">
        <f t="shared" si="22"/>
        <v/>
      </c>
      <c r="L125" s="103" t="str">
        <f t="shared" si="21"/>
        <v/>
      </c>
      <c r="N125" s="103">
        <v>122</v>
      </c>
      <c r="O125" s="103" t="str">
        <f>IF('Customer Base'!$I$15="MANUAL",IF(B125&lt;&gt;"",C125,""),IF('Customer Base'!$I$15="AUTOMATE",IF(A125&lt;&gt;"",C125,""),""))</f>
        <v/>
      </c>
      <c r="AM125" s="103">
        <v>3</v>
      </c>
      <c r="AN125" s="103" t="s">
        <v>2285</v>
      </c>
      <c r="AO125" s="103">
        <f>IF('Customer Base'!$I$15="MANUAL",IFERROR(AM125*B125,""),IF('Customer Base'!$I$15="AUTOMATE",IFERROR(AM125*A125,""),""))</f>
        <v>0</v>
      </c>
      <c r="AP125" s="103">
        <v>1000</v>
      </c>
      <c r="AQ125" s="103">
        <v>48</v>
      </c>
      <c r="AR125" s="103" t="s">
        <v>2273</v>
      </c>
      <c r="AS125" s="103">
        <v>3</v>
      </c>
      <c r="AT125" s="103" t="str">
        <f t="shared" si="25"/>
        <v/>
      </c>
      <c r="AV125" s="103" t="str">
        <f t="shared" si="26"/>
        <v/>
      </c>
    </row>
    <row r="126" spans="1:48">
      <c r="C126" s="250" t="s">
        <v>1487</v>
      </c>
      <c r="D126" s="321">
        <v>2494</v>
      </c>
      <c r="E126" s="321">
        <v>2349</v>
      </c>
      <c r="F126" s="249">
        <f t="shared" si="23"/>
        <v>2045.9392945036914</v>
      </c>
      <c r="G126" s="249">
        <f>IFERROR(ROUNDUP(F126*'Customer Base'!$J$5,2),0)</f>
        <v>32735.03</v>
      </c>
      <c r="H126" s="249">
        <f t="shared" si="24"/>
        <v>1926.9893355209188</v>
      </c>
      <c r="I126" s="249">
        <f>IFERROR(ROUNDUP(H126*'Customer Base'!$J$5,2),0)</f>
        <v>30831.829999999998</v>
      </c>
      <c r="J126" s="103" t="str">
        <f t="shared" si="22"/>
        <v/>
      </c>
      <c r="L126" s="103" t="str">
        <f t="shared" si="21"/>
        <v/>
      </c>
      <c r="N126" s="103">
        <v>123</v>
      </c>
      <c r="O126" s="103" t="str">
        <f>IF('Customer Base'!$I$15="MANUAL",IF(B126&lt;&gt;"",C126,""),IF('Customer Base'!$I$15="AUTOMATE",IF(A126&lt;&gt;"",C126,""),""))</f>
        <v/>
      </c>
      <c r="AM126" s="103">
        <v>4</v>
      </c>
      <c r="AN126" s="103" t="s">
        <v>2288</v>
      </c>
      <c r="AO126" s="103">
        <f>IF('Customer Base'!$I$15="MANUAL",IFERROR(AM126*B126,""),IF('Customer Base'!$I$15="AUTOMATE",IFERROR(AM126*A126,""),""))</f>
        <v>0</v>
      </c>
      <c r="AP126" s="103">
        <v>1000</v>
      </c>
      <c r="AQ126" s="103">
        <v>48</v>
      </c>
      <c r="AR126" s="103" t="s">
        <v>2273</v>
      </c>
      <c r="AS126" s="103">
        <v>3</v>
      </c>
      <c r="AT126" s="103" t="str">
        <f t="shared" si="25"/>
        <v/>
      </c>
      <c r="AV126" s="103" t="str">
        <f t="shared" si="26"/>
        <v/>
      </c>
    </row>
    <row r="127" spans="1:48">
      <c r="C127" s="250" t="s">
        <v>1488</v>
      </c>
      <c r="D127" s="321">
        <v>2624.72</v>
      </c>
      <c r="E127" s="321">
        <v>2472.12</v>
      </c>
      <c r="F127" s="249">
        <f t="shared" si="23"/>
        <v>2153.1747333880226</v>
      </c>
      <c r="G127" s="249">
        <f>IFERROR(ROUNDUP(F127*'Customer Base'!$J$5,2),0)</f>
        <v>34450.800000000003</v>
      </c>
      <c r="H127" s="249">
        <f t="shared" si="24"/>
        <v>2027.9901558654633</v>
      </c>
      <c r="I127" s="249">
        <f>IFERROR(ROUNDUP(H127*'Customer Base'!$J$5,2),0)</f>
        <v>32447.85</v>
      </c>
      <c r="J127" s="103" t="str">
        <f t="shared" si="22"/>
        <v/>
      </c>
      <c r="L127" s="103" t="str">
        <f t="shared" si="21"/>
        <v/>
      </c>
      <c r="N127" s="103">
        <v>124</v>
      </c>
      <c r="O127" s="103" t="str">
        <f>IF('Customer Base'!$I$15="MANUAL",IF(B127&lt;&gt;"",C127,""),IF('Customer Base'!$I$15="AUTOMATE",IF(A127&lt;&gt;"",C127,""),""))</f>
        <v/>
      </c>
      <c r="AM127" s="103">
        <v>5</v>
      </c>
      <c r="AN127" s="103" t="s">
        <v>2286</v>
      </c>
      <c r="AO127" s="103">
        <f>IF('Customer Base'!$I$15="MANUAL",IFERROR(AM127*B127,""),IF('Customer Base'!$I$15="AUTOMATE",IFERROR(AM127*A127,""),""))</f>
        <v>0</v>
      </c>
      <c r="AP127" s="103">
        <v>1000</v>
      </c>
      <c r="AQ127" s="103">
        <v>48</v>
      </c>
      <c r="AR127" s="103" t="s">
        <v>2273</v>
      </c>
      <c r="AS127" s="103">
        <v>3</v>
      </c>
      <c r="AT127" s="103" t="str">
        <f t="shared" si="25"/>
        <v/>
      </c>
      <c r="AV127" s="103" t="str">
        <f t="shared" si="26"/>
        <v/>
      </c>
    </row>
    <row r="128" spans="1:48">
      <c r="C128" s="250" t="s">
        <v>1489</v>
      </c>
      <c r="D128" s="321">
        <v>3116.64</v>
      </c>
      <c r="E128" s="321">
        <v>2935.44</v>
      </c>
      <c r="F128" s="249">
        <f t="shared" si="23"/>
        <v>2556.7186218211646</v>
      </c>
      <c r="G128" s="249">
        <f>IFERROR(ROUNDUP(F128*'Customer Base'!$J$5,2),0)</f>
        <v>40907.5</v>
      </c>
      <c r="H128" s="249">
        <f t="shared" si="24"/>
        <v>2408.0721903199342</v>
      </c>
      <c r="I128" s="249">
        <f>IFERROR(ROUNDUP(H128*'Customer Base'!$J$5,2),0)</f>
        <v>38529.160000000003</v>
      </c>
      <c r="J128" s="103" t="str">
        <f t="shared" si="22"/>
        <v/>
      </c>
      <c r="L128" s="103" t="str">
        <f t="shared" si="21"/>
        <v/>
      </c>
      <c r="N128" s="103">
        <v>125</v>
      </c>
      <c r="O128" s="103" t="str">
        <f>IF('Customer Base'!$I$15="MANUAL",IF(B128&lt;&gt;"",C128,""),IF('Customer Base'!$I$15="AUTOMATE",IF(A128&lt;&gt;"",C128,""),""))</f>
        <v/>
      </c>
      <c r="AM128" s="103">
        <v>6</v>
      </c>
      <c r="AN128" s="103" t="s">
        <v>2287</v>
      </c>
      <c r="AO128" s="103">
        <f>IF('Customer Base'!$I$15="MANUAL",IFERROR(AM128*B128,""),IF('Customer Base'!$I$15="AUTOMATE",IFERROR(AM128*A128,""),""))</f>
        <v>0</v>
      </c>
      <c r="AP128" s="103">
        <v>1000</v>
      </c>
      <c r="AQ128" s="103">
        <v>48</v>
      </c>
      <c r="AR128" s="103" t="s">
        <v>2273</v>
      </c>
      <c r="AS128" s="103">
        <v>3</v>
      </c>
      <c r="AT128" s="103" t="str">
        <f t="shared" si="25"/>
        <v/>
      </c>
      <c r="AV128" s="103" t="str">
        <f t="shared" si="26"/>
        <v/>
      </c>
    </row>
    <row r="129" spans="1:48">
      <c r="C129" s="250" t="s">
        <v>1490</v>
      </c>
      <c r="D129" s="321">
        <v>3598.24</v>
      </c>
      <c r="E129" s="321">
        <v>3389.04</v>
      </c>
      <c r="F129" s="249">
        <f t="shared" si="23"/>
        <v>2951.7965545529119</v>
      </c>
      <c r="G129" s="249">
        <f>IFERROR(ROUNDUP(F129*'Customer Base'!$J$5,2),0)</f>
        <v>47228.75</v>
      </c>
      <c r="H129" s="249">
        <f t="shared" si="24"/>
        <v>2780.1804757998357</v>
      </c>
      <c r="I129" s="249">
        <f>IFERROR(ROUNDUP(H129*'Customer Base'!$J$5,2),0)</f>
        <v>44482.89</v>
      </c>
      <c r="J129" s="103" t="str">
        <f t="shared" si="22"/>
        <v/>
      </c>
      <c r="L129" s="103" t="str">
        <f t="shared" si="21"/>
        <v/>
      </c>
      <c r="N129" s="103">
        <v>126</v>
      </c>
      <c r="O129" s="103" t="str">
        <f>IF('Customer Base'!$I$15="MANUAL",IF(B129&lt;&gt;"",C129,""),IF('Customer Base'!$I$15="AUTOMATE",IF(A129&lt;&gt;"",C129,""),""))</f>
        <v/>
      </c>
      <c r="AM129" s="103">
        <v>8</v>
      </c>
      <c r="AN129" s="103" t="s">
        <v>2289</v>
      </c>
      <c r="AO129" s="103">
        <f>IF('Customer Base'!$I$15="MANUAL",IFERROR(AM129*B129,""),IF('Customer Base'!$I$15="AUTOMATE",IFERROR(AM129*A129,""),""))</f>
        <v>0</v>
      </c>
      <c r="AP129" s="103">
        <v>1000</v>
      </c>
      <c r="AQ129" s="103">
        <v>48</v>
      </c>
      <c r="AR129" s="103" t="s">
        <v>2273</v>
      </c>
      <c r="AS129" s="103">
        <v>3</v>
      </c>
      <c r="AT129" s="103" t="str">
        <f t="shared" si="25"/>
        <v/>
      </c>
      <c r="AV129" s="103" t="str">
        <f t="shared" si="26"/>
        <v/>
      </c>
    </row>
    <row r="130" spans="1:48">
      <c r="C130" s="250" t="s">
        <v>1491</v>
      </c>
      <c r="D130" s="321">
        <v>3758.2</v>
      </c>
      <c r="E130" s="321">
        <v>3539.38</v>
      </c>
      <c r="F130" s="249">
        <f t="shared" si="23"/>
        <v>3083.018867924528</v>
      </c>
      <c r="G130" s="249">
        <f>IFERROR(ROUNDUP(F130*'Customer Base'!$J$5,2),0)</f>
        <v>49328.310000000005</v>
      </c>
      <c r="H130" s="249">
        <f t="shared" si="24"/>
        <v>2903.5110746513533</v>
      </c>
      <c r="I130" s="249">
        <f>IFERROR(ROUNDUP(H130*'Customer Base'!$J$5,2),0)</f>
        <v>46456.18</v>
      </c>
      <c r="L130" s="103" t="str">
        <f t="shared" si="21"/>
        <v/>
      </c>
      <c r="N130" s="103">
        <v>127</v>
      </c>
      <c r="O130" s="103" t="str">
        <f>IF('Customer Base'!$I$15="MANUAL",IF(B130&lt;&gt;"",C130,""),IF('Customer Base'!$I$15="AUTOMATE",IF(A130&lt;&gt;"",C130,""),""))</f>
        <v/>
      </c>
      <c r="AM130" s="103">
        <v>10</v>
      </c>
      <c r="AN130" s="103" t="s">
        <v>2290</v>
      </c>
      <c r="AO130" s="103">
        <f>IF('Customer Base'!$I$15="MANUAL",IFERROR(AM130*B130,""),IF('Customer Base'!$I$15="AUTOMATE",IFERROR(AM130*A130,""),""))</f>
        <v>0</v>
      </c>
      <c r="AP130" s="103">
        <v>1000</v>
      </c>
      <c r="AQ130" s="103">
        <v>48</v>
      </c>
      <c r="AR130" s="103" t="s">
        <v>2273</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1470</v>
      </c>
      <c r="D132" s="321">
        <v>350</v>
      </c>
      <c r="E132" s="321">
        <v>350</v>
      </c>
      <c r="F132" s="249">
        <f t="shared" si="23"/>
        <v>287.12059064807215</v>
      </c>
      <c r="G132" s="249">
        <f>IFERROR(ROUNDUP(F132*'Customer Base'!$J$5,2),0)</f>
        <v>4593.93</v>
      </c>
      <c r="H132" s="249">
        <f t="shared" si="24"/>
        <v>287.12059064807215</v>
      </c>
      <c r="I132" s="249">
        <f>IFERROR(ROUNDUP(H132*'Customer Base'!$J$5,2),0)</f>
        <v>4593.93</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t="str">
        <f>IFERROR(IF(OR(ROUNDUP(SUM(A103:A118)/6,0)=0),"",ROUNDUP(SUM(A103:A118)/6,0)),"")</f>
        <v/>
      </c>
      <c r="B134" s="270" t="s">
        <v>1</v>
      </c>
      <c r="C134" s="248" t="s">
        <v>983</v>
      </c>
      <c r="D134" s="321">
        <v>329.1</v>
      </c>
      <c r="E134" s="321">
        <v>309.971</v>
      </c>
      <c r="F134" s="249">
        <f t="shared" si="10"/>
        <v>269.97538966365875</v>
      </c>
      <c r="G134" s="249">
        <f>IFERROR(ROUNDUP(F134*'Customer Base'!$J$5,2),0)</f>
        <v>4319.6100000000006</v>
      </c>
      <c r="H134" s="249">
        <f t="shared" si="11"/>
        <v>254.28301886792451</v>
      </c>
      <c r="I134" s="249">
        <f>IFERROR(ROUNDUP(H134*'Customer Base'!$J$5,2),0)</f>
        <v>4068.53</v>
      </c>
      <c r="J134" s="103" t="str">
        <f>IF(D134&lt;&gt;"",IF(D134&lt;E134,"lkdfjk",""),"")</f>
        <v/>
      </c>
      <c r="L134" s="103" t="str">
        <f t="shared" ref="L134:L165" si="27">IF(H134&gt;F134,"lkkajdfkj","")</f>
        <v/>
      </c>
      <c r="N134" s="103">
        <v>131</v>
      </c>
      <c r="O134" s="103" t="str">
        <f>IF('Customer Base'!$I$15="MANUAL",IF(B134&lt;&gt;"",C134,""),IF('Customer Base'!$I$15="AUTOMATE",IF(A134&lt;&gt;"",C134,""),""))</f>
        <v/>
      </c>
      <c r="AO134" s="103" t="str">
        <f>IF('Customer Base'!$I$15="MANUAL",IFERROR(AM134*B134,""),IF('Customer Base'!$I$15="AUTOMATE",IFERROR(AM134*A134,""),""))</f>
        <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B136" s="270" t="s">
        <v>1</v>
      </c>
      <c r="C136" s="248" t="s">
        <v>2724</v>
      </c>
      <c r="D136" s="321">
        <v>306.56</v>
      </c>
      <c r="E136" s="321">
        <v>288.733</v>
      </c>
      <c r="F136" s="249">
        <f t="shared" si="10"/>
        <v>251.48482362592287</v>
      </c>
      <c r="G136" s="249">
        <f>IFERROR(ROUNDUP(F136*'Customer Base'!$J$5,2),0)</f>
        <v>4023.76</v>
      </c>
      <c r="H136" s="249">
        <f t="shared" si="11"/>
        <v>236.86054142739948</v>
      </c>
      <c r="I136" s="249">
        <f>IFERROR(ROUNDUP(H136*'Customer Base'!$J$5,2),0)</f>
        <v>3789.7700000000004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2725</v>
      </c>
      <c r="D137" s="321">
        <v>306.56</v>
      </c>
      <c r="E137" s="321">
        <v>288.73</v>
      </c>
      <c r="F137" s="249">
        <f t="shared" si="10"/>
        <v>251.48482362592287</v>
      </c>
      <c r="G137" s="249">
        <f>IFERROR(ROUNDUP(F137*'Customer Base'!$J$5,2),0)</f>
        <v>4023.76</v>
      </c>
      <c r="H137" s="249">
        <f t="shared" si="11"/>
        <v>236.85808039376539</v>
      </c>
      <c r="I137" s="249">
        <f>IFERROR(ROUNDUP(H137*'Customer Base'!$J$5,2),0)</f>
        <v>3789.73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2722</v>
      </c>
      <c r="D138" s="321">
        <v>306.56</v>
      </c>
      <c r="E138" s="321">
        <v>288.73</v>
      </c>
      <c r="F138" s="249">
        <f t="shared" si="10"/>
        <v>251.48482362592287</v>
      </c>
      <c r="G138" s="249">
        <f>IFERROR(ROUNDUP(F138*'Customer Base'!$J$5,2),0)</f>
        <v>4023.76</v>
      </c>
      <c r="H138" s="249">
        <f t="shared" si="11"/>
        <v>236.85808039376539</v>
      </c>
      <c r="I138" s="249">
        <f>IFERROR(ROUNDUP(H138*'Customer Base'!$J$5,2),0)</f>
        <v>3789.73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4023.76</v>
      </c>
      <c r="H139" s="249">
        <f t="shared" si="11"/>
        <v>236.86054142739948</v>
      </c>
      <c r="I139" s="249">
        <f>IFERROR(ROUNDUP(H139*'Customer Base'!$J$5,2),0)</f>
        <v>3789.7700000000004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2723</v>
      </c>
      <c r="D140" s="321">
        <v>125.11</v>
      </c>
      <c r="E140" s="321">
        <v>117.839</v>
      </c>
      <c r="F140" s="249">
        <f t="shared" si="10"/>
        <v>102.63330598851518</v>
      </c>
      <c r="G140" s="249">
        <f>IFERROR(ROUNDUP(F140*'Customer Base'!$J$5,2),0)</f>
        <v>1642.14</v>
      </c>
      <c r="H140" s="249">
        <f t="shared" si="11"/>
        <v>96.668580803937644</v>
      </c>
      <c r="I140" s="249">
        <f>IFERROR(ROUNDUP(H140*'Customer Base'!$J$5,2),0)</f>
        <v>1546.7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B141" s="270" t="s">
        <v>1</v>
      </c>
      <c r="C141" s="248" t="s">
        <v>1128</v>
      </c>
      <c r="D141" s="321">
        <v>125.11</v>
      </c>
      <c r="E141" s="321">
        <v>117.839</v>
      </c>
      <c r="F141" s="249">
        <f t="shared" si="10"/>
        <v>102.63330598851518</v>
      </c>
      <c r="G141" s="249">
        <f>IFERROR(ROUNDUP(F141*'Customer Base'!$J$5,2),0)</f>
        <v>1642.14</v>
      </c>
      <c r="H141" s="249">
        <f t="shared" si="11"/>
        <v>96.668580803937644</v>
      </c>
      <c r="I141" s="249">
        <f>IFERROR(ROUNDUP(H141*'Customer Base'!$J$5,2),0)</f>
        <v>1546.7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B143" s="270" t="s">
        <v>1</v>
      </c>
      <c r="C143" s="250" t="s">
        <v>1656</v>
      </c>
      <c r="D143" s="321">
        <v>122.54</v>
      </c>
      <c r="E143" s="321">
        <v>115.05200000000001</v>
      </c>
      <c r="F143" s="249">
        <f t="shared" si="10"/>
        <v>100.52502050861362</v>
      </c>
      <c r="G143" s="249">
        <f>IFERROR(ROUNDUP(F143*'Customer Base'!$J$5,2),0)</f>
        <v>1608.41</v>
      </c>
      <c r="H143" s="249">
        <f t="shared" si="11"/>
        <v>94.382280557834292</v>
      </c>
      <c r="I143" s="249">
        <f>IFERROR(ROUNDUP(H143*'Customer Base'!$J$5,2),0)</f>
        <v>1510.12</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B144" s="270" t="s">
        <v>1</v>
      </c>
      <c r="C144" s="250" t="s">
        <v>1657</v>
      </c>
      <c r="D144" s="321">
        <v>65</v>
      </c>
      <c r="E144" s="321">
        <v>65</v>
      </c>
      <c r="F144" s="249">
        <f t="shared" si="10"/>
        <v>53.322395406070548</v>
      </c>
      <c r="G144" s="249">
        <f>IFERROR(ROUNDUP(F144*'Customer Base'!$J$5,2),0)</f>
        <v>853.16</v>
      </c>
      <c r="H144" s="249">
        <f t="shared" si="11"/>
        <v>53.322395406070548</v>
      </c>
      <c r="I144" s="249">
        <f>IFERROR(ROUNDUP(H144*'Customer Base'!$J$5,2),0)</f>
        <v>853.16</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B145" s="270" t="s">
        <v>1</v>
      </c>
      <c r="C145" s="250" t="s">
        <v>1658</v>
      </c>
      <c r="D145" s="321">
        <v>122.54</v>
      </c>
      <c r="E145" s="321">
        <v>115.05200000000001</v>
      </c>
      <c r="F145" s="249">
        <f t="shared" si="10"/>
        <v>100.52502050861362</v>
      </c>
      <c r="G145" s="249">
        <f>IFERROR(ROUNDUP(F145*'Customer Base'!$J$5,2),0)</f>
        <v>1608.41</v>
      </c>
      <c r="H145" s="249">
        <f t="shared" si="11"/>
        <v>94.382280557834292</v>
      </c>
      <c r="I145" s="249">
        <f>IFERROR(ROUNDUP(H145*'Customer Base'!$J$5,2),0)</f>
        <v>1510.12</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B146" s="270" t="s">
        <v>1</v>
      </c>
      <c r="C146" s="250" t="s">
        <v>1659</v>
      </c>
      <c r="D146" s="321">
        <v>65</v>
      </c>
      <c r="E146" s="321">
        <v>65</v>
      </c>
      <c r="F146" s="249">
        <f t="shared" si="10"/>
        <v>53.322395406070548</v>
      </c>
      <c r="G146" s="249">
        <f>IFERROR(ROUNDUP(F146*'Customer Base'!$J$5,2),0)</f>
        <v>853.16</v>
      </c>
      <c r="H146" s="249">
        <f t="shared" si="11"/>
        <v>53.322395406070548</v>
      </c>
      <c r="I146" s="249">
        <f>IFERROR(ROUNDUP(H146*'Customer Base'!$J$5,2),0)</f>
        <v>853.16</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B147" s="270" t="s">
        <v>1</v>
      </c>
      <c r="C147" s="250" t="s">
        <v>1660</v>
      </c>
      <c r="D147" s="321">
        <v>122.54</v>
      </c>
      <c r="E147" s="321">
        <v>115.05200000000001</v>
      </c>
      <c r="F147" s="249">
        <f t="shared" si="10"/>
        <v>100.52502050861362</v>
      </c>
      <c r="G147" s="249">
        <f>IFERROR(ROUNDUP(F147*'Customer Base'!$J$5,2),0)</f>
        <v>1608.41</v>
      </c>
      <c r="H147" s="249">
        <f t="shared" si="11"/>
        <v>94.382280557834292</v>
      </c>
      <c r="I147" s="249">
        <f>IFERROR(ROUNDUP(H147*'Customer Base'!$J$5,2),0)</f>
        <v>1510.12</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B148" s="270" t="s">
        <v>1</v>
      </c>
      <c r="C148" s="250" t="s">
        <v>1661</v>
      </c>
      <c r="D148" s="321">
        <v>122.54</v>
      </c>
      <c r="E148" s="321">
        <v>115.05200000000001</v>
      </c>
      <c r="F148" s="249">
        <f t="shared" si="10"/>
        <v>100.52502050861362</v>
      </c>
      <c r="G148" s="249">
        <f>IFERROR(ROUNDUP(F148*'Customer Base'!$J$5,2),0)</f>
        <v>1608.41</v>
      </c>
      <c r="H148" s="249">
        <f t="shared" si="11"/>
        <v>94.382280557834292</v>
      </c>
      <c r="I148" s="249">
        <f>IFERROR(ROUNDUP(H148*'Customer Base'!$J$5,2),0)</f>
        <v>1510.12</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B149" s="270" t="s">
        <v>1</v>
      </c>
      <c r="C149" s="250" t="s">
        <v>2720</v>
      </c>
      <c r="D149" s="321">
        <v>122.54</v>
      </c>
      <c r="E149" s="321">
        <v>115.05</v>
      </c>
      <c r="F149" s="249">
        <f t="shared" si="10"/>
        <v>100.52502050861362</v>
      </c>
      <c r="G149" s="249">
        <f>IFERROR(ROUNDUP(F149*'Customer Base'!$J$5,2),0)</f>
        <v>1608.41</v>
      </c>
      <c r="H149" s="249">
        <f t="shared" si="11"/>
        <v>94.380639868744865</v>
      </c>
      <c r="I149" s="249">
        <f>IFERROR(ROUNDUP(H149*'Customer Base'!$J$5,2),0)</f>
        <v>1510.1</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B150" s="270" t="s">
        <v>1</v>
      </c>
      <c r="C150" s="250" t="s">
        <v>2721</v>
      </c>
      <c r="D150" s="321">
        <v>122.54</v>
      </c>
      <c r="E150" s="321">
        <v>115.05200000000001</v>
      </c>
      <c r="F150" s="249">
        <f t="shared" si="10"/>
        <v>100.52502050861362</v>
      </c>
      <c r="G150" s="249">
        <f>IFERROR(ROUNDUP(F150*'Customer Base'!$J$5,2),0)</f>
        <v>1608.41</v>
      </c>
      <c r="H150" s="249">
        <f t="shared" si="11"/>
        <v>94.382280557834292</v>
      </c>
      <c r="I150" s="249">
        <f>IFERROR(ROUNDUP(H150*'Customer Base'!$J$5,2),0)</f>
        <v>1510.12</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B151" s="270" t="s">
        <v>1</v>
      </c>
      <c r="C151" s="250" t="s">
        <v>1825</v>
      </c>
      <c r="D151" s="321">
        <v>220</v>
      </c>
      <c r="E151" s="321">
        <v>220</v>
      </c>
      <c r="F151" s="249">
        <f t="shared" si="10"/>
        <v>180.47579983593107</v>
      </c>
      <c r="G151" s="249">
        <f>IFERROR(ROUNDUP(F151*'Customer Base'!$J$5,2),0)</f>
        <v>2887.6200000000003</v>
      </c>
      <c r="H151" s="249">
        <f t="shared" si="11"/>
        <v>180.47579983593107</v>
      </c>
      <c r="I151" s="249">
        <f>IFERROR(ROUNDUP(H151*'Customer Base'!$J$5,2),0)</f>
        <v>2887.6200000000003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B152" s="270" t="s">
        <v>1</v>
      </c>
      <c r="C152" s="250" t="s">
        <v>2623</v>
      </c>
      <c r="D152" s="321">
        <v>270</v>
      </c>
      <c r="E152" s="321">
        <v>270</v>
      </c>
      <c r="F152" s="249">
        <f t="shared" si="10"/>
        <v>221.49302707136997</v>
      </c>
      <c r="G152" s="249">
        <f>IFERROR(ROUNDUP(F152*'Customer Base'!$J$5,2),0)</f>
        <v>3543.8900000000003</v>
      </c>
      <c r="H152" s="249">
        <f t="shared" si="11"/>
        <v>221.49302707136997</v>
      </c>
      <c r="I152" s="249">
        <f>IFERROR(ROUNDUP(H152*'Customer Base'!$J$5,2),0)</f>
        <v>3543.8900000000003</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B153" s="270" t="s">
        <v>1</v>
      </c>
      <c r="C153" s="250" t="s">
        <v>1662</v>
      </c>
      <c r="D153" s="321">
        <v>285</v>
      </c>
      <c r="E153" s="321">
        <v>285</v>
      </c>
      <c r="F153" s="249">
        <f t="shared" si="10"/>
        <v>233.79819524200161</v>
      </c>
      <c r="G153" s="249">
        <f>IFERROR(ROUNDUP(F153*'Customer Base'!$J$5,2),0)</f>
        <v>3740.78</v>
      </c>
      <c r="H153" s="249">
        <f t="shared" si="11"/>
        <v>233.79819524200161</v>
      </c>
      <c r="I153" s="249">
        <f>IFERROR(ROUNDUP(H153*'Customer Base'!$J$5,2),0)</f>
        <v>3740.78</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779.53</v>
      </c>
      <c r="H155" s="249">
        <f t="shared" si="11"/>
        <v>45.889253486464312</v>
      </c>
      <c r="I155" s="249">
        <f>IFERROR(ROUNDUP(H155*'Customer Base'!$J$5,2),0)</f>
        <v>734.23</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5919.6100000000006</v>
      </c>
      <c r="H156" s="249">
        <f t="shared" si="11"/>
        <v>348.46595570139453</v>
      </c>
      <c r="I156" s="249">
        <f>IFERROR(ROUNDUP(H156*'Customer Base'!$J$5,2),0)</f>
        <v>5575.46</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2441.88</v>
      </c>
      <c r="H157" s="249">
        <f t="shared" si="11"/>
        <v>143.7399507793273</v>
      </c>
      <c r="I157" s="249">
        <f>IFERROR(ROUNDUP(H157*'Customer Base'!$J$5,2),0)</f>
        <v>2299.84</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2466.42</v>
      </c>
      <c r="H158" s="249">
        <f t="shared" si="11"/>
        <v>145.18867924528303</v>
      </c>
      <c r="I158" s="249">
        <f>IFERROR(ROUNDUP(H158*'Customer Base'!$J$5,2),0)</f>
        <v>2323.0200000000004</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2500.94</v>
      </c>
      <c r="H159" s="249">
        <f t="shared" si="11"/>
        <v>147.22231337161608</v>
      </c>
      <c r="I159" s="249">
        <f>IFERROR(ROUNDUP(H159*'Customer Base'!$J$5,2),0)</f>
        <v>2355.5600000000004</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843.71</v>
      </c>
      <c r="H160" s="249">
        <f t="shared" si="11"/>
        <v>49.662838392124691</v>
      </c>
      <c r="I160" s="249">
        <f>IFERROR(ROUNDUP(H160*'Customer Base'!$J$5,2),0)</f>
        <v>794.61</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1884</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B163" s="270" t="s">
        <v>1</v>
      </c>
      <c r="C163" s="348" t="s">
        <v>1635</v>
      </c>
      <c r="D163" s="330">
        <v>1430</v>
      </c>
      <c r="E163" s="330">
        <v>1430</v>
      </c>
      <c r="F163" s="263">
        <f t="shared" si="10"/>
        <v>1173.0926989335519</v>
      </c>
      <c r="G163" s="263">
        <f>IFERROR(ROUNDUP(F163*'Customer Base'!$J$5,2),0)</f>
        <v>18769.489999999998</v>
      </c>
      <c r="H163" s="263">
        <f t="shared" si="11"/>
        <v>1173.0926989335519</v>
      </c>
      <c r="I163" s="263">
        <f>IFERROR(ROUNDUP(H163*'Customer Base'!$J$5,2),0)</f>
        <v>18769.489999999998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B164" s="270" t="s">
        <v>1</v>
      </c>
      <c r="C164" s="348" t="s">
        <v>1636</v>
      </c>
      <c r="D164" s="330">
        <v>1980</v>
      </c>
      <c r="E164" s="330">
        <v>1980</v>
      </c>
      <c r="F164" s="263">
        <f t="shared" si="10"/>
        <v>1624.2821985233797</v>
      </c>
      <c r="G164" s="263">
        <f>IFERROR(ROUNDUP(F164*'Customer Base'!$J$5,2),0)</f>
        <v>25988.519999999997</v>
      </c>
      <c r="H164" s="263">
        <f t="shared" si="11"/>
        <v>1624.2821985233797</v>
      </c>
      <c r="I164" s="263">
        <f>IFERROR(ROUNDUP(H164*'Customer Base'!$J$5,2),0)</f>
        <v>25988.519999999997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B165" s="270" t="s">
        <v>1</v>
      </c>
      <c r="C165" s="348" t="s">
        <v>1637</v>
      </c>
      <c r="D165" s="330">
        <v>3960</v>
      </c>
      <c r="E165" s="330">
        <v>3960</v>
      </c>
      <c r="F165" s="263">
        <f t="shared" si="10"/>
        <v>3248.5643970467595</v>
      </c>
      <c r="G165" s="263">
        <f>IFERROR(ROUNDUP(F165*'Customer Base'!$J$5,2),0)</f>
        <v>51977.04</v>
      </c>
      <c r="H165" s="263">
        <f t="shared" si="11"/>
        <v>3248.5643970467595</v>
      </c>
      <c r="I165" s="263">
        <f>IFERROR(ROUNDUP(H165*'Customer Base'!$J$5,2),0)</f>
        <v>51977.04</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B166" s="270" t="s">
        <v>1</v>
      </c>
      <c r="C166" s="348" t="s">
        <v>1634</v>
      </c>
      <c r="D166" s="330">
        <v>4180</v>
      </c>
      <c r="E166" s="330">
        <v>4180</v>
      </c>
      <c r="F166" s="263">
        <f t="shared" si="10"/>
        <v>3429.0401968826905</v>
      </c>
      <c r="G166" s="263">
        <f>IFERROR(ROUNDUP(F166*'Customer Base'!$J$5,2),0)</f>
        <v>54864.65</v>
      </c>
      <c r="H166" s="263">
        <f t="shared" si="11"/>
        <v>3429.0401968826905</v>
      </c>
      <c r="I166" s="263">
        <f>IFERROR(ROUNDUP(H166*'Customer Base'!$J$5,2),0)</f>
        <v>54864.65</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B167" s="270" t="s">
        <v>1</v>
      </c>
      <c r="C167" s="348" t="s">
        <v>1638</v>
      </c>
      <c r="D167" s="330">
        <v>5500</v>
      </c>
      <c r="E167" s="330">
        <v>5500</v>
      </c>
      <c r="F167" s="263">
        <f t="shared" si="10"/>
        <v>4511.8949958982766</v>
      </c>
      <c r="G167" s="263">
        <f>IFERROR(ROUNDUP(F167*'Customer Base'!$J$5,2),0)</f>
        <v>72190.319999999992</v>
      </c>
      <c r="H167" s="263">
        <f t="shared" si="11"/>
        <v>4511.8949958982766</v>
      </c>
      <c r="I167" s="263">
        <f>IFERROR(ROUNDUP(H167*'Customer Base'!$J$5,2),0)</f>
        <v>72190.319999999992</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Base'!J9&gt;300,'Customer Base'!J9&lt;=500)),1,"")</f>
        <v/>
      </c>
      <c r="B168" s="270" t="s">
        <v>1</v>
      </c>
      <c r="C168" s="348" t="s">
        <v>1639</v>
      </c>
      <c r="D168" s="330">
        <v>12100</v>
      </c>
      <c r="E168" s="330">
        <v>12100</v>
      </c>
      <c r="F168" s="263">
        <f t="shared" si="10"/>
        <v>9926.1689909762099</v>
      </c>
      <c r="G168" s="263">
        <f>IFERROR(ROUNDUP(F168*'Customer Base'!$J$5,2),0)</f>
        <v>158818.71000000002</v>
      </c>
      <c r="H168" s="263">
        <f t="shared" si="11"/>
        <v>9926.1689909762099</v>
      </c>
      <c r="I168" s="263">
        <f>IFERROR(ROUNDUP(H168*'Customer Base'!$J$5,2),0)</f>
        <v>158818.71000000002</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B169" s="270" t="s">
        <v>1</v>
      </c>
      <c r="C169" s="348" t="s">
        <v>1641</v>
      </c>
      <c r="D169" s="330">
        <v>20900</v>
      </c>
      <c r="E169" s="330">
        <v>20900</v>
      </c>
      <c r="F169" s="263">
        <f t="shared" si="10"/>
        <v>17145.200984413452</v>
      </c>
      <c r="G169" s="263">
        <f>IFERROR(ROUNDUP(F169*'Customer Base'!$J$5,2),0)</f>
        <v>274323.22000000003</v>
      </c>
      <c r="H169" s="263">
        <f t="shared" si="11"/>
        <v>17145.200984413452</v>
      </c>
      <c r="I169" s="263">
        <f>IFERROR(ROUNDUP(H169*'Customer Base'!$J$5,2),0)</f>
        <v>274323.22000000003</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B170" s="270" t="s">
        <v>1</v>
      </c>
      <c r="C170" s="348" t="s">
        <v>1640</v>
      </c>
      <c r="D170" s="330">
        <v>33000</v>
      </c>
      <c r="E170" s="330">
        <v>33000</v>
      </c>
      <c r="F170" s="263">
        <f t="shared" si="10"/>
        <v>27071.369975389662</v>
      </c>
      <c r="G170" s="263">
        <f>IFERROR(ROUNDUP(F170*'Customer Base'!$J$5,2),0)</f>
        <v>433141.92</v>
      </c>
      <c r="H170" s="263">
        <f t="shared" si="11"/>
        <v>27071.369975389662</v>
      </c>
      <c r="I170" s="263">
        <f>IFERROR(ROUNDUP(H170*'Customer Base'!$J$5,2),0)</f>
        <v>433141.92</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1642</v>
      </c>
      <c r="D171" s="330">
        <v>7700</v>
      </c>
      <c r="E171" s="330">
        <v>7700</v>
      </c>
      <c r="F171" s="263">
        <f t="shared" si="10"/>
        <v>6316.652994257588</v>
      </c>
      <c r="G171" s="263">
        <f>IFERROR(ROUNDUP(F171*'Customer Base'!$J$5,2),0)</f>
        <v>101066.45</v>
      </c>
      <c r="H171" s="263">
        <f t="shared" si="11"/>
        <v>6316.652994257588</v>
      </c>
      <c r="I171" s="263">
        <f>IFERROR(ROUNDUP(H171*'Customer Base'!$J$5,2),0)</f>
        <v>101066.45</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1643</v>
      </c>
      <c r="D172" s="330">
        <v>11000</v>
      </c>
      <c r="E172" s="330">
        <v>11000</v>
      </c>
      <c r="F172" s="263">
        <f t="shared" si="10"/>
        <v>9023.7899917965533</v>
      </c>
      <c r="G172" s="263">
        <f>IFERROR(ROUNDUP(F172*'Customer Base'!$J$5,2),0)</f>
        <v>144380.64000000001</v>
      </c>
      <c r="H172" s="263">
        <f t="shared" si="11"/>
        <v>9023.7899917965533</v>
      </c>
      <c r="I172" s="263">
        <f>IFERROR(ROUNDUP(H172*'Customer Base'!$J$5,2),0)</f>
        <v>144380.64000000001</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1644</v>
      </c>
      <c r="D173" s="330">
        <v>17600</v>
      </c>
      <c r="E173" s="330">
        <v>17600</v>
      </c>
      <c r="F173" s="263">
        <f t="shared" si="10"/>
        <v>14438.063986874486</v>
      </c>
      <c r="G173" s="263">
        <f>IFERROR(ROUNDUP(F173*'Customer Base'!$J$5,2),0)</f>
        <v>231009.03</v>
      </c>
      <c r="H173" s="263">
        <f t="shared" si="11"/>
        <v>14438.063986874486</v>
      </c>
      <c r="I173" s="263">
        <f>IFERROR(ROUNDUP(H173*'Customer Base'!$J$5,2),0)</f>
        <v>231009.03</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1645</v>
      </c>
      <c r="D174" s="330">
        <v>33000</v>
      </c>
      <c r="E174" s="330">
        <v>33000</v>
      </c>
      <c r="F174" s="263">
        <f t="shared" si="10"/>
        <v>27071.369975389662</v>
      </c>
      <c r="G174" s="263">
        <f>IFERROR(ROUNDUP(F174*'Customer Base'!$J$5,2),0)</f>
        <v>433141.92</v>
      </c>
      <c r="H174" s="263">
        <f t="shared" si="11"/>
        <v>27071.369975389662</v>
      </c>
      <c r="I174" s="263">
        <f>IFERROR(ROUNDUP(H174*'Customer Base'!$J$5,2),0)</f>
        <v>433141.92</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B176" s="270" t="s">
        <v>1</v>
      </c>
      <c r="C176" s="348" t="s">
        <v>1252</v>
      </c>
      <c r="D176" s="330">
        <v>130</v>
      </c>
      <c r="E176" s="330">
        <v>130</v>
      </c>
      <c r="F176" s="263">
        <f t="shared" si="10"/>
        <v>106.6447908121411</v>
      </c>
      <c r="G176" s="263">
        <f>IFERROR(ROUNDUP(F176*'Customer Base'!$J$5,2),0)</f>
        <v>1706.32</v>
      </c>
      <c r="H176" s="263">
        <f t="shared" si="11"/>
        <v>106.6447908121411</v>
      </c>
      <c r="I176" s="263">
        <f>IFERROR(ROUNDUP(H176*'Customer Base'!$J$5,2),0)</f>
        <v>1706.32</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B177" s="270" t="s">
        <v>1</v>
      </c>
      <c r="C177" s="348" t="s">
        <v>1168</v>
      </c>
      <c r="D177" s="330">
        <v>390</v>
      </c>
      <c r="E177" s="330">
        <v>390</v>
      </c>
      <c r="F177" s="263">
        <f t="shared" si="10"/>
        <v>319.9343724364233</v>
      </c>
      <c r="G177" s="263">
        <f>IFERROR(ROUNDUP(F177*'Customer Base'!$J$5,2),0)</f>
        <v>5118.95</v>
      </c>
      <c r="H177" s="263">
        <f t="shared" si="11"/>
        <v>319.9343724364233</v>
      </c>
      <c r="I177" s="263">
        <f>IFERROR(ROUNDUP(H177*'Customer Base'!$J$5,2),0)</f>
        <v>5118.95</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B178" s="270" t="s">
        <v>1</v>
      </c>
      <c r="C178" s="348" t="s">
        <v>1169</v>
      </c>
      <c r="D178" s="330">
        <v>429</v>
      </c>
      <c r="E178" s="330">
        <v>429</v>
      </c>
      <c r="F178" s="263">
        <f t="shared" si="10"/>
        <v>351.92780968006559</v>
      </c>
      <c r="G178" s="263">
        <f>IFERROR(ROUNDUP(F178*'Customer Base'!$J$5,2),0)</f>
        <v>5630.85</v>
      </c>
      <c r="H178" s="263">
        <f t="shared" si="11"/>
        <v>351.92780968006559</v>
      </c>
      <c r="I178" s="263">
        <f>IFERROR(ROUNDUP(H178*'Customer Base'!$J$5,2),0)</f>
        <v>5630.85</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B179" s="270" t="s">
        <v>1</v>
      </c>
      <c r="C179" s="348" t="s">
        <v>1170</v>
      </c>
      <c r="D179" s="330">
        <v>312</v>
      </c>
      <c r="E179" s="330">
        <v>312</v>
      </c>
      <c r="F179" s="263">
        <f t="shared" si="10"/>
        <v>255.94749794913861</v>
      </c>
      <c r="G179" s="263">
        <f>IFERROR(ROUNDUP(F179*'Customer Base'!$J$5,2),0)</f>
        <v>4095.1600000000003</v>
      </c>
      <c r="H179" s="263">
        <f t="shared" si="11"/>
        <v>255.94749794913861</v>
      </c>
      <c r="I179" s="263">
        <f>IFERROR(ROUNDUP(H179*'Customer Base'!$J$5,2),0)</f>
        <v>4095.1600000000003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1247</v>
      </c>
      <c r="D181" s="330">
        <v>380.96</v>
      </c>
      <c r="E181" s="330">
        <v>380.96</v>
      </c>
      <c r="F181" s="263">
        <f t="shared" si="10"/>
        <v>312.51845775225593</v>
      </c>
      <c r="G181" s="263">
        <f>IFERROR(ROUNDUP(F181*'Customer Base'!$J$5,2),0)</f>
        <v>5000.3</v>
      </c>
      <c r="H181" s="263">
        <f t="shared" si="11"/>
        <v>312.51845775225593</v>
      </c>
      <c r="I181" s="263">
        <f>IFERROR(ROUNDUP(H181*'Customer Base'!$J$5,2),0)</f>
        <v>5000.3</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1248</v>
      </c>
      <c r="D182" s="330">
        <v>465.74</v>
      </c>
      <c r="E182" s="330">
        <v>465.74</v>
      </c>
      <c r="F182" s="263">
        <f t="shared" si="10"/>
        <v>382.06726825266611</v>
      </c>
      <c r="G182" s="263">
        <f>IFERROR(ROUNDUP(F182*'Customer Base'!$J$5,2),0)</f>
        <v>6113.08</v>
      </c>
      <c r="H182" s="263">
        <f t="shared" si="11"/>
        <v>382.06726825266611</v>
      </c>
      <c r="I182" s="263">
        <f>IFERROR(ROUNDUP(H182*'Customer Base'!$J$5,2),0)</f>
        <v>6113.08</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1249</v>
      </c>
      <c r="D183" s="330">
        <v>613.86</v>
      </c>
      <c r="E183" s="330">
        <v>613.86</v>
      </c>
      <c r="F183" s="263">
        <f t="shared" si="10"/>
        <v>503.57670221493026</v>
      </c>
      <c r="G183" s="263">
        <f>IFERROR(ROUNDUP(F183*'Customer Base'!$J$5,2),0)</f>
        <v>8057.2300000000005</v>
      </c>
      <c r="H183" s="263">
        <f t="shared" si="11"/>
        <v>503.57670221493026</v>
      </c>
      <c r="I183" s="263">
        <f>IFERROR(ROUNDUP(H183*'Customer Base'!$J$5,2),0)</f>
        <v>8057.2300000000005</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1250</v>
      </c>
      <c r="D184" s="330">
        <v>836.1</v>
      </c>
      <c r="E184" s="330">
        <v>836.1</v>
      </c>
      <c r="F184" s="263">
        <f t="shared" ref="F184:F202" si="33">$D184/1.219</f>
        <v>685.89007383100898</v>
      </c>
      <c r="G184" s="263">
        <f>IFERROR(ROUNDUP(F184*'Customer Base'!$J$5,2),0)</f>
        <v>10974.25</v>
      </c>
      <c r="H184" s="263">
        <f t="shared" si="11"/>
        <v>685.89007383100898</v>
      </c>
      <c r="I184" s="263">
        <f>IFERROR(ROUNDUP(H184*'Customer Base'!$J$5,2),0)</f>
        <v>10974.25</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1251</v>
      </c>
      <c r="D185" s="330">
        <v>1270.02</v>
      </c>
      <c r="E185" s="330">
        <v>1270.02</v>
      </c>
      <c r="F185" s="263">
        <f t="shared" si="33"/>
        <v>1041.8539786710417</v>
      </c>
      <c r="G185" s="263">
        <f>IFERROR(ROUNDUP(F185*'Customer Base'!$J$5,2),0)</f>
        <v>16669.669999999998</v>
      </c>
      <c r="H185" s="263">
        <f t="shared" ref="H185:H202" si="34">$E185/1.219</f>
        <v>1041.8539786710417</v>
      </c>
      <c r="I185" s="263">
        <f>IFERROR(ROUNDUP(H185*'Customer Base'!$J$5,2),0)</f>
        <v>16669.669999999998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1828</v>
      </c>
      <c r="D186" s="330">
        <v>814</v>
      </c>
      <c r="E186" s="330">
        <v>814</v>
      </c>
      <c r="F186" s="263">
        <f t="shared" si="33"/>
        <v>667.76045939294499</v>
      </c>
      <c r="G186" s="263">
        <f>IFERROR(ROUNDUP(F186*'Customer Base'!$J$5,2),0)</f>
        <v>10684.17</v>
      </c>
      <c r="H186" s="263">
        <f t="shared" si="34"/>
        <v>667.76045939294499</v>
      </c>
      <c r="I186" s="263">
        <f>IFERROR(ROUNDUP(H186*'Customer Base'!$J$5,2),0)</f>
        <v>10684.17</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1830</v>
      </c>
      <c r="D187" s="330">
        <v>484</v>
      </c>
      <c r="E187" s="330">
        <v>484</v>
      </c>
      <c r="F187" s="263">
        <f t="shared" si="33"/>
        <v>397.04675963904839</v>
      </c>
      <c r="G187" s="263">
        <f>IFERROR(ROUNDUP(F187*'Customer Base'!$J$5,2),0)</f>
        <v>6352.75</v>
      </c>
      <c r="H187" s="263">
        <f t="shared" si="34"/>
        <v>397.04675963904839</v>
      </c>
      <c r="I187" s="263">
        <f>IFERROR(ROUNDUP(H187*'Customer Base'!$J$5,2),0)</f>
        <v>6352.75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1829</v>
      </c>
      <c r="D188" s="330">
        <v>847</v>
      </c>
      <c r="E188" s="330">
        <v>847</v>
      </c>
      <c r="F188" s="263">
        <f t="shared" si="33"/>
        <v>694.83182936833464</v>
      </c>
      <c r="G188" s="263">
        <f>IFERROR(ROUNDUP(F188*'Customer Base'!$J$5,2),0)</f>
        <v>11117.31</v>
      </c>
      <c r="H188" s="263">
        <f t="shared" si="34"/>
        <v>694.83182936833464</v>
      </c>
      <c r="I188" s="263">
        <f>IFERROR(ROUNDUP(H188*'Customer Base'!$J$5,2),0)</f>
        <v>11117.31</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1831</v>
      </c>
      <c r="D189" s="330">
        <v>198</v>
      </c>
      <c r="E189" s="330">
        <v>198</v>
      </c>
      <c r="F189" s="263">
        <f t="shared" si="33"/>
        <v>162.42821985233797</v>
      </c>
      <c r="G189" s="263">
        <f>IFERROR(ROUNDUP(F189*'Customer Base'!$J$5,2),0)</f>
        <v>2598.86</v>
      </c>
      <c r="H189" s="263">
        <f t="shared" si="34"/>
        <v>162.42821985233797</v>
      </c>
      <c r="I189" s="263">
        <f>IFERROR(ROUNDUP(H189*'Customer Base'!$J$5,2),0)</f>
        <v>2598.86</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1832</v>
      </c>
      <c r="D190" s="330">
        <v>770</v>
      </c>
      <c r="E190" s="330">
        <v>770</v>
      </c>
      <c r="F190" s="263">
        <f t="shared" si="33"/>
        <v>631.6652994257588</v>
      </c>
      <c r="G190" s="263">
        <f>IFERROR(ROUNDUP(F190*'Customer Base'!$J$5,2),0)</f>
        <v>10106.65</v>
      </c>
      <c r="H190" s="263">
        <f t="shared" si="34"/>
        <v>631.6652994257588</v>
      </c>
      <c r="I190" s="263">
        <f>IFERROR(ROUNDUP(H190*'Customer Base'!$J$5,2),0)</f>
        <v>10106.65</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1833</v>
      </c>
      <c r="D191" s="330">
        <v>66</v>
      </c>
      <c r="E191" s="330">
        <v>66</v>
      </c>
      <c r="F191" s="263">
        <f t="shared" si="33"/>
        <v>54.142739950779323</v>
      </c>
      <c r="G191" s="263">
        <f>IFERROR(ROUNDUP(F191*'Customer Base'!$J$5,2),0)</f>
        <v>866.29</v>
      </c>
      <c r="H191" s="263">
        <f t="shared" si="34"/>
        <v>54.142739950779323</v>
      </c>
      <c r="I191" s="263">
        <f>IFERROR(ROUNDUP(H191*'Customer Base'!$J$5,2),0)</f>
        <v>866.29</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1834</v>
      </c>
      <c r="D192" s="330">
        <v>66</v>
      </c>
      <c r="E192" s="330">
        <v>66</v>
      </c>
      <c r="F192" s="263">
        <f t="shared" si="33"/>
        <v>54.142739950779323</v>
      </c>
      <c r="G192" s="263">
        <f>IFERROR(ROUNDUP(F192*'Customer Base'!$J$5,2),0)</f>
        <v>866.29</v>
      </c>
      <c r="H192" s="263">
        <f t="shared" si="34"/>
        <v>54.142739950779323</v>
      </c>
      <c r="I192" s="263">
        <f>IFERROR(ROUNDUP(H192*'Customer Base'!$J$5,2),0)</f>
        <v>866.29</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1835</v>
      </c>
      <c r="D193" s="330">
        <v>11000</v>
      </c>
      <c r="E193" s="330">
        <v>11000</v>
      </c>
      <c r="F193" s="263">
        <f t="shared" si="33"/>
        <v>9023.7899917965533</v>
      </c>
      <c r="G193" s="263">
        <f>IFERROR(ROUNDUP(F193*'Customer Base'!$J$5,2),0)</f>
        <v>144380.64000000001</v>
      </c>
      <c r="H193" s="263">
        <f t="shared" si="34"/>
        <v>9023.7899917965533</v>
      </c>
      <c r="I193" s="263">
        <f>IFERROR(ROUNDUP(H193*'Customer Base'!$J$5,2),0)</f>
        <v>144380.64000000001</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1836</v>
      </c>
      <c r="D194" s="330">
        <v>110</v>
      </c>
      <c r="E194" s="330">
        <v>110</v>
      </c>
      <c r="F194" s="263">
        <f t="shared" si="33"/>
        <v>90.237899917965535</v>
      </c>
      <c r="G194" s="263">
        <f>IFERROR(ROUNDUP(F194*'Customer Base'!$J$5,2),0)</f>
        <v>1443.81</v>
      </c>
      <c r="H194" s="263">
        <f t="shared" si="34"/>
        <v>90.237899917965535</v>
      </c>
      <c r="I194" s="263">
        <f>IFERROR(ROUNDUP(H194*'Customer Base'!$J$5,2),0)</f>
        <v>1443.81</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1837</v>
      </c>
      <c r="D195" s="330">
        <v>220</v>
      </c>
      <c r="E195" s="330">
        <v>220</v>
      </c>
      <c r="F195" s="263">
        <f t="shared" si="33"/>
        <v>180.47579983593107</v>
      </c>
      <c r="G195" s="263">
        <f>IFERROR(ROUNDUP(F195*'Customer Base'!$J$5,2),0)</f>
        <v>2887.6200000000003</v>
      </c>
      <c r="H195" s="263">
        <f t="shared" si="34"/>
        <v>180.47579983593107</v>
      </c>
      <c r="I195" s="263">
        <f>IFERROR(ROUNDUP(H195*'Customer Base'!$J$5,2),0)</f>
        <v>2887.6200000000003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1838</v>
      </c>
      <c r="D196" s="330">
        <v>1100</v>
      </c>
      <c r="E196" s="330">
        <v>1100</v>
      </c>
      <c r="F196" s="263">
        <f t="shared" si="33"/>
        <v>902.37899917965535</v>
      </c>
      <c r="G196" s="263">
        <f>IFERROR(ROUNDUP(F196*'Customer Base'!$J$5,2),0)</f>
        <v>14438.07</v>
      </c>
      <c r="H196" s="263">
        <f t="shared" si="34"/>
        <v>902.37899917965535</v>
      </c>
      <c r="I196" s="263">
        <f>IFERROR(ROUNDUP(H196*'Customer Base'!$J$5,2),0)</f>
        <v>14438.07</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1839</v>
      </c>
      <c r="D197" s="330">
        <v>1100</v>
      </c>
      <c r="E197" s="330">
        <v>1100</v>
      </c>
      <c r="F197" s="263">
        <f t="shared" si="33"/>
        <v>902.37899917965535</v>
      </c>
      <c r="G197" s="263">
        <f>IFERROR(ROUNDUP(F197*'Customer Base'!$J$5,2),0)</f>
        <v>14438.07</v>
      </c>
      <c r="H197" s="263">
        <f t="shared" si="34"/>
        <v>902.37899917965535</v>
      </c>
      <c r="I197" s="263">
        <f>IFERROR(ROUNDUP(H197*'Customer Base'!$J$5,2),0)</f>
        <v>14438.07</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1840</v>
      </c>
      <c r="D198" s="330">
        <v>1760</v>
      </c>
      <c r="E198" s="330">
        <v>1760</v>
      </c>
      <c r="F198" s="263">
        <f t="shared" si="33"/>
        <v>1443.8063986874486</v>
      </c>
      <c r="G198" s="263">
        <f>IFERROR(ROUNDUP(F198*'Customer Base'!$J$5,2),0)</f>
        <v>23100.91</v>
      </c>
      <c r="H198" s="263">
        <f t="shared" si="34"/>
        <v>1443.8063986874486</v>
      </c>
      <c r="I198" s="263">
        <f>IFERROR(ROUNDUP(H198*'Customer Base'!$J$5,2),0)</f>
        <v>23100.91</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1841</v>
      </c>
      <c r="D199" s="330">
        <v>880</v>
      </c>
      <c r="E199" s="330">
        <v>880</v>
      </c>
      <c r="F199" s="263">
        <f t="shared" si="33"/>
        <v>721.90319934372428</v>
      </c>
      <c r="G199" s="263">
        <f>IFERROR(ROUNDUP(F199*'Customer Base'!$J$5,2),0)</f>
        <v>11550.460000000001</v>
      </c>
      <c r="H199" s="263">
        <f t="shared" si="34"/>
        <v>721.90319934372428</v>
      </c>
      <c r="I199" s="263">
        <f>IFERROR(ROUNDUP(H199*'Customer Base'!$J$5,2),0)</f>
        <v>11550.460000000001</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1277</v>
      </c>
      <c r="D201" s="330">
        <v>350</v>
      </c>
      <c r="E201" s="330">
        <v>350</v>
      </c>
      <c r="F201" s="263">
        <f t="shared" si="33"/>
        <v>287.12059064807215</v>
      </c>
      <c r="G201" s="263">
        <f>IFERROR(ROUNDUP(F201*'Customer Base'!$J$5,2),0)</f>
        <v>4593.93</v>
      </c>
      <c r="H201" s="263">
        <f t="shared" si="34"/>
        <v>287.12059064807215</v>
      </c>
      <c r="I201" s="263">
        <f>IFERROR(ROUNDUP(H201*'Customer Base'!$J$5,2),0)</f>
        <v>4593.93</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5250.21</v>
      </c>
      <c r="H202" s="263">
        <f t="shared" si="34"/>
        <v>328.13781788351105</v>
      </c>
      <c r="I202" s="263">
        <f>IFERROR(ROUNDUP(H202*'Customer Base'!$J$5,2),0)</f>
        <v>5250.21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1896</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1819</v>
      </c>
      <c r="D205" s="323">
        <v>1716.75</v>
      </c>
      <c r="E205" s="323">
        <v>1618.65</v>
      </c>
      <c r="F205" s="254">
        <f t="shared" si="37"/>
        <v>1408.326497128794</v>
      </c>
      <c r="G205" s="255">
        <f>IFERROR(ROUNDUP(F205*'Customer Base'!$J$5,2),0)</f>
        <v>22533.23</v>
      </c>
      <c r="H205" s="254">
        <f t="shared" si="38"/>
        <v>1327.8506972928631</v>
      </c>
      <c r="I205" s="255">
        <f>IFERROR(ROUNDUP(H205*'Customer Base'!$J$5,2),0)</f>
        <v>21245.62</v>
      </c>
      <c r="J205" s="103" t="str">
        <f t="shared" si="32"/>
        <v/>
      </c>
      <c r="L205" s="103" t="str">
        <f t="shared" si="35"/>
        <v/>
      </c>
      <c r="N205" s="103">
        <v>204</v>
      </c>
      <c r="O205" s="103" t="str">
        <f>IF('Customer Base'!$I$15="MANUAL",IF(B205&lt;&gt;"",C205,""),IF('Customer Base'!$I$15="AUTOMATE",IF(A205&lt;&gt;"",C205,""),""))</f>
        <v/>
      </c>
      <c r="AM205" s="103">
        <v>4</v>
      </c>
      <c r="AN205" s="103" t="s">
        <v>2292</v>
      </c>
      <c r="AO205" s="103">
        <f>IF('Customer Base'!$I$15="MANUAL",IFERROR(AM205*B205,""),IF('Customer Base'!$I$15="AUTOMATE",IFERROR(AM205*A205,""),""))</f>
        <v>0</v>
      </c>
      <c r="AR205" s="103" t="s">
        <v>2211</v>
      </c>
      <c r="AT205" s="103" t="str">
        <f t="shared" ref="AT205:AT232" si="39">IF(AND(AR205=$AY$3,$AZ$3=AN205),BA$3,"")</f>
        <v/>
      </c>
      <c r="AV205" s="103" t="str">
        <f t="shared" si="36"/>
        <v/>
      </c>
    </row>
    <row r="206" spans="1:48">
      <c r="C206" s="257" t="s">
        <v>1820</v>
      </c>
      <c r="D206" s="323">
        <v>1662.5</v>
      </c>
      <c r="E206" s="323">
        <v>1567.5</v>
      </c>
      <c r="F206" s="254">
        <f t="shared" si="37"/>
        <v>1363.8228055783429</v>
      </c>
      <c r="G206" s="255">
        <f>IFERROR(ROUNDUP(F206*'Customer Base'!$J$5,2),0)</f>
        <v>21821.17</v>
      </c>
      <c r="H206" s="254">
        <f t="shared" si="38"/>
        <v>1285.890073831009</v>
      </c>
      <c r="I206" s="255">
        <f>IFERROR(ROUNDUP(H206*'Customer Base'!$J$5,2),0)</f>
        <v>20574.25</v>
      </c>
      <c r="J206" s="103" t="str">
        <f t="shared" si="32"/>
        <v/>
      </c>
      <c r="L206" s="103" t="str">
        <f t="shared" si="35"/>
        <v/>
      </c>
      <c r="N206" s="103">
        <v>205</v>
      </c>
      <c r="O206" s="103" t="str">
        <f>IF('Customer Base'!$I$15="MANUAL",IF(B206&lt;&gt;"",C206,""),IF('Customer Base'!$I$15="AUTOMATE",IF(A206&lt;&gt;"",C206,""),""))</f>
        <v/>
      </c>
      <c r="AM206" s="103">
        <v>5</v>
      </c>
      <c r="AN206" s="103" t="s">
        <v>2291</v>
      </c>
      <c r="AO206" s="103">
        <f>IF('Customer Base'!$I$15="MANUAL",IFERROR(AM206*B206,""),IF('Customer Base'!$I$15="AUTOMATE",IFERROR(AM206*A206,""),""))</f>
        <v>0</v>
      </c>
      <c r="AR206" s="103" t="s">
        <v>2211</v>
      </c>
      <c r="AT206" s="103" t="str">
        <f t="shared" si="39"/>
        <v/>
      </c>
      <c r="AV206" s="103" t="str">
        <f t="shared" si="36"/>
        <v/>
      </c>
    </row>
    <row r="207" spans="1:48">
      <c r="A207" s="103">
        <f>IFERROR(IF(AND('Customer Base'!D$7&lt;&gt;"Grid-Tied",'Customer Base'!D$20="BYD",'Customer Base'!E$20=5),ROUNDUP('Customer Base'!D$21,0),""),"")</f>
        <v>6</v>
      </c>
      <c r="B207" s="270">
        <v>54</v>
      </c>
      <c r="C207" s="257" t="s">
        <v>2772</v>
      </c>
      <c r="D207" s="323">
        <v>1137.5</v>
      </c>
      <c r="E207" s="323">
        <v>1072.5</v>
      </c>
      <c r="F207" s="254">
        <f t="shared" si="37"/>
        <v>933.14191960623452</v>
      </c>
      <c r="G207" s="255">
        <f>IFERROR(ROUNDUP(F207*'Customer Base'!$J$5,2),0)</f>
        <v>14930.28</v>
      </c>
      <c r="H207" s="254">
        <f t="shared" si="38"/>
        <v>879.81952420016398</v>
      </c>
      <c r="I207" s="255">
        <f>IFERROR(ROUNDUP(H207*'Customer Base'!$J$5,2),0)</f>
        <v>14077.12</v>
      </c>
      <c r="N207" s="103">
        <v>206</v>
      </c>
      <c r="O207" s="103" t="str">
        <f>IF('Customer Base'!$I$15="MANUAL",IF(B207&lt;&gt;"",C207,""),IF('Customer Base'!$I$15="AUTOMATE",IF(A207&lt;&gt;"",C207,""),""))</f>
        <v>BYD LV 5.0KWH Lithium Battery</v>
      </c>
      <c r="AM207" s="103">
        <v>5</v>
      </c>
      <c r="AN207" s="103" t="s">
        <v>2291</v>
      </c>
      <c r="AO207" s="103">
        <f>IF('Customer Base'!$I$15="MANUAL",IFERROR(AM207*B207,""),IF('Customer Base'!$I$15="AUTOMATE",IFERROR(AM207*A207,""),""))</f>
        <v>30</v>
      </c>
      <c r="AR207" s="103" t="s">
        <v>2211</v>
      </c>
    </row>
    <row r="208" spans="1:48">
      <c r="C208" s="257" t="s">
        <v>973</v>
      </c>
      <c r="D208" s="323">
        <v>469</v>
      </c>
      <c r="E208" s="323">
        <v>442.2</v>
      </c>
      <c r="F208" s="254">
        <f t="shared" si="37"/>
        <v>384.74159146841669</v>
      </c>
      <c r="G208" s="255">
        <f>IFERROR(ROUNDUP(F208*'Customer Base'!$J$5,2),0)</f>
        <v>6155.87</v>
      </c>
      <c r="H208" s="254">
        <f t="shared" si="38"/>
        <v>362.75635767022146</v>
      </c>
      <c r="I208" s="255">
        <f>IFERROR(ROUNDUP(H208*'Customer Base'!$J$5,2),0)</f>
        <v>5804.1100000000006</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436.43</v>
      </c>
      <c r="H209" s="254">
        <f t="shared" si="38"/>
        <v>25.717801476620181</v>
      </c>
      <c r="I209" s="255">
        <f>IFERROR(ROUNDUP(H209*'Customer Base'!$J$5,2),0)</f>
        <v>411.49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t="str">
        <f>IFERROR(IF(SUM(A205:A206,A208:A209,A211)&gt;0,1,""),"")</f>
        <v/>
      </c>
      <c r="B210" s="270" t="s">
        <v>1</v>
      </c>
      <c r="C210" s="257" t="s">
        <v>974</v>
      </c>
      <c r="D210" s="323">
        <v>162.75</v>
      </c>
      <c r="E210" s="323">
        <v>153.44999999999999</v>
      </c>
      <c r="F210" s="254">
        <f t="shared" si="37"/>
        <v>133.51107465135357</v>
      </c>
      <c r="G210" s="255">
        <f>IFERROR(ROUNDUP(F210*'Customer Base'!$J$5,2),0)</f>
        <v>2136.1800000000003</v>
      </c>
      <c r="H210" s="254">
        <f t="shared" si="38"/>
        <v>125.88187038556192</v>
      </c>
      <c r="I210" s="255">
        <f>IFERROR(ROUNDUP(H210*'Customer Base'!$J$5,2),0)</f>
        <v>2014.11</v>
      </c>
      <c r="J210" s="103" t="str">
        <f t="shared" si="40"/>
        <v/>
      </c>
      <c r="L210" s="103" t="str">
        <f t="shared" si="41"/>
        <v/>
      </c>
      <c r="N210" s="103">
        <v>209</v>
      </c>
      <c r="O210" s="103" t="str">
        <f>IF('Customer Base'!$I$15="MANUAL",IF(B210&lt;&gt;"",C210,""),IF('Customer Base'!$I$15="AUTOMATE",IF(A210&lt;&gt;"",C210,""),""))</f>
        <v/>
      </c>
      <c r="AO210" s="103" t="str">
        <f>IF('Customer Base'!$I$15="MANUAL",IFERROR(AM210*B210,""),IF('Customer Base'!$I$15="AUTOMATE",IFERROR(AM210*A210,""),""))</f>
        <v/>
      </c>
      <c r="AT210" s="103" t="str">
        <f t="shared" si="39"/>
        <v/>
      </c>
      <c r="AV210" s="103" t="str">
        <f t="shared" si="36"/>
        <v/>
      </c>
    </row>
    <row r="211" spans="1:48">
      <c r="A211" s="103" t="str">
        <f>IFERROR(IF(AND('Customer Base'!D$7&lt;&gt;"Grid-Tied",'Customer Base'!D$20="BYD",'Customer Base'!E$20=15),ROUNDUP('Customer Base'!D$21,0),""),"")</f>
        <v/>
      </c>
      <c r="B211" s="270" t="s">
        <v>1</v>
      </c>
      <c r="C211" s="257" t="s">
        <v>1821</v>
      </c>
      <c r="D211" s="323">
        <v>5852</v>
      </c>
      <c r="E211" s="323">
        <v>5517.6</v>
      </c>
      <c r="F211" s="254">
        <f t="shared" si="37"/>
        <v>4800.6562756357671</v>
      </c>
      <c r="G211" s="255">
        <f>IFERROR(ROUNDUP(F211*'Customer Base'!$J$5,2),0)</f>
        <v>76810.509999999995</v>
      </c>
      <c r="H211" s="254">
        <f t="shared" si="38"/>
        <v>4526.3330598851517</v>
      </c>
      <c r="I211" s="255">
        <f>IFERROR(ROUNDUP(H211*'Customer Base'!$J$5,2),0)</f>
        <v>72421.33</v>
      </c>
      <c r="J211" s="103" t="str">
        <f t="shared" si="40"/>
        <v/>
      </c>
      <c r="L211" s="103" t="str">
        <f t="shared" si="41"/>
        <v/>
      </c>
      <c r="N211" s="103">
        <v>210</v>
      </c>
      <c r="O211" s="103" t="str">
        <f>IF('Customer Base'!$I$15="MANUAL",IF(B211&lt;&gt;"",C211,""),IF('Customer Base'!$I$15="AUTOMATE",IF(A211&lt;&gt;"",C211,""),""))</f>
        <v/>
      </c>
      <c r="AM211" s="103">
        <v>15.4</v>
      </c>
      <c r="AN211" s="103" t="s">
        <v>2293</v>
      </c>
      <c r="AO211" s="103" t="str">
        <f>IF('Customer Base'!$I$15="MANUAL",IFERROR(AM211*B211,""),IF('Customer Base'!$I$15="AUTOMATE",IFERROR(AM211*A211,""),""))</f>
        <v/>
      </c>
      <c r="AR211" s="103" t="s">
        <v>2211</v>
      </c>
      <c r="AT211" s="103" t="str">
        <f t="shared" si="39"/>
        <v/>
      </c>
      <c r="AV211" s="103" t="str">
        <f t="shared" si="36"/>
        <v/>
      </c>
    </row>
    <row r="212" spans="1:48">
      <c r="C212" s="257" t="s">
        <v>1822</v>
      </c>
      <c r="D212" s="323">
        <v>1536.5</v>
      </c>
      <c r="E212" s="323">
        <v>1448.7</v>
      </c>
      <c r="F212" s="254">
        <f t="shared" si="37"/>
        <v>1260.4593929450368</v>
      </c>
      <c r="G212" s="255">
        <f>IFERROR(ROUNDUP(F212*'Customer Base'!$J$5,2),0)</f>
        <v>20167.359999999997</v>
      </c>
      <c r="H212" s="254">
        <f t="shared" si="38"/>
        <v>1188.4331419196062</v>
      </c>
      <c r="I212" s="255">
        <f>IFERROR(ROUNDUP(H212*'Customer Base'!$J$5,2),0)</f>
        <v>19014.939999999999</v>
      </c>
      <c r="J212" s="103" t="str">
        <f t="shared" si="40"/>
        <v/>
      </c>
      <c r="L212" s="103" t="str">
        <f t="shared" si="41"/>
        <v/>
      </c>
      <c r="N212" s="103">
        <v>211</v>
      </c>
      <c r="O212" s="103" t="str">
        <f>IF('Customer Base'!$I$15="MANUAL",IF(B212&lt;&gt;"",C212,""),IF('Customer Base'!$I$15="AUTOMATE",IF(A212&lt;&gt;"",C212,""),""))</f>
        <v/>
      </c>
      <c r="AM212" s="103">
        <v>2.56</v>
      </c>
      <c r="AN212" s="103" t="s">
        <v>2294</v>
      </c>
      <c r="AO212" s="103">
        <f>IF('Customer Base'!$I$15="MANUAL",IFERROR(AM212*B212,""),IF('Customer Base'!$I$15="AUTOMATE",IFERROR(AM212*A212,""),""))</f>
        <v>0</v>
      </c>
      <c r="AR212" s="103" t="s">
        <v>2211</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8682.5300000000007</v>
      </c>
      <c r="H213" s="254">
        <f t="shared" si="38"/>
        <v>511.64889253486467</v>
      </c>
      <c r="I213" s="255">
        <f>IFERROR(ROUNDUP(H213*'Customer Base'!$J$5,2),0)</f>
        <v>8186.39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B215" s="270" t="s">
        <v>1</v>
      </c>
      <c r="C215" s="253" t="s">
        <v>1936</v>
      </c>
      <c r="D215" s="325">
        <v>2136.75</v>
      </c>
      <c r="E215" s="325">
        <v>1905.75</v>
      </c>
      <c r="F215" s="254">
        <f t="shared" si="37"/>
        <v>1752.8712059064806</v>
      </c>
      <c r="G215" s="255">
        <f>IFERROR(ROUNDUP(F215*'Customer Base'!$J$5,2),0)</f>
        <v>28045.94</v>
      </c>
      <c r="H215" s="254">
        <f t="shared" si="38"/>
        <v>1563.371616078753</v>
      </c>
      <c r="I215" s="255">
        <f>IFERROR(ROUNDUP(H215*'Customer Base'!$J$5,2),0)</f>
        <v>25013.949999999997</v>
      </c>
      <c r="J215" s="103" t="str">
        <f t="shared" si="40"/>
        <v/>
      </c>
      <c r="L215" s="103" t="str">
        <f t="shared" si="41"/>
        <v/>
      </c>
      <c r="N215" s="103">
        <v>214</v>
      </c>
      <c r="O215" s="103" t="str">
        <f>IF('Customer Base'!$I$15="MANUAL",IF(B215&lt;&gt;"",C215,""),IF('Customer Base'!$I$15="AUTOMATE",IF(A215&lt;&gt;"",C215,""),""))</f>
        <v/>
      </c>
      <c r="AM215" s="103">
        <v>4.8</v>
      </c>
      <c r="AN215" s="103" t="s">
        <v>2295</v>
      </c>
      <c r="AO215" s="103" t="str">
        <f>IF('Customer Base'!$I$15="MANUAL",IFERROR(AM215*B215,""),IF('Customer Base'!$I$15="AUTOMATE",IFERROR(AM215*A215,""),""))</f>
        <v/>
      </c>
      <c r="AR215" s="103" t="s">
        <v>2212</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1921</v>
      </c>
      <c r="D217" s="325">
        <v>1845.73</v>
      </c>
      <c r="E217" s="325">
        <v>1738.422</v>
      </c>
      <c r="F217" s="254">
        <f t="shared" si="37"/>
        <v>1514.1345365053321</v>
      </c>
      <c r="G217" s="255">
        <f>IFERROR(ROUNDUP(F217*'Customer Base'!$J$5,2),0)</f>
        <v>24226.16</v>
      </c>
      <c r="H217" s="254">
        <f t="shared" si="38"/>
        <v>1426.1050041017227</v>
      </c>
      <c r="I217" s="255">
        <f>IFERROR(ROUNDUP(H217*'Customer Base'!$J$5,2),0)</f>
        <v>22817.69</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2213</v>
      </c>
      <c r="AT217" s="103" t="str">
        <f t="shared" si="39"/>
        <v/>
      </c>
      <c r="AV217" s="103" t="str">
        <f t="shared" si="36"/>
        <v/>
      </c>
    </row>
    <row r="218" spans="1:48">
      <c r="C218" s="253" t="s">
        <v>1922</v>
      </c>
      <c r="D218" s="325">
        <v>2528.4</v>
      </c>
      <c r="E218" s="325">
        <v>2381.4</v>
      </c>
      <c r="F218" s="254">
        <f t="shared" si="37"/>
        <v>2074.1591468416736</v>
      </c>
      <c r="G218" s="255">
        <f>IFERROR(ROUNDUP(F218*'Customer Base'!$J$5,2),0)</f>
        <v>33186.550000000003</v>
      </c>
      <c r="H218" s="254">
        <f t="shared" si="38"/>
        <v>1953.5684987694831</v>
      </c>
      <c r="I218" s="255">
        <f>IFERROR(ROUNDUP(H218*'Customer Base'!$J$5,2),0)</f>
        <v>31257.1</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1923</v>
      </c>
      <c r="D219" s="325">
        <v>41.54</v>
      </c>
      <c r="E219" s="325">
        <v>39.122999999999998</v>
      </c>
      <c r="F219" s="254">
        <f t="shared" si="37"/>
        <v>34.077112387202625</v>
      </c>
      <c r="G219" s="255">
        <f>IFERROR(ROUNDUP(F219*'Customer Base'!$J$5,2),0)</f>
        <v>545.24</v>
      </c>
      <c r="H219" s="254">
        <f t="shared" si="38"/>
        <v>32.094339622641506</v>
      </c>
      <c r="I219" s="255">
        <f>IFERROR(ROUNDUP(H219*'Customer Base'!$J$5,2),0)</f>
        <v>513.51</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B221" s="270" t="s">
        <v>1</v>
      </c>
      <c r="C221" s="257" t="s">
        <v>879</v>
      </c>
      <c r="D221" s="323">
        <v>22.57</v>
      </c>
      <c r="E221" s="323">
        <v>21.254000000000001</v>
      </c>
      <c r="F221" s="254">
        <f t="shared" si="37"/>
        <v>18.515176374077111</v>
      </c>
      <c r="G221" s="255">
        <f>IFERROR(ROUNDUP(F221*'Customer Base'!$J$5,2),0)</f>
        <v>296.25</v>
      </c>
      <c r="H221" s="254">
        <f t="shared" si="38"/>
        <v>17.435602953240362</v>
      </c>
      <c r="I221" s="255">
        <f>IFERROR(ROUNDUP(H221*'Customer Base'!$J$5,2),0)</f>
        <v>278.96999999999997</v>
      </c>
      <c r="J221" s="103" t="str">
        <f t="shared" si="40"/>
        <v/>
      </c>
      <c r="L221" s="103" t="str">
        <f t="shared" si="41"/>
        <v/>
      </c>
      <c r="N221" s="103">
        <v>220</v>
      </c>
      <c r="O221" s="103" t="str">
        <f>IF('Customer Base'!$I$15="MANUAL",IF(B221&lt;&gt;"",C221,""),IF('Customer Base'!$I$15="AUTOMATE",IF(A221&lt;&gt;"",C221,""),""))</f>
        <v/>
      </c>
      <c r="AM221" s="103">
        <v>9.6000000000000002E-2</v>
      </c>
      <c r="AN221" s="103" t="s">
        <v>2237</v>
      </c>
      <c r="AO221" s="103" t="str">
        <f>IF('Customer Base'!$I$15="MANUAL",IFERROR(AM221*B221,""),IF('Customer Base'!$I$15="AUTOMATE",IFERROR(AM221*A221,""),""))</f>
        <v/>
      </c>
      <c r="AR221" s="103" t="s">
        <v>2214</v>
      </c>
      <c r="AT221" s="103" t="str">
        <f t="shared" si="39"/>
        <v/>
      </c>
      <c r="AV221" s="103" t="str">
        <f t="shared" si="36"/>
        <v/>
      </c>
    </row>
    <row r="222" spans="1:48">
      <c r="A222" s="103" t="str">
        <f>IFERROR(IF(AND('Customer Base'!D$7&lt;&gt;"Grid-Tied",'Customer Base'!D$20="Victron",'Customer Base'!E$20=14),MROUND('Customer Base'!D$21,'Customer Base'!D$8/12),""),"")</f>
        <v/>
      </c>
      <c r="B222" s="270" t="s">
        <v>1</v>
      </c>
      <c r="C222" s="257" t="s">
        <v>880</v>
      </c>
      <c r="D222" s="323">
        <v>40.630000000000003</v>
      </c>
      <c r="E222" s="323">
        <v>38.264000000000003</v>
      </c>
      <c r="F222" s="254">
        <f t="shared" si="37"/>
        <v>33.330598851517635</v>
      </c>
      <c r="G222" s="255">
        <f>IFERROR(ROUNDUP(F222*'Customer Base'!$J$5,2),0)</f>
        <v>533.29</v>
      </c>
      <c r="H222" s="254">
        <f t="shared" si="38"/>
        <v>31.389663658736669</v>
      </c>
      <c r="I222" s="255">
        <f>IFERROR(ROUNDUP(H222*'Customer Base'!$J$5,2),0)</f>
        <v>502.24</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2238</v>
      </c>
      <c r="AO222" s="103" t="str">
        <f>IF('Customer Base'!$I$15="MANUAL",IFERROR(AM222*B222,""),IF('Customer Base'!$I$15="AUTOMATE",IFERROR(AM222*A222,""),""))</f>
        <v/>
      </c>
      <c r="AR222" s="103" t="s">
        <v>2214</v>
      </c>
      <c r="AT222" s="103" t="str">
        <f t="shared" si="39"/>
        <v/>
      </c>
      <c r="AV222" s="103" t="str">
        <f t="shared" si="36"/>
        <v/>
      </c>
    </row>
    <row r="223" spans="1:48">
      <c r="A223" s="103" t="str">
        <f>IFERROR(IF(AND('Customer Base'!D$7&lt;&gt;"Grid-Tied",'Customer Base'!D$20="Victron",'Customer Base'!E$20=22),MROUND('Customer Base'!D$21,'Customer Base'!D$8/12),""),"")</f>
        <v/>
      </c>
      <c r="B223" s="270" t="s">
        <v>1</v>
      </c>
      <c r="C223" s="257" t="s">
        <v>881</v>
      </c>
      <c r="D223" s="323">
        <v>56.9</v>
      </c>
      <c r="E223" s="323">
        <v>53.59</v>
      </c>
      <c r="F223" s="254">
        <f t="shared" si="37"/>
        <v>46.677604593929445</v>
      </c>
      <c r="G223" s="255">
        <f>IFERROR(ROUNDUP(F223*'Customer Base'!$J$5,2),0)</f>
        <v>746.85</v>
      </c>
      <c r="H223" s="254">
        <f t="shared" si="38"/>
        <v>43.962264150943398</v>
      </c>
      <c r="I223" s="255">
        <f>IFERROR(ROUNDUP(H223*'Customer Base'!$J$5,2),0)</f>
        <v>703.4</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2239</v>
      </c>
      <c r="AO223" s="103" t="str">
        <f>IF('Customer Base'!$I$15="MANUAL",IFERROR(AM223*B223,""),IF('Customer Base'!$I$15="AUTOMATE",IFERROR(AM223*A223,""),""))</f>
        <v/>
      </c>
      <c r="AR223" s="103" t="s">
        <v>2214</v>
      </c>
      <c r="AT223" s="103" t="str">
        <f t="shared" si="39"/>
        <v/>
      </c>
      <c r="AV223" s="103" t="str">
        <f t="shared" si="36"/>
        <v/>
      </c>
    </row>
    <row r="224" spans="1:48">
      <c r="A224" s="103" t="str">
        <f>IFERROR(IF(AND('Customer Base'!D$7&lt;&gt;"Grid-Tied",'Customer Base'!D$20="Victron",'Customer Base'!E$20=38),MROUND('Customer Base'!D$21,'Customer Base'!D$8/12),""),"")</f>
        <v/>
      </c>
      <c r="B224" s="270" t="s">
        <v>1</v>
      </c>
      <c r="C224" s="257" t="s">
        <v>882</v>
      </c>
      <c r="D224" s="323">
        <v>133.63999999999999</v>
      </c>
      <c r="E224" s="323">
        <v>125.874</v>
      </c>
      <c r="F224" s="254">
        <f t="shared" si="37"/>
        <v>109.63084495488103</v>
      </c>
      <c r="G224" s="255">
        <f>IFERROR(ROUNDUP(F224*'Customer Base'!$J$5,2),0)</f>
        <v>1754.1</v>
      </c>
      <c r="H224" s="254">
        <f t="shared" si="38"/>
        <v>103.26004922067267</v>
      </c>
      <c r="I224" s="255">
        <f>IFERROR(ROUNDUP(H224*'Customer Base'!$J$5,2),0)</f>
        <v>1652.17</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2240</v>
      </c>
      <c r="AO224" s="103" t="str">
        <f>IF('Customer Base'!$I$15="MANUAL",IFERROR(AM224*B224,""),IF('Customer Base'!$I$15="AUTOMATE",IFERROR(AM224*A224,""),""))</f>
        <v/>
      </c>
      <c r="AR224" s="103" t="s">
        <v>2214</v>
      </c>
      <c r="AT224" s="103" t="str">
        <f t="shared" si="39"/>
        <v/>
      </c>
      <c r="AV224" s="103" t="str">
        <f t="shared" si="36"/>
        <v/>
      </c>
    </row>
    <row r="225" spans="1:48">
      <c r="A225" s="103" t="str">
        <f>IFERROR(IF(AND('Customer Base'!D$7&lt;&gt;"Grid-Tied",'Customer Base'!D$20="Victron",'Customer Base'!E$20=60),MROUND('Customer Base'!D$21,'Customer Base'!D$8/12),""),"")</f>
        <v/>
      </c>
      <c r="B225" s="270" t="s">
        <v>1</v>
      </c>
      <c r="C225" s="257" t="s">
        <v>883</v>
      </c>
      <c r="D225" s="323">
        <v>154.41999999999999</v>
      </c>
      <c r="E225" s="323">
        <v>145.44399999999999</v>
      </c>
      <c r="F225" s="254">
        <f t="shared" si="37"/>
        <v>126.67760459392943</v>
      </c>
      <c r="G225" s="255">
        <f>IFERROR(ROUNDUP(F225*'Customer Base'!$J$5,2),0)</f>
        <v>2026.85</v>
      </c>
      <c r="H225" s="254">
        <f t="shared" si="38"/>
        <v>119.31419196062345</v>
      </c>
      <c r="I225" s="255">
        <f>IFERROR(ROUNDUP(H225*'Customer Base'!$J$5,2),0)</f>
        <v>1909.03</v>
      </c>
      <c r="J225" s="103" t="str">
        <f t="shared" si="40"/>
        <v/>
      </c>
      <c r="L225" s="103" t="str">
        <f t="shared" si="41"/>
        <v/>
      </c>
      <c r="N225" s="103">
        <v>224</v>
      </c>
      <c r="O225" s="103" t="str">
        <f>IF('Customer Base'!$I$15="MANUAL",IF(B225&lt;&gt;"",C225,""),IF('Customer Base'!$I$15="AUTOMATE",IF(A225&lt;&gt;"",C225,""),""))</f>
        <v/>
      </c>
      <c r="AL225" s="103">
        <v>0.72</v>
      </c>
      <c r="AM225" s="103">
        <v>0.72</v>
      </c>
      <c r="AN225" s="103" t="s">
        <v>2241</v>
      </c>
      <c r="AO225" s="103" t="str">
        <f>IF('Customer Base'!$I$15="MANUAL",IFERROR(AM225*B225,""),IF('Customer Base'!$I$15="AUTOMATE",IFERROR(AM225*A225,""),""))</f>
        <v/>
      </c>
      <c r="AR225" s="103" t="s">
        <v>2214</v>
      </c>
      <c r="AT225" s="103" t="str">
        <f t="shared" si="39"/>
        <v/>
      </c>
      <c r="AV225" s="103" t="str">
        <f t="shared" si="36"/>
        <v/>
      </c>
    </row>
    <row r="226" spans="1:48">
      <c r="A226" s="103" t="str">
        <f>IFERROR(IF(AND('Customer Base'!D$7&lt;&gt;"Grid-Tied",'Customer Base'!D$20="Victron",'Customer Base'!E$20=90),MROUND('Customer Base'!D$21,'Customer Base'!D$8/12),""),"")</f>
        <v/>
      </c>
      <c r="B226" s="270" t="s">
        <v>1</v>
      </c>
      <c r="C226" s="257" t="s">
        <v>884</v>
      </c>
      <c r="D226" s="323">
        <v>226.66</v>
      </c>
      <c r="E226" s="323">
        <v>213.48400000000001</v>
      </c>
      <c r="F226" s="254">
        <f t="shared" si="37"/>
        <v>185.93929450369154</v>
      </c>
      <c r="G226" s="255">
        <f>IFERROR(ROUNDUP(F226*'Customer Base'!$J$5,2),0)</f>
        <v>2975.03</v>
      </c>
      <c r="H226" s="254">
        <f t="shared" si="38"/>
        <v>175.13043478260869</v>
      </c>
      <c r="I226" s="255">
        <f>IFERROR(ROUNDUP(H226*'Customer Base'!$J$5,2),0)</f>
        <v>2802.09</v>
      </c>
      <c r="J226" s="103" t="str">
        <f t="shared" si="40"/>
        <v/>
      </c>
      <c r="L226" s="103" t="str">
        <f t="shared" si="41"/>
        <v/>
      </c>
      <c r="N226" s="103">
        <v>225</v>
      </c>
      <c r="O226" s="103" t="str">
        <f>IF('Customer Base'!$I$15="MANUAL",IF(B226&lt;&gt;"",C226,""),IF('Customer Base'!$I$15="AUTOMATE",IF(A226&lt;&gt;"",C226,""),""))</f>
        <v/>
      </c>
      <c r="AL226" s="103">
        <v>1.08</v>
      </c>
      <c r="AM226" s="103">
        <v>1.08</v>
      </c>
      <c r="AN226" s="103" t="s">
        <v>2242</v>
      </c>
      <c r="AO226" s="103" t="str">
        <f>IF('Customer Base'!$I$15="MANUAL",IFERROR(AM226*B226,""),IF('Customer Base'!$I$15="AUTOMATE",IFERROR(AM226*A226,""),""))</f>
        <v/>
      </c>
      <c r="AR226" s="103" t="s">
        <v>2214</v>
      </c>
      <c r="AT226" s="103" t="str">
        <f t="shared" si="39"/>
        <v/>
      </c>
      <c r="AV226" s="103" t="str">
        <f t="shared" si="36"/>
        <v/>
      </c>
    </row>
    <row r="227" spans="1:48">
      <c r="A227" s="103" t="str">
        <f>IFERROR(IF(AND('Customer Base'!D$7&lt;&gt;"Grid-Tied",'Customer Base'!D$20="Victron",'Customer Base'!E$20=110),MROUND('Customer Base'!D$21,'Customer Base'!D$8/12),""),"")</f>
        <v/>
      </c>
      <c r="B227" s="270" t="s">
        <v>1</v>
      </c>
      <c r="C227" s="257" t="s">
        <v>885</v>
      </c>
      <c r="D227" s="323">
        <v>284.45</v>
      </c>
      <c r="E227" s="323">
        <v>267.916</v>
      </c>
      <c r="F227" s="254">
        <f t="shared" si="37"/>
        <v>233.3470057424118</v>
      </c>
      <c r="G227" s="255">
        <f>IFERROR(ROUNDUP(F227*'Customer Base'!$J$5,2),0)</f>
        <v>3733.5600000000004</v>
      </c>
      <c r="H227" s="254">
        <f t="shared" si="38"/>
        <v>219.78342904019686</v>
      </c>
      <c r="I227" s="255">
        <f>IFERROR(ROUNDUP(H227*'Customer Base'!$J$5,2),0)</f>
        <v>3516.5400000000004</v>
      </c>
      <c r="J227" s="103" t="str">
        <f t="shared" si="40"/>
        <v/>
      </c>
      <c r="L227" s="103" t="str">
        <f t="shared" si="41"/>
        <v/>
      </c>
      <c r="N227" s="103">
        <v>226</v>
      </c>
      <c r="O227" s="103" t="str">
        <f>IF('Customer Base'!$I$15="MANUAL",IF(B227&lt;&gt;"",C227,""),IF('Customer Base'!$I$15="AUTOMATE",IF(A227&lt;&gt;"",C227,""),""))</f>
        <v/>
      </c>
      <c r="AL227" s="103">
        <v>1.32</v>
      </c>
      <c r="AM227" s="103">
        <v>1.32</v>
      </c>
      <c r="AN227" s="103" t="s">
        <v>2243</v>
      </c>
      <c r="AO227" s="103" t="str">
        <f>IF('Customer Base'!$I$15="MANUAL",IFERROR(AM227*B227,""),IF('Customer Base'!$I$15="AUTOMATE",IFERROR(AM227*A227,""),""))</f>
        <v/>
      </c>
      <c r="AR227" s="103" t="s">
        <v>2214</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2975.03</v>
      </c>
      <c r="H228" s="254">
        <f t="shared" si="38"/>
        <v>175.13043478260869</v>
      </c>
      <c r="I228" s="255">
        <f>IFERROR(ROUNDUP(H228*'Customer Base'!$J$5,2),0)</f>
        <v>2802.09</v>
      </c>
      <c r="J228" s="103" t="str">
        <f t="shared" si="40"/>
        <v/>
      </c>
      <c r="L228" s="103" t="str">
        <f t="shared" si="41"/>
        <v/>
      </c>
      <c r="N228" s="103">
        <v>227</v>
      </c>
      <c r="O228" s="103" t="str">
        <f>IF('Customer Base'!$I$15="MANUAL",IF(B228&lt;&gt;"",C228,""),IF('Customer Base'!$I$15="AUTOMATE",IF(A228&lt;&gt;"",C228,""),""))</f>
        <v/>
      </c>
      <c r="AM228" s="103">
        <v>1.08</v>
      </c>
      <c r="AN228" s="103" t="s">
        <v>2242</v>
      </c>
      <c r="AO228" s="103">
        <f>IF('Customer Base'!$I$15="MANUAL",IFERROR(AM228*B228,""),IF('Customer Base'!$I$15="AUTOMATE",IFERROR(AM228*A228,""),""))</f>
        <v>0</v>
      </c>
      <c r="AR228" s="103" t="s">
        <v>2214</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3543.8900000000003</v>
      </c>
      <c r="H229" s="254">
        <f t="shared" si="38"/>
        <v>208.62018047579983</v>
      </c>
      <c r="I229" s="255">
        <f>IFERROR(ROUNDUP(H229*'Customer Base'!$J$5,2),0)</f>
        <v>3337.9300000000003</v>
      </c>
      <c r="J229" s="103" t="str">
        <f t="shared" si="40"/>
        <v/>
      </c>
      <c r="L229" s="103" t="str">
        <f t="shared" si="41"/>
        <v/>
      </c>
      <c r="N229" s="103">
        <v>228</v>
      </c>
      <c r="O229" s="103" t="str">
        <f>IF('Customer Base'!$I$15="MANUAL",IF(B229&lt;&gt;"",C229,""),IF('Customer Base'!$I$15="AUTOMATE",IF(A229&lt;&gt;"",C229,""),""))</f>
        <v/>
      </c>
      <c r="AM229" s="103">
        <v>1.32</v>
      </c>
      <c r="AN229" s="103" t="s">
        <v>2243</v>
      </c>
      <c r="AO229" s="103">
        <f>IF('Customer Base'!$I$15="MANUAL",IFERROR(AM229*B229,""),IF('Customer Base'!$I$15="AUTOMATE",IFERROR(AM229*A229,""),""))</f>
        <v>0</v>
      </c>
      <c r="AR229" s="103" t="s">
        <v>2214</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6815.16</v>
      </c>
      <c r="H230" s="254">
        <f t="shared" si="38"/>
        <v>401.18621821164885</v>
      </c>
      <c r="I230" s="255">
        <f>IFERROR(ROUNDUP(H230*'Customer Base'!$J$5,2),0)</f>
        <v>6418.9800000000005</v>
      </c>
      <c r="J230" s="103" t="str">
        <f t="shared" si="40"/>
        <v/>
      </c>
      <c r="L230" s="103" t="str">
        <f t="shared" si="41"/>
        <v/>
      </c>
      <c r="N230" s="103">
        <v>229</v>
      </c>
      <c r="O230" s="103" t="str">
        <f>IF('Customer Base'!$I$15="MANUAL",IF(B230&lt;&gt;"",C230,""),IF('Customer Base'!$I$15="AUTOMATE",IF(A230&lt;&gt;"",C230,""),""))</f>
        <v/>
      </c>
      <c r="AM230" s="103">
        <v>2.64</v>
      </c>
      <c r="AN230" s="103" t="s">
        <v>2244</v>
      </c>
      <c r="AO230" s="103">
        <f>IF('Customer Base'!$I$15="MANUAL",IFERROR(AM230*B230,""),IF('Customer Base'!$I$15="AUTOMATE",IFERROR(AM230*A230,""),""))</f>
        <v>0</v>
      </c>
      <c r="AR230" s="103" t="s">
        <v>2214</v>
      </c>
      <c r="AT230" s="103" t="str">
        <f t="shared" si="39"/>
        <v/>
      </c>
      <c r="AV230" s="103" t="str">
        <f t="shared" si="36"/>
        <v/>
      </c>
    </row>
    <row r="231" spans="1:48">
      <c r="A231" s="103" t="str">
        <f>IFERROR(IF(AND('Customer Base'!D$7&lt;&gt;"Grid-Tied",'Customer Base'!D$20="Victron",'Customer Base'!E$20=200),MROUND('Customer Base'!D$21,'Customer Base'!D$8/12),""),"")</f>
        <v/>
      </c>
      <c r="B231" s="270" t="s">
        <v>1</v>
      </c>
      <c r="C231" s="257" t="s">
        <v>886</v>
      </c>
      <c r="D231" s="323">
        <v>499.35</v>
      </c>
      <c r="E231" s="323">
        <v>470.31799999999998</v>
      </c>
      <c r="F231" s="254">
        <f t="shared" ref="F231:F239" si="42">$D231/1.219</f>
        <v>409.63904840032814</v>
      </c>
      <c r="G231" s="255">
        <f>IFERROR(ROUNDUP(F231*'Customer Base'!$J$5,2),0)</f>
        <v>6554.2300000000005</v>
      </c>
      <c r="H231" s="254">
        <f t="shared" ref="H231:H239" si="43">$E231/1.219</f>
        <v>385.82280557834287</v>
      </c>
      <c r="I231" s="255">
        <f>IFERROR(ROUNDUP(H231*'Customer Base'!$J$5,2),0)</f>
        <v>6173.17</v>
      </c>
      <c r="J231" s="103" t="str">
        <f t="shared" si="40"/>
        <v/>
      </c>
      <c r="L231" s="103" t="str">
        <f t="shared" si="41"/>
        <v/>
      </c>
      <c r="N231" s="103">
        <v>230</v>
      </c>
      <c r="O231" s="103" t="str">
        <f>IF('Customer Base'!$I$15="MANUAL",IF(B231&lt;&gt;"",C231,""),IF('Customer Base'!$I$15="AUTOMATE",IF(A231&lt;&gt;"",C231,""),""))</f>
        <v/>
      </c>
      <c r="AL231" s="103">
        <v>2.4</v>
      </c>
      <c r="AM231" s="103">
        <v>2.4</v>
      </c>
      <c r="AN231" s="103" t="s">
        <v>2246</v>
      </c>
      <c r="AO231" s="103" t="str">
        <f>IF('Customer Base'!$I$15="MANUAL",IFERROR(AM231*B231,""),IF('Customer Base'!$I$15="AUTOMATE",IFERROR(AM231*A231,""),""))</f>
        <v/>
      </c>
      <c r="AR231" s="103" t="s">
        <v>2214</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7016.64</v>
      </c>
      <c r="H232" s="254">
        <f t="shared" si="43"/>
        <v>413.04019688269068</v>
      </c>
      <c r="I232" s="255">
        <f>IFERROR(ROUNDUP(H232*'Customer Base'!$J$5,2),0)</f>
        <v>6608.6500000000005</v>
      </c>
      <c r="J232" s="103" t="str">
        <f t="shared" si="40"/>
        <v/>
      </c>
      <c r="L232" s="103" t="str">
        <f t="shared" si="41"/>
        <v/>
      </c>
      <c r="N232" s="103">
        <v>231</v>
      </c>
      <c r="O232" s="103" t="str">
        <f>IF('Customer Base'!$I$15="MANUAL",IF(B232&lt;&gt;"",C232,""),IF('Customer Base'!$I$15="AUTOMATE",IF(A232&lt;&gt;"",C232,""),""))</f>
        <v/>
      </c>
      <c r="AM232" s="103">
        <v>2.64</v>
      </c>
      <c r="AN232" s="103" t="s">
        <v>2244</v>
      </c>
      <c r="AO232" s="103">
        <f>IF('Customer Base'!$I$15="MANUAL",IFERROR(AM232*B232,""),IF('Customer Base'!$I$15="AUTOMATE",IFERROR(AM232*A232,""),""))</f>
        <v>0</v>
      </c>
      <c r="AR232" s="103" t="s">
        <v>2215</v>
      </c>
      <c r="AT232" s="103" t="str">
        <f t="shared" si="39"/>
        <v/>
      </c>
      <c r="AV232" s="103" t="str">
        <f t="shared" si="36"/>
        <v/>
      </c>
    </row>
    <row r="233" spans="1:48">
      <c r="A233" s="103" t="str">
        <f>IFERROR(IF(AND('Customer Base'!D$7&lt;&gt;"Grid-Tied",'Customer Base'!D$20="Hoppecke",'Customer Base'!D$19="2V OPzV",'Customer Base'!E$20=620),MROUND('Customer Base'!D$21,'Customer Base'!D$8/2)/24,""),"")</f>
        <v/>
      </c>
      <c r="B233" s="270" t="s">
        <v>1</v>
      </c>
      <c r="C233" s="253" t="s">
        <v>2247</v>
      </c>
      <c r="D233" s="323">
        <v>13910.998</v>
      </c>
      <c r="E233" s="323">
        <v>13102.22</v>
      </c>
      <c r="F233" s="254">
        <f t="shared" si="42"/>
        <v>11411.811320754716</v>
      </c>
      <c r="G233" s="255">
        <f>IFERROR(ROUNDUP(F233*'Customer Base'!$J$5,2),0)</f>
        <v>182588.99000000002</v>
      </c>
      <c r="H233" s="254">
        <f t="shared" si="43"/>
        <v>10748.33470057424</v>
      </c>
      <c r="I233" s="255">
        <f>IFERROR(ROUNDUP(H233*'Customer Base'!$J$5,2),0)</f>
        <v>171973.36000000002</v>
      </c>
      <c r="J233" s="103" t="str">
        <f t="shared" si="40"/>
        <v/>
      </c>
      <c r="L233" s="103" t="str">
        <f t="shared" si="41"/>
        <v/>
      </c>
      <c r="N233" s="103">
        <v>232</v>
      </c>
      <c r="O233" s="103" t="str">
        <f>IF('Customer Base'!$I$15="MANUAL",IF(B233&lt;&gt;"",C233,""),IF('Customer Base'!$I$15="AUTOMATE",IF(A233&lt;&gt;"",C233,""),""))</f>
        <v/>
      </c>
      <c r="AM233" s="103">
        <v>26.3</v>
      </c>
      <c r="AN233" s="103" t="s">
        <v>2248</v>
      </c>
      <c r="AO233" s="103" t="str">
        <f>IF('Customer Base'!$I$15="MANUAL",IFERROR(AM233*B233,""),IF('Customer Base'!$I$15="AUTOMATE",IFERROR(AM233*A233,""),""))</f>
        <v/>
      </c>
      <c r="AR233" s="103" t="s">
        <v>2216</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B234" s="270" t="s">
        <v>1</v>
      </c>
      <c r="C234" s="253" t="s">
        <v>1522</v>
      </c>
      <c r="D234" s="325">
        <v>310.01</v>
      </c>
      <c r="E234" s="325">
        <v>291.98899999999998</v>
      </c>
      <c r="F234" s="255">
        <f t="shared" si="42"/>
        <v>254.31501230516815</v>
      </c>
      <c r="G234" s="255">
        <f>IFERROR(ROUNDUP(F234*'Customer Base'!$J$5,2),0)</f>
        <v>4069.05</v>
      </c>
      <c r="H234" s="255">
        <f t="shared" si="43"/>
        <v>239.53158326497126</v>
      </c>
      <c r="I234" s="255">
        <f>IFERROR(ROUNDUP(H234*'Customer Base'!$J$5,2),0)</f>
        <v>3832.51</v>
      </c>
      <c r="J234" s="103" t="str">
        <f t="shared" si="40"/>
        <v/>
      </c>
      <c r="L234" s="103" t="str">
        <f t="shared" si="41"/>
        <v/>
      </c>
      <c r="N234" s="103">
        <v>233</v>
      </c>
      <c r="O234" s="103" t="str">
        <f>IF('Customer Base'!$I$15="MANUAL",IF(B234&lt;&gt;"",C234,""),IF('Customer Base'!$I$15="AUTOMATE",IF(A234&lt;&gt;"",C234,""),""))</f>
        <v/>
      </c>
      <c r="AM234" s="103">
        <v>1.2</v>
      </c>
      <c r="AN234" s="103" t="s">
        <v>2245</v>
      </c>
      <c r="AO234" s="103" t="str">
        <f>IF('Customer Base'!$I$15="MANUAL",IFERROR(AM234*B234,""),IF('Customer Base'!$I$15="AUTOMATE",IFERROR(AM234*A234,""),""))</f>
        <v/>
      </c>
      <c r="AR234" s="103" t="s">
        <v>2217</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B235" s="270" t="s">
        <v>1</v>
      </c>
      <c r="C235" s="253" t="s">
        <v>1523</v>
      </c>
      <c r="D235" s="325">
        <v>405.85</v>
      </c>
      <c r="E235" s="325">
        <v>382.255</v>
      </c>
      <c r="F235" s="255">
        <f t="shared" si="42"/>
        <v>332.93683347005742</v>
      </c>
      <c r="G235" s="255">
        <f>IFERROR(ROUNDUP(F235*'Customer Base'!$J$5,2),0)</f>
        <v>5326.99</v>
      </c>
      <c r="H235" s="255">
        <f t="shared" si="43"/>
        <v>313.5808039376538</v>
      </c>
      <c r="I235" s="255">
        <f>IFERROR(ROUNDUP(H235*'Customer Base'!$J$5,2),0)</f>
        <v>5017.3</v>
      </c>
      <c r="J235" s="103" t="str">
        <f t="shared" si="40"/>
        <v/>
      </c>
      <c r="L235" s="103" t="str">
        <f t="shared" si="41"/>
        <v/>
      </c>
      <c r="N235" s="103">
        <v>234</v>
      </c>
      <c r="O235" s="103" t="str">
        <f>IF('Customer Base'!$I$15="MANUAL",IF(B235&lt;&gt;"",C235,""),IF('Customer Base'!$I$15="AUTOMATE",IF(A235&lt;&gt;"",C235,""),""))</f>
        <v/>
      </c>
      <c r="AM235" s="103">
        <v>1.8</v>
      </c>
      <c r="AN235" s="247" t="s">
        <v>2249</v>
      </c>
      <c r="AO235" s="103" t="str">
        <f>IF('Customer Base'!$I$15="MANUAL",IFERROR(AM235*B235,""),IF('Customer Base'!$I$15="AUTOMATE",IFERROR(AM235*A235,""),""))</f>
        <v/>
      </c>
      <c r="AR235" s="103" t="s">
        <v>2217</v>
      </c>
      <c r="AT235" s="103" t="str">
        <f t="shared" si="44"/>
        <v/>
      </c>
      <c r="AV235" s="103" t="str">
        <f t="shared" si="45"/>
        <v/>
      </c>
    </row>
    <row r="236" spans="1:48">
      <c r="A236" s="103" t="str">
        <f>IFERROR(IF(AND('Customer Base'!D$7&lt;&gt;"Grid-Tied",'Customer Base'!D$20="Hoppecke",'Customer Base'!D$19="12V Lead-Acid",'Customer Base'!E$20=250),MROUND('Customer Base'!D$21,'Customer Base'!D$8/6),""),"")</f>
        <v/>
      </c>
      <c r="B236" s="270" t="s">
        <v>1</v>
      </c>
      <c r="C236" s="253" t="s">
        <v>1524</v>
      </c>
      <c r="D236" s="325">
        <v>313.95</v>
      </c>
      <c r="E236" s="325">
        <v>295.69900000000001</v>
      </c>
      <c r="F236" s="255">
        <f t="shared" si="42"/>
        <v>257.54716981132071</v>
      </c>
      <c r="G236" s="255">
        <f>IFERROR(ROUNDUP(F236*'Customer Base'!$J$5,2),0)</f>
        <v>4120.76</v>
      </c>
      <c r="H236" s="255">
        <f t="shared" si="43"/>
        <v>242.57506152584085</v>
      </c>
      <c r="I236" s="255">
        <f>IFERROR(ROUNDUP(H236*'Customer Base'!$J$5,2),0)</f>
        <v>3881.21</v>
      </c>
      <c r="J236" s="103" t="str">
        <f t="shared" si="40"/>
        <v/>
      </c>
      <c r="L236" s="103" t="str">
        <f t="shared" si="41"/>
        <v/>
      </c>
      <c r="N236" s="103">
        <v>235</v>
      </c>
      <c r="O236" s="103" t="str">
        <f>IF('Customer Base'!$I$15="MANUAL",IF(B236&lt;&gt;"",C236,""),IF('Customer Base'!$I$15="AUTOMATE",IF(A236&lt;&gt;"",C236,""),""))</f>
        <v/>
      </c>
      <c r="AM236" s="103">
        <v>3</v>
      </c>
      <c r="AN236" s="103" t="s">
        <v>2250</v>
      </c>
      <c r="AO236" s="103" t="str">
        <f>IF('Customer Base'!$I$15="MANUAL",IFERROR(AM236*B236,""),IF('Customer Base'!$I$15="AUTOMATE",IFERROR(AM236*A236,""),""))</f>
        <v/>
      </c>
      <c r="AR236" s="103" t="s">
        <v>2217</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1505.37</v>
      </c>
      <c r="H238" s="258">
        <f t="shared" si="43"/>
        <v>88.6149302707137</v>
      </c>
      <c r="I238" s="245">
        <f>IFERROR(ROUNDUP(H238*'Customer Base'!$J$5,2),0)</f>
        <v>1417.84</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1303.76</v>
      </c>
      <c r="H239" s="258">
        <f t="shared" si="43"/>
        <v>76.747333880229704</v>
      </c>
      <c r="I239" s="245">
        <f>IFERROR(ROUNDUP(H239*'Customer Base'!$J$5,2),0)</f>
        <v>1227.96</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1885</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B242" s="270" t="s">
        <v>1</v>
      </c>
      <c r="C242" s="259" t="s">
        <v>1129</v>
      </c>
      <c r="D242" s="327">
        <v>148.5</v>
      </c>
      <c r="E242" s="327">
        <v>121.5</v>
      </c>
      <c r="F242" s="260">
        <f t="shared" si="46"/>
        <v>121.82116488925348</v>
      </c>
      <c r="G242" s="260">
        <f>IFERROR(ROUNDUP(F242*'Customer Base'!$J$5,2),0)</f>
        <v>1949.14</v>
      </c>
      <c r="H242" s="260">
        <f t="shared" si="47"/>
        <v>99.671862182116485</v>
      </c>
      <c r="I242" s="260">
        <f>IFERROR(ROUNDUP(H242*'Customer Base'!$J$5,2),0)</f>
        <v>1594.75</v>
      </c>
      <c r="J242" s="103" t="str">
        <f t="shared" si="40"/>
        <v/>
      </c>
      <c r="L242" s="103" t="str">
        <f t="shared" si="41"/>
        <v/>
      </c>
      <c r="N242" s="103">
        <v>241</v>
      </c>
      <c r="O242" s="103" t="str">
        <f>IF('Customer Base'!$I$15="MANUAL",IF(B242&lt;&gt;"",C242,""),IF('Customer Base'!$I$15="AUTOMATE",IF(A242&lt;&gt;"",C242,""),""))</f>
        <v/>
      </c>
      <c r="AM242" s="103">
        <v>0.53</v>
      </c>
      <c r="AN242" s="103" t="s">
        <v>2301</v>
      </c>
      <c r="AO242" s="103" t="str">
        <f>IF('Customer Base'!$I$15="MANUAL",IFERROR(AM242*B242,""),IF('Customer Base'!$I$15="AUTOMATE",IFERROR(AM242*A242,""),""))</f>
        <v/>
      </c>
      <c r="AP242" s="103">
        <v>14</v>
      </c>
      <c r="AQ242" s="103">
        <v>49.12</v>
      </c>
      <c r="AR242" s="103" t="s">
        <v>2308</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B243" s="270" t="s">
        <v>1</v>
      </c>
      <c r="C243" s="259" t="s">
        <v>1879</v>
      </c>
      <c r="D243" s="327">
        <v>148.5</v>
      </c>
      <c r="E243" s="327">
        <v>121.5</v>
      </c>
      <c r="F243" s="260">
        <f t="shared" si="46"/>
        <v>121.82116488925348</v>
      </c>
      <c r="G243" s="260">
        <f>IFERROR(ROUNDUP(F243*'Customer Base'!$J$5,2),0)</f>
        <v>1949.14</v>
      </c>
      <c r="H243" s="260">
        <f t="shared" si="47"/>
        <v>99.671862182116485</v>
      </c>
      <c r="I243" s="260">
        <f>IFERROR(ROUNDUP(H243*'Customer Base'!$J$5,2),0)</f>
        <v>1594.75</v>
      </c>
      <c r="J243" s="103" t="str">
        <f t="shared" si="40"/>
        <v/>
      </c>
      <c r="L243" s="103" t="str">
        <f t="shared" si="41"/>
        <v/>
      </c>
      <c r="N243" s="103">
        <v>242</v>
      </c>
      <c r="O243" s="103" t="str">
        <f>IF('Customer Base'!$I$15="MANUAL",IF(B243&lt;&gt;"",C243,""),IF('Customer Base'!$I$15="AUTOMATE",IF(A243&lt;&gt;"",C243,""),""))</f>
        <v/>
      </c>
      <c r="AM243" s="103">
        <v>0.54500000000000004</v>
      </c>
      <c r="AN243" s="103" t="s">
        <v>2302</v>
      </c>
      <c r="AO243" s="103" t="str">
        <f>IF('Customer Base'!$I$15="MANUAL",IFERROR(AM243*B243,""),IF('Customer Base'!$I$15="AUTOMATE",IFERROR(AM243*A243,""),""))</f>
        <v/>
      </c>
      <c r="AP243" s="103">
        <v>13.57</v>
      </c>
      <c r="AQ243" s="103">
        <v>50.02</v>
      </c>
      <c r="AR243" s="103" t="s">
        <v>2308</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B245" s="270" t="s">
        <v>1</v>
      </c>
      <c r="C245" s="259" t="s">
        <v>2186</v>
      </c>
      <c r="D245" s="327">
        <v>147.91</v>
      </c>
      <c r="E245" s="327">
        <v>130.84700000000001</v>
      </c>
      <c r="F245" s="260">
        <f t="shared" si="46"/>
        <v>121.3371616078753</v>
      </c>
      <c r="G245" s="260">
        <f>IFERROR(ROUNDUP(F245*'Customer Base'!$J$5,2),0)</f>
        <v>1941.4</v>
      </c>
      <c r="H245" s="260">
        <f t="shared" si="47"/>
        <v>107.33962264150944</v>
      </c>
      <c r="I245" s="260">
        <f>IFERROR(ROUNDUP(H245*'Customer Base'!$J$5,2),0)</f>
        <v>1717.44</v>
      </c>
      <c r="J245" s="103" t="str">
        <f t="shared" si="40"/>
        <v/>
      </c>
      <c r="L245" s="103" t="str">
        <f t="shared" si="41"/>
        <v/>
      </c>
      <c r="N245" s="103">
        <v>244</v>
      </c>
      <c r="O245" s="103" t="str">
        <f>IF('Customer Base'!$I$15="MANUAL",IF(B245&lt;&gt;"",C245,""),IF('Customer Base'!$I$15="AUTOMATE",IF(A245&lt;&gt;"",C245,""),""))</f>
        <v/>
      </c>
      <c r="AM245" s="103">
        <v>0.55500000000000005</v>
      </c>
      <c r="AN245" s="103" t="s">
        <v>2303</v>
      </c>
      <c r="AO245" s="103" t="str">
        <f>IF('Customer Base'!$I$15="MANUAL",IFERROR(AM245*B245,""),IF('Customer Base'!$I$15="AUTOMATE",IFERROR(AM245*A245,""),""))</f>
        <v/>
      </c>
      <c r="AP245" s="103">
        <v>14.12</v>
      </c>
      <c r="AQ245" s="103">
        <v>49.72</v>
      </c>
      <c r="AR245" s="103" t="s">
        <v>2299</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t="str">
        <f>IFERROR(IF(AND('Customer Base'!D$7&lt;&gt;"Backup",'Customer Base'!D$26=565,'Customer Base'!D$25="JA Solar"),ROUNDUP('Customer Base'!D$27/AM247,0),""),"")</f>
        <v/>
      </c>
      <c r="B247" s="270" t="s">
        <v>1</v>
      </c>
      <c r="C247" s="259" t="s">
        <v>2652</v>
      </c>
      <c r="D247" s="327">
        <v>116.55</v>
      </c>
      <c r="E247" s="327">
        <v>97.125</v>
      </c>
      <c r="F247" s="260">
        <f t="shared" si="46"/>
        <v>95.611156685808027</v>
      </c>
      <c r="G247" s="260">
        <f>IFERROR(ROUNDUP(F247*'Customer Base'!$J$5,2),0)</f>
        <v>1529.78</v>
      </c>
      <c r="H247" s="260">
        <f t="shared" si="47"/>
        <v>79.675963904840032</v>
      </c>
      <c r="I247" s="260">
        <f>IFERROR(ROUNDUP(H247*'Customer Base'!$J$5,2),0)</f>
        <v>1274.82</v>
      </c>
      <c r="J247" s="103" t="str">
        <f t="shared" si="40"/>
        <v/>
      </c>
      <c r="L247" s="103" t="str">
        <f t="shared" si="41"/>
        <v/>
      </c>
      <c r="N247" s="103">
        <v>246</v>
      </c>
      <c r="O247" s="103" t="str">
        <f>IF('Customer Base'!$I$15="MANUAL",IF(B247&lt;&gt;"",C247,""),IF('Customer Base'!$I$15="AUTOMATE",IF(A247&lt;&gt;"",C247,""),""))</f>
        <v/>
      </c>
      <c r="AM247" s="103">
        <v>0.56499999999999995</v>
      </c>
      <c r="AN247" s="103" t="s">
        <v>2655</v>
      </c>
      <c r="AO247" s="103" t="str">
        <f>IF('Customer Base'!$I$15="MANUAL",IFERROR(AM247*B247,""),IF('Customer Base'!$I$15="AUTOMATE",IFERROR(AM247*A247,""),""))</f>
        <v/>
      </c>
      <c r="AP247" s="103">
        <v>14.31</v>
      </c>
      <c r="AQ247" s="103">
        <v>50.5</v>
      </c>
      <c r="AR247" s="103" t="s">
        <v>2298</v>
      </c>
      <c r="AS247" s="103" t="str">
        <f t="shared" ref="AS247" si="50">IF(AT247&lt;&gt;"",AQ247,"")</f>
        <v/>
      </c>
      <c r="AT247" s="103" t="str">
        <f t="shared" ref="AT247" si="51">IF(AND(AR247=$AY$4,$AZ$4=AN247),BA$4,"")</f>
        <v/>
      </c>
    </row>
    <row r="248" spans="1:48">
      <c r="A248" s="103">
        <f>IFERROR(IF(AND('Customer Base'!D$7&lt;&gt;"Backup",'Customer Base'!D$26=600,'Customer Base'!D$25="JA Solar"),ROUNDUP('Customer Base'!D$27/AM248,0),""),"")</f>
        <v>25</v>
      </c>
      <c r="B248" s="270">
        <v>224</v>
      </c>
      <c r="C248" s="103" t="s">
        <v>2833</v>
      </c>
      <c r="D248" s="319">
        <v>115.255</v>
      </c>
      <c r="E248" s="319">
        <v>99.715000000000003</v>
      </c>
      <c r="F248" s="224">
        <f t="shared" si="46"/>
        <v>94.548810500410156</v>
      </c>
      <c r="G248" s="224">
        <f>IFERROR(ROUNDUP(F248*'Customer Base'!$J$5,2),0)</f>
        <v>1512.79</v>
      </c>
      <c r="H248" s="224">
        <f t="shared" si="47"/>
        <v>81.80065627563576</v>
      </c>
      <c r="I248" s="224">
        <f>IFERROR(ROUNDUP(H248*'Customer Base'!$J$5,2),0)</f>
        <v>1308.82</v>
      </c>
      <c r="J248" s="103" t="str">
        <f t="shared" si="40"/>
        <v/>
      </c>
      <c r="L248" s="103" t="str">
        <f t="shared" si="41"/>
        <v/>
      </c>
      <c r="N248" s="103">
        <v>247</v>
      </c>
      <c r="O248" s="103" t="str">
        <f>IF('Customer Base'!$I$15="MANUAL",IF(B248&lt;&gt;"",C248,""),IF('Customer Base'!$I$15="AUTOMATE",IF(A248&lt;&gt;"",C248,""),""))</f>
        <v>JA Solar JAM66-S45 600 Watts Solar Panel</v>
      </c>
      <c r="AM248" s="103">
        <v>0.6</v>
      </c>
      <c r="AN248" s="103" t="s">
        <v>2834</v>
      </c>
      <c r="AO248" s="103">
        <f>IF('Customer Base'!$I$15="MANUAL",IFERROR(AM248*B248,""),IF('Customer Base'!$I$15="AUTOMATE",IFERROR(AM248*A248,""),""))</f>
        <v>15</v>
      </c>
      <c r="AP248" s="103">
        <v>15.95</v>
      </c>
      <c r="AQ248" s="103">
        <v>47.7</v>
      </c>
      <c r="AR248" s="103" t="s">
        <v>2298</v>
      </c>
      <c r="AS248" s="103" t="str">
        <f t="shared" si="48"/>
        <v/>
      </c>
      <c r="AT248" s="103" t="str">
        <f t="shared" si="49"/>
        <v/>
      </c>
      <c r="AV248" s="103" t="str">
        <f t="shared" si="45"/>
        <v/>
      </c>
    </row>
    <row r="249" spans="1:48">
      <c r="A249" s="103" t="str">
        <f>IFERROR(IF(AND('Customer Base'!D$7&lt;&gt;"Backup",'Customer Base'!D$26=415,'Customer Base'!D$25="Sharp"),ROUNDUP('Customer Base'!D$27/AM249,0),""),"")</f>
        <v/>
      </c>
      <c r="B249" s="270" t="s">
        <v>1</v>
      </c>
      <c r="C249" s="259" t="s">
        <v>2296</v>
      </c>
      <c r="D249" s="327">
        <v>129.79</v>
      </c>
      <c r="E249" s="327">
        <v>105.754</v>
      </c>
      <c r="F249" s="260">
        <f t="shared" si="46"/>
        <v>106.47251845775224</v>
      </c>
      <c r="G249" s="260">
        <f>IFERROR(ROUNDUP(F249*'Customer Base'!$J$5,2),0)</f>
        <v>1703.57</v>
      </c>
      <c r="H249" s="260">
        <f t="shared" si="47"/>
        <v>86.754716981132077</v>
      </c>
      <c r="I249" s="260">
        <f>IFERROR(ROUNDUP(H249*'Customer Base'!$J$5,2),0)</f>
        <v>1388.08</v>
      </c>
      <c r="J249" s="103" t="str">
        <f t="shared" si="40"/>
        <v/>
      </c>
      <c r="L249" s="103" t="str">
        <f t="shared" si="41"/>
        <v/>
      </c>
      <c r="N249" s="103">
        <v>248</v>
      </c>
      <c r="O249" s="103" t="str">
        <f>IF('Customer Base'!$I$15="MANUAL",IF(B249&lt;&gt;"",C249,""),IF('Customer Base'!$I$15="AUTOMATE",IF(A249&lt;&gt;"",C249,""),""))</f>
        <v/>
      </c>
      <c r="AM249" s="103">
        <v>0.41499999999999998</v>
      </c>
      <c r="AN249" s="103" t="s">
        <v>2304</v>
      </c>
      <c r="AO249" s="103" t="str">
        <f>IF('Customer Base'!$I$15="MANUAL",IFERROR(AM249*B249,""),IF('Customer Base'!$I$15="AUTOMATE",IFERROR(AM249*A249,""),""))</f>
        <v/>
      </c>
      <c r="AP249" s="103">
        <v>13.87</v>
      </c>
      <c r="AQ249" s="103">
        <v>38.08</v>
      </c>
      <c r="AR249" s="103" t="s">
        <v>2297</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B251" s="270" t="s">
        <v>1</v>
      </c>
      <c r="C251" s="259" t="s">
        <v>2744</v>
      </c>
      <c r="D251" s="327">
        <v>64.900000000000006</v>
      </c>
      <c r="E251" s="327">
        <v>62.192</v>
      </c>
      <c r="F251" s="260">
        <f t="shared" si="46"/>
        <v>53.240360951599676</v>
      </c>
      <c r="G251" s="260">
        <f>IFERROR(ROUNDUP(F251*'Customer Base'!$J$5,2),0)</f>
        <v>851.85</v>
      </c>
      <c r="H251" s="260">
        <f t="shared" si="47"/>
        <v>51.018867924528301</v>
      </c>
      <c r="I251" s="260">
        <f>IFERROR(ROUNDUP(H251*'Customer Base'!$J$5,2),0)</f>
        <v>816.31</v>
      </c>
      <c r="J251" s="103" t="str">
        <f t="shared" si="40"/>
        <v/>
      </c>
      <c r="L251" s="103" t="str">
        <f t="shared" si="41"/>
        <v/>
      </c>
      <c r="N251" s="103">
        <v>250</v>
      </c>
      <c r="O251" s="103" t="str">
        <f>IF('Customer Base'!$I$15="MANUAL",IF(B251&lt;&gt;"",C251,""),IF('Customer Base'!$I$15="AUTOMATE",IF(A251&lt;&gt;"",C251,""),""))</f>
        <v/>
      </c>
      <c r="AM251" s="103">
        <v>0.115</v>
      </c>
      <c r="AN251" s="103" t="s">
        <v>2305</v>
      </c>
      <c r="AO251" s="103" t="str">
        <f>IF('Customer Base'!$I$15="MANUAL",IFERROR(AM251*B251,""),IF('Customer Base'!$I$15="AUTOMATE",IFERROR(AM251*A251,""),""))</f>
        <v/>
      </c>
      <c r="AP251" s="103">
        <v>6.61</v>
      </c>
      <c r="AQ251" s="103">
        <v>23.32</v>
      </c>
      <c r="AR251" s="103" t="s">
        <v>2300</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B252" s="270" t="s">
        <v>1</v>
      </c>
      <c r="C252" s="259" t="s">
        <v>1356</v>
      </c>
      <c r="D252" s="327">
        <v>118.44</v>
      </c>
      <c r="E252" s="327">
        <v>113.505</v>
      </c>
      <c r="F252" s="260">
        <f t="shared" ref="F252:F289" si="52">$D252/1.219</f>
        <v>97.161607875307624</v>
      </c>
      <c r="G252" s="260">
        <f>IFERROR(ROUNDUP(F252*'Customer Base'!$J$5,2),0)</f>
        <v>1554.59</v>
      </c>
      <c r="H252" s="260">
        <f t="shared" ref="H252:H289" si="53">$E252/1.219</f>
        <v>93.113207547169807</v>
      </c>
      <c r="I252" s="260">
        <f>IFERROR(ROUNDUP(H252*'Customer Base'!$J$5,2),0)</f>
        <v>1489.82</v>
      </c>
      <c r="J252" s="103" t="str">
        <f t="shared" si="40"/>
        <v/>
      </c>
      <c r="L252" s="103" t="str">
        <f t="shared" si="41"/>
        <v/>
      </c>
      <c r="N252" s="103">
        <v>251</v>
      </c>
      <c r="O252" s="103" t="str">
        <f>IF('Customer Base'!$I$15="MANUAL",IF(B252&lt;&gt;"",C252,""),IF('Customer Base'!$I$15="AUTOMATE",IF(A252&lt;&gt;"",C252,""),""))</f>
        <v/>
      </c>
      <c r="AM252" s="103">
        <v>0.27</v>
      </c>
      <c r="AN252" s="103" t="s">
        <v>2306</v>
      </c>
      <c r="AO252" s="103" t="str">
        <f>IF('Customer Base'!$I$15="MANUAL",IFERROR(AM252*B252,""),IF('Customer Base'!$I$15="AUTOMATE",IFERROR(AM252*A252,""),""))</f>
        <v/>
      </c>
      <c r="AP252" s="103">
        <v>9.2100000000000009</v>
      </c>
      <c r="AQ252" s="103">
        <v>38.04</v>
      </c>
      <c r="AR252" s="103" t="s">
        <v>2300</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B253" s="270" t="s">
        <v>1</v>
      </c>
      <c r="C253" s="259" t="s">
        <v>2743</v>
      </c>
      <c r="D253" s="327">
        <v>131.54</v>
      </c>
      <c r="E253" s="327">
        <v>126.063</v>
      </c>
      <c r="F253" s="260">
        <f t="shared" si="52"/>
        <v>107.90812141099261</v>
      </c>
      <c r="G253" s="260">
        <f>IFERROR(ROUNDUP(F253*'Customer Base'!$J$5,2),0)</f>
        <v>1726.53</v>
      </c>
      <c r="H253" s="260">
        <f t="shared" si="53"/>
        <v>103.41509433962264</v>
      </c>
      <c r="I253" s="260">
        <f>IFERROR(ROUNDUP(H253*'Customer Base'!$J$5,2),0)</f>
        <v>1654.65</v>
      </c>
      <c r="J253" s="103" t="str">
        <f t="shared" si="40"/>
        <v/>
      </c>
      <c r="L253" s="103" t="str">
        <f t="shared" si="41"/>
        <v/>
      </c>
      <c r="N253" s="103">
        <v>252</v>
      </c>
      <c r="O253" s="103" t="str">
        <f>IF('Customer Base'!$I$15="MANUAL",IF(B253&lt;&gt;"",C253,""),IF('Customer Base'!$I$15="AUTOMATE",IF(A253&lt;&gt;"",C253,""),""))</f>
        <v/>
      </c>
      <c r="AM253" s="103">
        <v>0.30499999999999999</v>
      </c>
      <c r="AN253" s="103" t="s">
        <v>2307</v>
      </c>
      <c r="AO253" s="103" t="str">
        <f>IF('Customer Base'!$I$15="MANUAL",IFERROR(AM253*B253,""),IF('Customer Base'!$I$15="AUTOMATE",IFERROR(AM253*A253,""),""))</f>
        <v/>
      </c>
      <c r="AP253" s="103">
        <v>10.27</v>
      </c>
      <c r="AQ253" s="103">
        <v>39.86</v>
      </c>
      <c r="AR253" s="103" t="s">
        <v>2300</v>
      </c>
    </row>
    <row r="254" spans="1:48">
      <c r="A254" s="103" t="str">
        <f>IFERROR(IF(AND('Customer Base'!D$7&lt;&gt;"Backup",'Customer Base'!D$26=330,'Customer Base'!D$25="Victron"),ROUNDUP('Customer Base'!D$27/AM254,0),""),"")</f>
        <v/>
      </c>
      <c r="B254" s="270" t="s">
        <v>1</v>
      </c>
      <c r="C254" s="259" t="s">
        <v>2742</v>
      </c>
      <c r="D254" s="327">
        <v>129.78</v>
      </c>
      <c r="E254" s="327">
        <v>124.373</v>
      </c>
      <c r="F254" s="260">
        <f t="shared" si="52"/>
        <v>106.46431501230516</v>
      </c>
      <c r="G254" s="260">
        <f>IFERROR(ROUNDUP(F254*'Customer Base'!$J$5,2),0)</f>
        <v>1703.43</v>
      </c>
      <c r="H254" s="260">
        <f t="shared" si="53"/>
        <v>102.0287120590648</v>
      </c>
      <c r="I254" s="260">
        <f>IFERROR(ROUNDUP(H254*'Customer Base'!$J$5,2),0)</f>
        <v>1632.46</v>
      </c>
      <c r="J254" s="103" t="str">
        <f t="shared" si="40"/>
        <v/>
      </c>
      <c r="L254" s="103" t="str">
        <f t="shared" si="41"/>
        <v/>
      </c>
      <c r="N254" s="103">
        <v>253</v>
      </c>
      <c r="O254" s="103" t="str">
        <f>IF('Customer Base'!$I$15="MANUAL",IF(B254&lt;&gt;"",C254,""),IF('Customer Base'!$I$15="AUTOMATE",IF(A254&lt;&gt;"",C254,""),""))</f>
        <v/>
      </c>
      <c r="AM254" s="103">
        <v>0.33</v>
      </c>
      <c r="AN254" s="103" t="s">
        <v>2745</v>
      </c>
      <c r="AO254" s="103" t="str">
        <f>IF('Customer Base'!$I$15="MANUAL",IFERROR(AM254*B254,""),IF('Customer Base'!$I$15="AUTOMATE",IFERROR(AM254*A254,""),""))</f>
        <v/>
      </c>
      <c r="AP254" s="103">
        <v>9.57</v>
      </c>
      <c r="AQ254" s="103">
        <v>44.72</v>
      </c>
      <c r="AR254" s="103" t="s">
        <v>2300</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1886</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829.67</v>
      </c>
      <c r="H257" s="238">
        <f t="shared" si="53"/>
        <v>48.839212469237076</v>
      </c>
      <c r="I257" s="238">
        <f>IFERROR(ROUNDUP(H257*'Customer Base'!$J$5,2),0)</f>
        <v>781.43</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889</v>
      </c>
      <c r="H258" s="238">
        <f t="shared" si="53"/>
        <v>52.334372436423294</v>
      </c>
      <c r="I258" s="238">
        <f>IFERROR(ROUNDUP(H258*'Customer Base'!$J$5,2),0)</f>
        <v>837.35</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1042.96</v>
      </c>
      <c r="H259" s="238">
        <f t="shared" si="53"/>
        <v>61.397867104183746</v>
      </c>
      <c r="I259" s="238">
        <f>IFERROR(ROUNDUP(H259*'Customer Base'!$J$5,2),0)</f>
        <v>982.37</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f ca="1">IFERROR(IF(AND('Client List'!IP474=100,'Client List'!ED474&lt;&gt;0,'Customer Base'!D$7&lt;&gt;"Backup",'Customer Base'!D$13="Victron",'Customer Base'!D$14&lt;&gt;6),1,IF(AND('Customer Base'!D$7&lt;&gt;"Backup",'Customer Base'!D$13="Victron",'Customer Base'!D$14&lt;&gt;6),IF(AND('Client List'!EH474=100,'Client List'!EF$474&gt;0,'Client List'!EF$474&lt;=AW$260,OR(SUM('Client List'!EE483:EE485)&gt;0,SUM('Client List'!EE477:EE491)=0)),'Client List'!EC$474,IF(AND('Client List'!IP474=100,'Client List'!IN$474&gt;0,'Client List'!IN$474&lt;=AW$260,SUM('Client List'!IM483:IM485)&gt;0),'Client List'!IK$474,"")),"")),"")</f>
        <v>1</v>
      </c>
      <c r="B260" s="270" t="s">
        <v>1</v>
      </c>
      <c r="C260" s="237" t="s">
        <v>1675</v>
      </c>
      <c r="D260" s="267">
        <v>90.3</v>
      </c>
      <c r="E260" s="267">
        <v>85.05</v>
      </c>
      <c r="F260" s="238">
        <f t="shared" si="52"/>
        <v>74.077112387202618</v>
      </c>
      <c r="G260" s="238">
        <f>IFERROR(ROUNDUP(F260*'Customer Base'!$J$5,2),0)</f>
        <v>1185.24</v>
      </c>
      <c r="H260" s="238">
        <f t="shared" si="53"/>
        <v>69.770303527481531</v>
      </c>
      <c r="I260" s="238">
        <f>IFERROR(ROUNDUP(H260*'Customer Base'!$J$5,2),0)</f>
        <v>1116.33</v>
      </c>
      <c r="J260" s="103" t="str">
        <f t="shared" si="40"/>
        <v/>
      </c>
      <c r="L260" s="103" t="str">
        <f t="shared" si="41"/>
        <v/>
      </c>
      <c r="N260" s="103">
        <v>260</v>
      </c>
      <c r="O260" s="103" t="str">
        <f ca="1">IF('Customer Base'!$I$15="MANUAL",IF(B260&lt;&gt;"",C260,""),IF('Customer Base'!$I$15="AUTOMATE",IF(A260&lt;&gt;"",C260,""),""))</f>
        <v>Victron SmartSolar MPPT 100/20 up to 48V</v>
      </c>
      <c r="AO260" s="103">
        <f ca="1">IF('Customer Base'!$I$15="MANUAL",IFERROR(AM260*B260,""),IF('Customer Base'!$I$15="AUTOMATE",IFERROR(AM260*A260,""),""))</f>
        <v>0</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Base'!D$13="Victron",'Customer Base'!D$14&lt;&gt;6),IF(AND('Client List'!EH474=100,'Client List'!EF$474&gt;AW$260,'Client List'!EF$474&lt;=AW$261,OR(SUM('Client List'!EE483:EE485)&gt;0,SUM('Client List'!EE477:EE491)=0)),'Client List'!EC$474,IF(AND('Client List'!IP474=100,'Client List'!IN$474&gt;AW$260,'Client List'!IN$474&lt;=AW$261,SUM('Client List'!IM483:IM485)&gt;0),'Client List'!IK$474,"")),""),"")</f>
        <v/>
      </c>
      <c r="B261" s="270" t="s">
        <v>1</v>
      </c>
      <c r="C261" s="237" t="s">
        <v>863</v>
      </c>
      <c r="D261" s="267">
        <v>130.03</v>
      </c>
      <c r="E261" s="267">
        <v>122.47199999999999</v>
      </c>
      <c r="F261" s="238">
        <f t="shared" si="52"/>
        <v>106.66940114848235</v>
      </c>
      <c r="G261" s="238">
        <f>IFERROR(ROUNDUP(F261*'Customer Base'!$J$5,2),0)</f>
        <v>1706.72</v>
      </c>
      <c r="H261" s="238">
        <f t="shared" si="53"/>
        <v>100.4692370795734</v>
      </c>
      <c r="I261" s="238">
        <f>IFERROR(ROUNDUP(H261*'Customer Base'!$J$5,2),0)</f>
        <v>1607.51</v>
      </c>
      <c r="J261" s="103" t="str">
        <f t="shared" si="40"/>
        <v/>
      </c>
      <c r="L261" s="103" t="str">
        <f t="shared" si="41"/>
        <v/>
      </c>
      <c r="N261" s="103">
        <v>261</v>
      </c>
      <c r="O261" s="103" t="str">
        <f ca="1">IF('Customer Base'!$I$15="MANUAL",IF(B261&lt;&gt;"",C261,""),IF('Customer Base'!$I$15="AUTOMATE",IF(A261&lt;&gt;"",C261,""),""))</f>
        <v/>
      </c>
      <c r="AO261" s="103" t="str">
        <f ca="1">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Base'!D$13="Victron",'Customer Base'!D$14&lt;&gt;6),IF(AND('Client List'!EH474=100,'Client List'!EF$474&gt;AW$261,'Client List'!EF$474&lt;=AW$262,OR(SUM('Client List'!EE483:EE485)&gt;0,SUM('Client List'!EE477:EE491)=0)),'Client List'!EC$474,IF(AND('Client List'!IP474=100,'Client List'!IN$474&gt;AW$261,'Client List'!IN$474&lt;=AW$262,SUM('Client List'!IM483:IM485)&gt;0),'Client List'!IK$474,"")),""),"")</f>
        <v/>
      </c>
      <c r="B262" s="270" t="s">
        <v>1</v>
      </c>
      <c r="C262" s="237" t="s">
        <v>864</v>
      </c>
      <c r="D262" s="267">
        <v>186.93</v>
      </c>
      <c r="E262" s="267">
        <v>176.0616</v>
      </c>
      <c r="F262" s="238">
        <f t="shared" si="52"/>
        <v>153.3470057424118</v>
      </c>
      <c r="G262" s="238">
        <f>IFERROR(ROUNDUP(F262*'Customer Base'!$J$5,2),0)</f>
        <v>2453.5600000000004</v>
      </c>
      <c r="H262" s="238">
        <f t="shared" si="53"/>
        <v>144.43117309269891</v>
      </c>
      <c r="I262" s="238">
        <f>IFERROR(ROUNDUP(H262*'Customer Base'!$J$5,2),0)</f>
        <v>2310.9</v>
      </c>
      <c r="J262" s="103" t="str">
        <f t="shared" si="40"/>
        <v/>
      </c>
      <c r="L262" s="103" t="str">
        <f t="shared" si="41"/>
        <v/>
      </c>
      <c r="N262" s="103">
        <v>262</v>
      </c>
      <c r="O262" s="103" t="str">
        <f ca="1">IF('Customer Base'!$I$15="MANUAL",IF(B262&lt;&gt;"",C262,""),IF('Customer Base'!$I$15="AUTOMATE",IF(A262&lt;&gt;"",C262,""),""))</f>
        <v/>
      </c>
      <c r="AO262" s="103" t="str">
        <f ca="1">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t="str">
        <f ca="1">IFERROR(IF(AND('Customer Base'!D$7&lt;&gt;"Backup",'Customer Base'!D$13="Victron",'Customer Base'!D$14&lt;&gt;6),IF(AND(OR(AND('Client List'!EH474=100,'Client List'!EF474&gt;1160,'Client List'!EF474&lt;2000,'Client List'!EF$474&gt;0),AND('Client List'!EH474=150,'Client List'!EF$474&lt;=AW$263)),OR(SUM('Client List'!EE477:EE485)&gt;0,SUM('Client List'!EE477:EE491)=0)),'Client List'!EC$474,IF(AND(OR(AND('Client List'!IP474=100,'Client List'!IN474&gt;1160,'Client List'!IN474&lt;2000,'Client List'!IN$474&gt;0),AND('Client List'!IP474=150,'Client List'!IN$474&lt;=AW$263)),SUM('Client List'!IM477:IM485)&gt;0),'Client List'!IK$474,"")),""),"")</f>
        <v/>
      </c>
      <c r="B263" s="270" t="s">
        <v>1</v>
      </c>
      <c r="C263" s="237" t="s">
        <v>865</v>
      </c>
      <c r="D263" s="267">
        <v>186.93</v>
      </c>
      <c r="E263" s="267">
        <v>176.0616</v>
      </c>
      <c r="F263" s="238">
        <f t="shared" si="52"/>
        <v>153.3470057424118</v>
      </c>
      <c r="G263" s="238">
        <f>IFERROR(ROUNDUP(F263*'Customer Base'!$J$5,2),0)</f>
        <v>2453.5600000000004</v>
      </c>
      <c r="H263" s="238">
        <f t="shared" si="53"/>
        <v>144.43117309269891</v>
      </c>
      <c r="I263" s="238">
        <f>IFERROR(ROUNDUP(H263*'Customer Base'!$J$5,2),0)</f>
        <v>2310.9</v>
      </c>
      <c r="J263" s="103" t="str">
        <f t="shared" si="40"/>
        <v/>
      </c>
      <c r="L263" s="103" t="str">
        <f t="shared" si="41"/>
        <v/>
      </c>
      <c r="N263" s="103">
        <v>263</v>
      </c>
      <c r="O263" s="103" t="str">
        <f ca="1">IF('Customer Base'!$I$15="MANUAL",IF(B263&lt;&gt;"",C263,""),IF('Customer Base'!$I$15="AUTOMATE",IF(A263&lt;&gt;"",C263,""),""))</f>
        <v/>
      </c>
      <c r="AO263" s="103" t="str">
        <f ca="1">IF('Customer Base'!$I$15="MANUAL",IFERROR(AM263*B263,""),IF('Customer Base'!$I$15="AUTOMATE",IFERROR(AM263*A263,""),""))</f>
        <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Base'!D$13="Victron",'Customer Base'!D$14&lt;&gt;6),IF(AND('Client List'!EH474=150,'Client List'!EF$474&gt;AW$263,'Client List'!EF$474&lt;=AW$264,OR(SUM('Client List'!EE477:EE485)&gt;0,SUM('Client List'!EE477:EE491)=0)),'Client List'!EC$474,IF(AND('Client List'!IP474=150,'Client List'!IN$474&gt;AW$263,'Client List'!IN$474&lt;=AW$264,SUM('Client List'!IM477:IM485)&gt;0),'Client List'!IK$474,"")),""),"")</f>
        <v/>
      </c>
      <c r="B264" s="270" t="s">
        <v>1</v>
      </c>
      <c r="C264" s="237" t="s">
        <v>1035</v>
      </c>
      <c r="D264" s="267">
        <v>221.23</v>
      </c>
      <c r="E264" s="267">
        <v>208.364</v>
      </c>
      <c r="F264" s="238">
        <f t="shared" si="52"/>
        <v>181.48482362592287</v>
      </c>
      <c r="G264" s="238">
        <f>IFERROR(ROUNDUP(F264*'Customer Base'!$J$5,2),0)</f>
        <v>2903.76</v>
      </c>
      <c r="H264" s="238">
        <f t="shared" si="53"/>
        <v>170.93027071369974</v>
      </c>
      <c r="I264" s="238">
        <f>IFERROR(ROUNDUP(H264*'Customer Base'!$J$5,2),0)</f>
        <v>2734.8900000000003</v>
      </c>
      <c r="J264" s="103" t="str">
        <f t="shared" si="40"/>
        <v/>
      </c>
      <c r="L264" s="103" t="str">
        <f t="shared" si="41"/>
        <v/>
      </c>
      <c r="N264" s="103">
        <v>264</v>
      </c>
      <c r="O264" s="103" t="str">
        <f ca="1">IF('Customer Base'!$I$15="MANUAL",IF(B264&lt;&gt;"",C264,""),IF('Customer Base'!$I$15="AUTOMATE",IF(A264&lt;&gt;"",C264,""),""))</f>
        <v/>
      </c>
      <c r="AO264" s="103" t="str">
        <f ca="1">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t="str">
        <f ca="1">IFERROR(IF(AND('Customer Base'!D$7&lt;&gt;"Backup",'Customer Base'!D$13="Victron",'Customer Base'!D$14&lt;&gt;6),IF(AND('Client List'!EH474=150,'Client List'!EF$474&gt;AW$264,'Client List'!EF$474&lt;=AW$265,OR(SUM('Client List'!EE477:EE485)&gt;0,SUM('Client List'!EE477:EE491)=0)),'Client List'!EC$474,IF(AND('Client List'!IP474=150,'Client List'!IN$474&gt;AW$264,'Client List'!IN$474&lt;=AW$265,SUM('Client List'!IM477:IM485)&gt;0),'Client List'!IK$474,"")),""),"")</f>
        <v/>
      </c>
      <c r="B265" s="270" t="s">
        <v>1</v>
      </c>
      <c r="C265" s="237" t="s">
        <v>866</v>
      </c>
      <c r="D265" s="267">
        <v>354.87</v>
      </c>
      <c r="E265" s="267">
        <v>334.23840000000001</v>
      </c>
      <c r="F265" s="238">
        <f t="shared" si="52"/>
        <v>291.11566858080391</v>
      </c>
      <c r="G265" s="238">
        <f>IFERROR(ROUNDUP(F265*'Customer Base'!$J$5,2),0)</f>
        <v>4657.8600000000006</v>
      </c>
      <c r="H265" s="238">
        <f t="shared" si="53"/>
        <v>274.1906480721903</v>
      </c>
      <c r="I265" s="238">
        <f>IFERROR(ROUNDUP(H265*'Customer Base'!$J$5,2),0)</f>
        <v>4387.0600000000004</v>
      </c>
      <c r="J265" s="103" t="str">
        <f t="shared" si="40"/>
        <v/>
      </c>
      <c r="L265" s="103" t="str">
        <f t="shared" si="41"/>
        <v/>
      </c>
      <c r="N265" s="103">
        <v>266</v>
      </c>
      <c r="O265" s="103" t="str">
        <f ca="1">IF('Customer Base'!$I$15="MANUAL",IF(B265&lt;&gt;"",C265,""),IF('Customer Base'!$I$15="AUTOMATE",IF(A265&lt;&gt;"",C265,""),""))</f>
        <v/>
      </c>
      <c r="AO265" s="103" t="str">
        <f ca="1">IF('Customer Base'!$I$15="MANUAL",IFERROR(AM265*B265,""),IF('Customer Base'!$I$15="AUTOMATE",IFERROR(AM265*A265,""),""))</f>
        <v/>
      </c>
      <c r="AP265" s="103">
        <v>150</v>
      </c>
      <c r="AQ265" s="103">
        <v>860</v>
      </c>
      <c r="AR265" s="103">
        <v>1720</v>
      </c>
      <c r="AS265" s="103">
        <v>3440</v>
      </c>
      <c r="AV265" s="103">
        <f t="shared" si="55"/>
        <v>0</v>
      </c>
      <c r="AW265" s="103">
        <f>IF('Customer Base'!$D$8=12,AQ265,IF('Customer Base'!$D$8=24,AR265,IF('Customer Base'!$D$8=48,AS265,"")))</f>
        <v>3440</v>
      </c>
    </row>
    <row r="266" spans="1:49">
      <c r="C266" s="237" t="s">
        <v>2740</v>
      </c>
      <c r="D266" s="267">
        <v>354.87</v>
      </c>
      <c r="E266" s="267">
        <v>334.238</v>
      </c>
      <c r="F266" s="238">
        <f t="shared" si="52"/>
        <v>291.11566858080391</v>
      </c>
      <c r="G266" s="238">
        <f>IFERROR(ROUNDUP(F266*'Customer Base'!$J$5,2),0)</f>
        <v>4657.8600000000006</v>
      </c>
      <c r="H266" s="238">
        <f t="shared" si="53"/>
        <v>274.19031993437244</v>
      </c>
      <c r="I266" s="238">
        <f>IFERROR(ROUNDUP(H266*'Customer Base'!$J$5,2),0)</f>
        <v>4387.05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5084.5700000000006</v>
      </c>
      <c r="H267" s="238">
        <f t="shared" si="53"/>
        <v>299.30795734208368</v>
      </c>
      <c r="I267" s="238">
        <f>IFERROR(ROUNDUP(H267*'Customer Base'!$J$5,2),0)</f>
        <v>4788.93</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Base'!D$13="Victron",'Customer Base'!D$14&lt;&gt;6),IF(AND('Client List'!EH474=150,'Client List'!EF$474&gt;AW$265,'Client List'!EF$474&lt;=AW$268,OR(SUM('Client List'!EE477:EE485)&gt;0,SUM('Client List'!EE477:EE491)=0)),'Client List'!EC$474,IF(AND('Client List'!IP474=150,'Client List'!IN$474&gt;AW$265,'Client List'!IN$474&lt;=AW$268,SUM('Client List'!IM477:IM485)&gt;0),'Client List'!IK$474,"")),""),"")</f>
        <v/>
      </c>
      <c r="B268" s="270" t="s">
        <v>1</v>
      </c>
      <c r="C268" s="237" t="s">
        <v>868</v>
      </c>
      <c r="D268" s="267">
        <v>418.89</v>
      </c>
      <c r="E268" s="267">
        <v>395.4744</v>
      </c>
      <c r="F268" s="238">
        <f t="shared" si="52"/>
        <v>343.63412633305984</v>
      </c>
      <c r="G268" s="238">
        <f>IFERROR(ROUNDUP(F268*'Customer Base'!$J$5,2),0)</f>
        <v>5498.1500000000005</v>
      </c>
      <c r="H268" s="238">
        <f t="shared" si="53"/>
        <v>324.42526661197701</v>
      </c>
      <c r="I268" s="238">
        <f>IFERROR(ROUNDUP(H268*'Customer Base'!$J$5,2),0)</f>
        <v>5190.8100000000004</v>
      </c>
      <c r="J268" s="103" t="str">
        <f t="shared" si="40"/>
        <v/>
      </c>
      <c r="L268" s="103" t="str">
        <f t="shared" si="41"/>
        <v/>
      </c>
      <c r="N268" s="103">
        <v>269</v>
      </c>
      <c r="O268" s="103" t="str">
        <f ca="1">IF('Customer Base'!$I$15="MANUAL",IF(B268&lt;&gt;"",C268,""),IF('Customer Base'!$I$15="AUTOMATE",IF(A268&lt;&gt;"",C268,""),""))</f>
        <v/>
      </c>
      <c r="AO268" s="103" t="str">
        <f ca="1">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5498.1500000000005</v>
      </c>
      <c r="H269" s="238">
        <f t="shared" si="53"/>
        <v>324.42165709598032</v>
      </c>
      <c r="I269" s="238">
        <f>IFERROR(ROUNDUP(H269*'Customer Base'!$J$5,2),0)</f>
        <v>5190.75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t="str">
        <f ca="1">IFERROR(IF(AND('Customer Base'!D$7&lt;&gt;"Backup",'Customer Base'!D$13="Victron",'Customer Base'!D$14&lt;&gt;6),IF(AND('Client List'!EH474=150,'Client List'!EF$474&gt;AW$268,'Client List'!EF$474&lt;=AW$270,OR(SUM('Client List'!EE477:EE485)&gt;0,SUM('Client List'!EE477:EE491)=0)),'Client List'!EC$474,IF(AND('Client List'!IP474=150,'Client List'!IN$474&gt;AW$268,'Client List'!IN$474&lt;=AW$270,SUM('Client List'!IM477:IM485)&gt;0),'Client List'!IK$474,"")),""),"")</f>
        <v/>
      </c>
      <c r="B270" s="270" t="s">
        <v>1</v>
      </c>
      <c r="C270" s="237" t="s">
        <v>869</v>
      </c>
      <c r="D270" s="267">
        <v>458.72</v>
      </c>
      <c r="E270" s="267">
        <v>432.05399999999997</v>
      </c>
      <c r="F270" s="238">
        <f t="shared" si="52"/>
        <v>376.30844954881047</v>
      </c>
      <c r="G270" s="238">
        <f>IFERROR(ROUNDUP(F270*'Customer Base'!$J$5,2),0)</f>
        <v>6020.9400000000005</v>
      </c>
      <c r="H270" s="238">
        <f t="shared" si="53"/>
        <v>354.43314191960621</v>
      </c>
      <c r="I270" s="238">
        <f>IFERROR(ROUNDUP(H270*'Customer Base'!$J$5,2),0)</f>
        <v>5670.9400000000005</v>
      </c>
      <c r="J270" s="103" t="str">
        <f t="shared" si="40"/>
        <v/>
      </c>
      <c r="L270" s="103" t="str">
        <f t="shared" si="41"/>
        <v/>
      </c>
      <c r="N270" s="103">
        <v>273</v>
      </c>
      <c r="O270" s="103" t="str">
        <f ca="1">IF('Customer Base'!$I$15="MANUAL",IF(B270&lt;&gt;"",C270,""),IF('Customer Base'!$I$15="AUTOMATE",IF(A270&lt;&gt;"",C270,""),""))</f>
        <v/>
      </c>
      <c r="AO270" s="103" t="str">
        <f ca="1">IF('Customer Base'!$I$15="MANUAL",IFERROR(AM270*B270,""),IF('Customer Base'!$I$15="AUTOMATE",IFERROR(AM270*A270,""),""))</f>
        <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6151.54</v>
      </c>
      <c r="H271" s="238">
        <f t="shared" si="53"/>
        <v>362.11452009844129</v>
      </c>
      <c r="I271" s="238">
        <f>IFERROR(ROUNDUP(H271*'Customer Base'!$J$5,2),0)</f>
        <v>5793.84</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Base'!D$13="Victron",'Customer Base'!D$14&lt;&gt;6),IF(AND('Client List'!EH474=150,'Client List'!EF$474&gt;AW$270,'Client List'!EF$474&lt;=AW$272,OR(SUM('Client List'!EE477:EE485)&gt;0,SUM('Client List'!EE477:EE491)=0)),'Client List'!EC$474,IF(AND('Client List'!IP474=150,'Client List'!IN$474&gt;AW$270,'Client List'!IN$474&lt;=AW$272,SUM('Client List'!IM477:IM485)&gt;0),'Client List'!IK$474,"")),""),"")</f>
        <v/>
      </c>
      <c r="B272" s="270" t="s">
        <v>1</v>
      </c>
      <c r="C272" s="237" t="s">
        <v>870</v>
      </c>
      <c r="D272" s="267">
        <v>522.85</v>
      </c>
      <c r="E272" s="267">
        <v>492.44760000000002</v>
      </c>
      <c r="F272" s="238">
        <f t="shared" si="52"/>
        <v>428.91714520098441</v>
      </c>
      <c r="G272" s="238">
        <f>IFERROR(ROUNDUP(F272*'Customer Base'!$J$5,2),0)</f>
        <v>6862.68</v>
      </c>
      <c r="H272" s="238">
        <f t="shared" si="53"/>
        <v>403.97670221493024</v>
      </c>
      <c r="I272" s="238">
        <f>IFERROR(ROUNDUP(H272*'Customer Base'!$J$5,2),0)</f>
        <v>6463.63</v>
      </c>
      <c r="J272" s="103" t="str">
        <f t="shared" ref="J272:J336" si="57">IF(D272&lt;&gt;"",IF(D272&lt;E272,"lkdfjk",""),"")</f>
        <v/>
      </c>
      <c r="L272" s="103" t="str">
        <f t="shared" ref="L272:L336" si="58">IF(H272&gt;F272,"lkkajdfkj","")</f>
        <v/>
      </c>
      <c r="N272" s="103">
        <v>277</v>
      </c>
      <c r="O272" s="103" t="str">
        <f ca="1">IF('Customer Base'!$I$15="MANUAL",IF(B272&lt;&gt;"",C272,""),IF('Customer Base'!$I$15="AUTOMATE",IF(A272&lt;&gt;"",C272,""),""))</f>
        <v/>
      </c>
      <c r="AO272" s="103" t="str">
        <f ca="1">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6992.88</v>
      </c>
      <c r="H273" s="238">
        <f t="shared" si="53"/>
        <v>411.64479081214108</v>
      </c>
      <c r="I273" s="238">
        <f>IFERROR(ROUNDUP(H273*'Customer Base'!$J$5,2),0)</f>
        <v>6586.3200000000006</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Base'!D$13="Victron",'Customer Base'!D$14&lt;&gt;6),IF(AND('Client List'!EH474=250,'Client List'!EF$474&gt;0,'Client List'!EF$474&lt;=AW$274,OR(SUM('Client List'!EE489:EE491)&gt;0,SUM('Client List'!EE477:EE491)=0)),'Client List'!EC$474,IF(AND('Client List'!IP474=250,'Client List'!IN$474&gt;0,'Client List'!IN$474&lt;=AW$274,SUM('Client List'!IM489:IM491)&gt;0),'Client List'!IK$474,"")),""),"")</f>
        <v/>
      </c>
      <c r="B274" s="270" t="s">
        <v>1</v>
      </c>
      <c r="C274" s="237" t="s">
        <v>871</v>
      </c>
      <c r="D274" s="267">
        <v>419.89</v>
      </c>
      <c r="E274" s="267">
        <v>395.4744</v>
      </c>
      <c r="F274" s="238">
        <f t="shared" si="52"/>
        <v>344.45447087776864</v>
      </c>
      <c r="G274" s="238">
        <f>IFERROR(ROUNDUP(F274*'Customer Base'!$J$5,2),0)</f>
        <v>5511.2800000000007</v>
      </c>
      <c r="H274" s="238">
        <f t="shared" si="53"/>
        <v>324.42526661197701</v>
      </c>
      <c r="I274" s="238">
        <f>IFERROR(ROUNDUP(H274*'Customer Base'!$J$5,2),0)</f>
        <v>5190.8100000000004</v>
      </c>
      <c r="J274" s="103" t="str">
        <f t="shared" si="57"/>
        <v/>
      </c>
      <c r="L274" s="103" t="str">
        <f t="shared" si="58"/>
        <v/>
      </c>
      <c r="N274" s="103">
        <v>280</v>
      </c>
      <c r="O274" s="103" t="str">
        <f ca="1">IF('Customer Base'!$I$15="MANUAL",IF(B274&lt;&gt;"",C274,""),IF('Customer Base'!$I$15="AUTOMATE",IF(A274&lt;&gt;"",C274,""),""))</f>
        <v/>
      </c>
      <c r="AO274" s="103" t="str">
        <f ca="1">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2741</v>
      </c>
      <c r="D275" s="267">
        <v>419.89</v>
      </c>
      <c r="E275" s="267">
        <v>395.47399999999999</v>
      </c>
      <c r="F275" s="238">
        <f t="shared" si="52"/>
        <v>344.45447087776864</v>
      </c>
      <c r="G275" s="238">
        <f>IFERROR(ROUNDUP(F275*'Customer Base'!$J$5,2),0)</f>
        <v>5511.2800000000007</v>
      </c>
      <c r="H275" s="238">
        <f t="shared" si="53"/>
        <v>324.42493847415909</v>
      </c>
      <c r="I275" s="238">
        <f>IFERROR(ROUNDUP(H275*'Customer Base'!$J$5,2),0)</f>
        <v>5190.8</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6352.75</v>
      </c>
      <c r="H276" s="238">
        <f t="shared" si="53"/>
        <v>373.96882690730104</v>
      </c>
      <c r="I276" s="238">
        <f>IFERROR(ROUNDUP(H276*'Customer Base'!$J$5,2),0)</f>
        <v>5983.51</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t="str">
        <f ca="1">IFERROR(IF(AND('Customer Base'!D$7&lt;&gt;"Backup",'Customer Base'!D$13="Victron",'Customer Base'!D$14&lt;&gt;6),IF(AND('Client List'!EH474=250,'Client List'!EF$474&gt;AW$274,'Client List'!EF$474&lt;=AW$277,OR(SUM('Client List'!EE489:EE491)&gt;0,SUM('Client List'!EE477:EE491)=0)),'Client List'!EC$474,IF(AND('Client List'!IP474=250,'Client List'!IN$474&gt;AW$274,'Client List'!IN$474&lt;=AW$277,SUM('Client List'!IM489:IM491)&gt;0),'Client List'!IK$474,"")),""),"")</f>
        <v/>
      </c>
      <c r="B277" s="270">
        <v>1</v>
      </c>
      <c r="C277" s="237" t="s">
        <v>873</v>
      </c>
      <c r="D277" s="267">
        <v>516.52</v>
      </c>
      <c r="E277" s="267">
        <v>486.48599999999999</v>
      </c>
      <c r="F277" s="238">
        <f t="shared" si="52"/>
        <v>423.72436423297779</v>
      </c>
      <c r="G277" s="238">
        <f>IFERROR(ROUNDUP(F277*'Customer Base'!$J$5,2),0)</f>
        <v>6779.59</v>
      </c>
      <c r="H277" s="238">
        <f t="shared" si="53"/>
        <v>399.08613617719436</v>
      </c>
      <c r="I277" s="238">
        <f>IFERROR(ROUNDUP(H277*'Customer Base'!$J$5,2),0)</f>
        <v>6385.38</v>
      </c>
      <c r="J277" s="103" t="str">
        <f t="shared" si="57"/>
        <v/>
      </c>
      <c r="L277" s="103" t="str">
        <f t="shared" si="58"/>
        <v/>
      </c>
      <c r="N277" s="103">
        <v>283</v>
      </c>
      <c r="O277" s="103" t="str">
        <f ca="1">IF('Customer Base'!$I$15="MANUAL",IF(B277&lt;&gt;"",C277,""),IF('Customer Base'!$I$15="AUTOMATE",IF(A277&lt;&gt;"",C277,""),""))</f>
        <v/>
      </c>
      <c r="AO277" s="103" t="str">
        <f ca="1">IF('Customer Base'!$I$15="MANUAL",IFERROR(AM277*B277,""),IF('Customer Base'!$I$15="AUTOMATE",IFERROR(AM277*A277,""),""))</f>
        <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6779.59</v>
      </c>
      <c r="H278" s="238">
        <f t="shared" si="53"/>
        <v>399.08941755537325</v>
      </c>
      <c r="I278" s="238">
        <f>IFERROR(ROUNDUP(H278*'Customer Base'!$J$5,2),0)</f>
        <v>6385.4400000000005</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Base'!D$13="Victron",'Customer Base'!D$14&lt;&gt;6),IF(AND('Client List'!EH474=250,'Client List'!EF$474&gt;AW$277,'Client List'!EF$474&lt;=AW$279,OR(SUM('Client List'!EE489:EE491)&gt;0,SUM('Client List'!EE477:EE491)=0)),'Client List'!EC$474,IF(AND('Client List'!IP474=250,'Client List'!IN$474&gt;AW$277,'Client List'!IN$474&lt;=AW$279,SUM('Client List'!IM489:IM491)&gt;0),'Client List'!IK$474,"")),""),"")</f>
        <v/>
      </c>
      <c r="B279" s="270" t="s">
        <v>1</v>
      </c>
      <c r="C279" s="237" t="s">
        <v>874</v>
      </c>
      <c r="D279" s="267">
        <v>555.35</v>
      </c>
      <c r="E279" s="267">
        <v>523.06560000000002</v>
      </c>
      <c r="F279" s="238">
        <f t="shared" si="52"/>
        <v>455.57834290401968</v>
      </c>
      <c r="G279" s="238">
        <f>IFERROR(ROUNDUP(F279*'Customer Base'!$J$5,2),0)</f>
        <v>7289.26</v>
      </c>
      <c r="H279" s="238">
        <f t="shared" si="53"/>
        <v>429.09401148482362</v>
      </c>
      <c r="I279" s="238">
        <f>IFERROR(ROUNDUP(H279*'Customer Base'!$J$5,2),0)</f>
        <v>6865.51</v>
      </c>
      <c r="J279" s="103" t="str">
        <f t="shared" si="57"/>
        <v/>
      </c>
      <c r="L279" s="103" t="str">
        <f t="shared" si="58"/>
        <v/>
      </c>
      <c r="N279" s="103">
        <v>287</v>
      </c>
      <c r="O279" s="103" t="str">
        <f ca="1">IF('Customer Base'!$I$15="MANUAL",IF(B279&lt;&gt;"",C279,""),IF('Customer Base'!$I$15="AUTOMATE",IF(A279&lt;&gt;"",C279,""),""))</f>
        <v/>
      </c>
      <c r="AO279" s="103" t="str">
        <f ca="1">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7419.59</v>
      </c>
      <c r="H280" s="238">
        <f t="shared" si="53"/>
        <v>436.76210008203441</v>
      </c>
      <c r="I280" s="238">
        <f>IFERROR(ROUNDUP(H280*'Customer Base'!$J$5,2),0)</f>
        <v>6988.2</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f ca="1">IFERROR(IF(AND('Customer Base'!D$7&lt;&gt;"Backup",'Customer Base'!D$13="Victron",'Customer Base'!D$14&lt;&gt;6),IF(AND('Client List'!EH474=250,'Client List'!EF$474&gt;AW$279,'Client List'!EF$474&lt;=AW$281,OR(SUM('Client List'!EE489:EE491)&gt;0,SUM('Client List'!EE477:EE491)=0)),'Client List'!EC$474,IF(AND('Client List'!IP474=250,'Client List'!IN$474&gt;AW$279,'Client List'!IN$474&lt;=AW$281,SUM('Client List'!IM489:IM491)&gt;0),'Client List'!IK$474,"")),""),"")</f>
        <v>2</v>
      </c>
      <c r="B281" s="270" t="s">
        <v>1</v>
      </c>
      <c r="C281" s="237" t="s">
        <v>876</v>
      </c>
      <c r="D281" s="267">
        <v>619.46</v>
      </c>
      <c r="E281" s="267">
        <v>583.44299999999998</v>
      </c>
      <c r="F281" s="238">
        <f t="shared" si="52"/>
        <v>508.17063166529942</v>
      </c>
      <c r="G281" s="238">
        <f>IFERROR(ROUNDUP(F281*'Customer Base'!$J$5,2),0)</f>
        <v>8130.74</v>
      </c>
      <c r="H281" s="238">
        <f t="shared" si="53"/>
        <v>478.62428219852336</v>
      </c>
      <c r="I281" s="238">
        <f>IFERROR(ROUNDUP(H281*'Customer Base'!$J$5,2),0)</f>
        <v>7657.99</v>
      </c>
      <c r="J281" s="103" t="str">
        <f t="shared" si="57"/>
        <v/>
      </c>
      <c r="L281" s="103" t="str">
        <f t="shared" si="58"/>
        <v/>
      </c>
      <c r="N281" s="103">
        <v>290</v>
      </c>
      <c r="O281" s="103" t="str">
        <f ca="1">IF('Customer Base'!$I$15="MANUAL",IF(B281&lt;&gt;"",C281,""),IF('Customer Base'!$I$15="AUTOMATE",IF(A281&lt;&gt;"",C281,""),""))</f>
        <v>Victron SmartSolar MPPT 250/100-Tr VE.Can</v>
      </c>
      <c r="AO281" s="103">
        <f ca="1">IF('Customer Base'!$I$15="MANUAL",IFERROR(AM281*B281,""),IF('Customer Base'!$I$15="AUTOMATE",IFERROR(AM281*A281,""),""))</f>
        <v>0</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8260.94</v>
      </c>
      <c r="H282" s="238">
        <f t="shared" si="53"/>
        <v>486.29237079573414</v>
      </c>
      <c r="I282" s="238">
        <f>IFERROR(ROUNDUP(H282*'Customer Base'!$J$5,2),0)</f>
        <v>7780.68</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14708.59</v>
      </c>
      <c r="H283" s="238">
        <f t="shared" si="53"/>
        <v>865.84249384741588</v>
      </c>
      <c r="I283" s="238">
        <f>IFERROR(ROUNDUP(H283*'Customer Base'!$J$5,2),0)</f>
        <v>13853.48</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25755.019999999997</v>
      </c>
      <c r="H284" s="238">
        <f t="shared" si="53"/>
        <v>1516.1017227235436</v>
      </c>
      <c r="I284" s="238">
        <f>IFERROR(ROUNDUP(H284*'Customer Base'!$J$5,2),0)</f>
        <v>24257.629999999997</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426.71999999999997</v>
      </c>
      <c r="H286" s="245">
        <f t="shared" si="53"/>
        <v>25.117309269893351</v>
      </c>
      <c r="I286" s="245">
        <f>IFERROR(ROUNDUP(H286*'Customer Base'!$J$5,2),0)</f>
        <v>401.88</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308.19</v>
      </c>
      <c r="H287" s="245">
        <f t="shared" si="53"/>
        <v>18.140278917145199</v>
      </c>
      <c r="I287" s="245">
        <f>IFERROR(ROUNDUP(H287*'Customer Base'!$J$5,2),0)</f>
        <v>290.25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308.19</v>
      </c>
      <c r="H288" s="245">
        <f t="shared" si="53"/>
        <v>18.140278917145199</v>
      </c>
      <c r="I288" s="245">
        <f>IFERROR(ROUNDUP(H288*'Customer Base'!$J$5,2),0)</f>
        <v>290.25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308.19</v>
      </c>
      <c r="H289" s="245">
        <f t="shared" si="53"/>
        <v>18.140278917145199</v>
      </c>
      <c r="I289" s="245">
        <f>IFERROR(ROUNDUP(H289*'Customer Base'!$J$5,2),0)</f>
        <v>290.25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1891</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1469.67</v>
      </c>
      <c r="H292" s="249">
        <f t="shared" si="61"/>
        <v>86.515176374077114</v>
      </c>
      <c r="I292" s="249">
        <f>IFERROR(ROUNDUP(H292*'Customer Base'!$J$5,2),0)</f>
        <v>1384.25</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1469.67</v>
      </c>
      <c r="H293" s="249">
        <f t="shared" si="61"/>
        <v>86.515176374077114</v>
      </c>
      <c r="I293" s="249">
        <f>IFERROR(ROUNDUP(H293*'Customer Base'!$J$5,2),0)</f>
        <v>1384.25</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1825.24</v>
      </c>
      <c r="H294" s="249">
        <f t="shared" si="61"/>
        <v>107.44626743232158</v>
      </c>
      <c r="I294" s="249">
        <f>IFERROR(ROUNDUP(H294*'Customer Base'!$J$5,2),0)</f>
        <v>1719.15</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1825.24</v>
      </c>
      <c r="H295" s="249">
        <f t="shared" si="61"/>
        <v>107.44626743232158</v>
      </c>
      <c r="I295" s="249">
        <f>IFERROR(ROUNDUP(H295*'Customer Base'!$J$5,2),0)</f>
        <v>1719.15</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2109.67</v>
      </c>
      <c r="H296" s="249">
        <f t="shared" si="61"/>
        <v>124.19114027891715</v>
      </c>
      <c r="I296" s="249">
        <f>IFERROR(ROUNDUP(H296*'Customer Base'!$J$5,2),0)</f>
        <v>1987.06</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B298" s="270">
        <v>1</v>
      </c>
      <c r="C298" s="248" t="s">
        <v>898</v>
      </c>
      <c r="D298" s="329">
        <v>278.12</v>
      </c>
      <c r="E298" s="329">
        <v>261.95400000000001</v>
      </c>
      <c r="F298" s="261">
        <f t="shared" si="60"/>
        <v>228.15422477440524</v>
      </c>
      <c r="G298" s="249">
        <f>IFERROR(ROUNDUP(F298*'Customer Base'!$J$5,2),0)</f>
        <v>3650.4700000000003</v>
      </c>
      <c r="H298" s="261">
        <f t="shared" si="61"/>
        <v>214.89253486464315</v>
      </c>
      <c r="I298" s="249">
        <f>IFERROR(ROUNDUP(H298*'Customer Base'!$J$5,2),0)</f>
        <v>3438.2900000000004</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2728</v>
      </c>
      <c r="D299" s="329">
        <v>320.57</v>
      </c>
      <c r="E299" s="329">
        <v>301.93599999999998</v>
      </c>
      <c r="F299" s="261">
        <f t="shared" si="60"/>
        <v>262.97785069729287</v>
      </c>
      <c r="G299" s="249">
        <f>IFERROR(ROUNDUP(F299*'Customer Base'!$J$5,2),0)</f>
        <v>4207.6500000000005</v>
      </c>
      <c r="H299" s="261">
        <f t="shared" si="61"/>
        <v>247.69155045118947</v>
      </c>
      <c r="I299" s="249">
        <f>IFERROR(ROUNDUP(H299*'Customer Base'!$J$5,2),0)</f>
        <v>3963.07</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2729</v>
      </c>
      <c r="D300" s="329">
        <v>220.33</v>
      </c>
      <c r="E300" s="329">
        <v>207.52199999999999</v>
      </c>
      <c r="F300" s="261">
        <f t="shared" si="60"/>
        <v>180.74651353568498</v>
      </c>
      <c r="G300" s="249">
        <f>IFERROR(ROUNDUP(F300*'Customer Base'!$J$5,2),0)</f>
        <v>2891.9500000000003</v>
      </c>
      <c r="H300" s="261">
        <f t="shared" si="61"/>
        <v>170.23954060705495</v>
      </c>
      <c r="I300" s="249">
        <f>IFERROR(ROUNDUP(H300*'Customer Base'!$J$5,2),0)</f>
        <v>2723.84</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f>IF(AND('Customer Base'!D$34="Yes",A298=1),1,"")</f>
        <v>1</v>
      </c>
      <c r="B301" s="270">
        <v>1</v>
      </c>
      <c r="C301" s="248" t="s">
        <v>2831</v>
      </c>
      <c r="D301" s="329">
        <v>210.08</v>
      </c>
      <c r="E301" s="329">
        <v>208.32</v>
      </c>
      <c r="F301" s="261">
        <f t="shared" si="60"/>
        <v>172.33798195242002</v>
      </c>
      <c r="G301" s="249">
        <f>IFERROR(ROUNDUP(F301*'Customer Base'!$J$5,2),0)</f>
        <v>2757.4100000000003</v>
      </c>
      <c r="H301" s="261">
        <f t="shared" si="61"/>
        <v>170.89417555373254</v>
      </c>
      <c r="I301" s="249">
        <f>IFERROR(ROUNDUP(H301*'Customer Base'!$J$5,2),0)</f>
        <v>2734.3100000000004</v>
      </c>
      <c r="J301" s="103" t="str">
        <f t="shared" si="57"/>
        <v/>
      </c>
      <c r="L301" s="103" t="str">
        <f t="shared" si="58"/>
        <v/>
      </c>
      <c r="N301" s="103">
        <v>310</v>
      </c>
      <c r="O301" s="103" t="str">
        <f>IF('Customer Base'!$I$15="MANUAL",IF(B301&lt;&gt;"",C301,""),IF('Customer Base'!$I$15="AUTOMATE",IF(A301&lt;&gt;"",C301,""),""))</f>
        <v>Victron GX Touch 50</v>
      </c>
    </row>
    <row r="302" spans="1:48">
      <c r="A302" s="103">
        <f>IF(AND('Customer Base'!D$34="Yes",A298=1),1,"")</f>
        <v>1</v>
      </c>
      <c r="B302" s="270">
        <v>1</v>
      </c>
      <c r="C302" s="248" t="s">
        <v>1031</v>
      </c>
      <c r="D302" s="329">
        <v>15.34</v>
      </c>
      <c r="E302" s="329">
        <v>14.4504</v>
      </c>
      <c r="F302" s="261">
        <f t="shared" si="60"/>
        <v>12.584085315832649</v>
      </c>
      <c r="G302" s="249">
        <f>IFERROR(ROUNDUP(F302*'Customer Base'!$J$5,2),0)</f>
        <v>201.35</v>
      </c>
      <c r="H302" s="261">
        <f t="shared" si="61"/>
        <v>11.85430680885972</v>
      </c>
      <c r="I302" s="249">
        <f>IFERROR(ROUNDUP(H302*'Customer Base'!$J$5,2),0)</f>
        <v>189.67</v>
      </c>
      <c r="J302" s="103" t="str">
        <f t="shared" si="57"/>
        <v/>
      </c>
      <c r="L302" s="103" t="str">
        <f t="shared" si="58"/>
        <v/>
      </c>
      <c r="N302" s="103">
        <v>311</v>
      </c>
      <c r="O302" s="103" t="str">
        <f>IF('Customer Base'!$I$15="MANUAL",IF(B302&lt;&gt;"",C302,""),IF('Customer Base'!$I$15="AUTOMATE",IF(A302&lt;&gt;"",C302,""),""))</f>
        <v>Victron GX Touch 50 Wall Mount</v>
      </c>
      <c r="AO302" s="103">
        <f>IF('Customer Base'!$I$15="MANUAL",IFERROR(AM302*B302,""),IF('Customer Base'!$I$15="AUTOMATE",IFERROR(AM302*A302,""),""))</f>
        <v>0</v>
      </c>
      <c r="AV302" s="103">
        <f t="shared" si="59"/>
        <v>0</v>
      </c>
    </row>
    <row r="303" spans="1:48">
      <c r="C303" s="248" t="s">
        <v>1032</v>
      </c>
      <c r="D303" s="329">
        <v>20.78</v>
      </c>
      <c r="E303" s="329">
        <v>19.57</v>
      </c>
      <c r="F303" s="261">
        <f t="shared" si="60"/>
        <v>17.0467596390484</v>
      </c>
      <c r="G303" s="249">
        <f>IFERROR(ROUNDUP(F303*'Customer Base'!$J$5,2),0)</f>
        <v>272.75</v>
      </c>
      <c r="H303" s="261">
        <f t="shared" si="61"/>
        <v>16.054142739950777</v>
      </c>
      <c r="I303" s="249">
        <f>IFERROR(ROUNDUP(H303*'Customer Base'!$J$5,2),0)</f>
        <v>256.87</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2730</v>
      </c>
      <c r="D304" s="329">
        <v>17.170000000000002</v>
      </c>
      <c r="E304" s="329">
        <v>16.167999999999999</v>
      </c>
      <c r="F304" s="261">
        <f t="shared" si="60"/>
        <v>14.085315832649714</v>
      </c>
      <c r="G304" s="249">
        <f>IFERROR(ROUNDUP(F304*'Customer Base'!$J$5,2),0)</f>
        <v>225.37</v>
      </c>
      <c r="H304" s="261">
        <f t="shared" si="61"/>
        <v>13.263330598851516</v>
      </c>
      <c r="I304" s="249">
        <f>IFERROR(ROUNDUP(H304*'Customer Base'!$J$5,2),0)</f>
        <v>212.22</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1546</v>
      </c>
      <c r="D305" s="329">
        <v>438.86</v>
      </c>
      <c r="E305" s="329">
        <v>413.34300000000002</v>
      </c>
      <c r="F305" s="261">
        <f t="shared" si="60"/>
        <v>360.01640689089419</v>
      </c>
      <c r="G305" s="249">
        <f>IFERROR(ROUNDUP(F305*'Customer Base'!$J$5,2),0)</f>
        <v>5760.27</v>
      </c>
      <c r="H305" s="261">
        <f t="shared" si="61"/>
        <v>339.0836751435603</v>
      </c>
      <c r="I305" s="249">
        <f>IFERROR(ROUNDUP(H305*'Customer Base'!$J$5,2),0)</f>
        <v>5425.34</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2731</v>
      </c>
      <c r="D306" s="329">
        <v>570.70000000000005</v>
      </c>
      <c r="E306" s="329">
        <v>537.51599999999996</v>
      </c>
      <c r="F306" s="261">
        <f t="shared" si="60"/>
        <v>468.17063166529942</v>
      </c>
      <c r="G306" s="249">
        <f>IFERROR(ROUNDUP(F306*'Customer Base'!$J$5,2),0)</f>
        <v>7490.74</v>
      </c>
      <c r="H306" s="261">
        <f t="shared" si="61"/>
        <v>440.94831829368331</v>
      </c>
      <c r="I306" s="249">
        <f>IFERROR(ROUNDUP(H306*'Customer Base'!$J$5,2),0)</f>
        <v>7055.18</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3259.46</v>
      </c>
      <c r="H307" s="261">
        <f t="shared" si="61"/>
        <v>191.87530762920423</v>
      </c>
      <c r="I307" s="249">
        <f>IFERROR(ROUNDUP(H307*'Customer Base'!$J$5,2),0)</f>
        <v>3070.01</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296.25</v>
      </c>
      <c r="H308" s="261">
        <f t="shared" si="61"/>
        <v>17.435602953240362</v>
      </c>
      <c r="I308" s="249">
        <f>IFERROR(ROUNDUP(H308*'Customer Base'!$J$5,2),0)</f>
        <v>278.96999999999997</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2732</v>
      </c>
      <c r="D309" s="329">
        <v>134.54</v>
      </c>
      <c r="E309" s="329">
        <v>126.71599999999999</v>
      </c>
      <c r="F309" s="261">
        <f t="shared" si="60"/>
        <v>110.36915504511893</v>
      </c>
      <c r="G309" s="249">
        <f>IFERROR(ROUNDUP(F309*'Customer Base'!$J$5,2),0)</f>
        <v>1765.91</v>
      </c>
      <c r="H309" s="261">
        <f t="shared" si="61"/>
        <v>103.95077932731746</v>
      </c>
      <c r="I309" s="249">
        <f>IFERROR(ROUNDUP(H309*'Customer Base'!$J$5,2),0)</f>
        <v>1663.22</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471.34</v>
      </c>
      <c r="H310" s="261">
        <f t="shared" si="61"/>
        <v>26.512715340442988</v>
      </c>
      <c r="I310" s="249">
        <f>IFERROR(ROUNDUP(H310*'Customer Base'!$J$5,2),0)</f>
        <v>424.21</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1622</v>
      </c>
      <c r="D311" s="329">
        <v>24.57</v>
      </c>
      <c r="E311" s="329">
        <v>22.113</v>
      </c>
      <c r="F311" s="261">
        <f t="shared" ref="F311:F376" si="62">$D311/1.219</f>
        <v>20.155865463494667</v>
      </c>
      <c r="G311" s="249">
        <f>IFERROR(ROUNDUP(F311*'Customer Base'!$J$5,2),0)</f>
        <v>322.5</v>
      </c>
      <c r="H311" s="261">
        <f t="shared" ref="H311:H376" si="63">$E311/1.219</f>
        <v>18.140278917145199</v>
      </c>
      <c r="I311" s="249">
        <f>IFERROR(ROUNDUP(H311*'Customer Base'!$J$5,2),0)</f>
        <v>290.25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520.96</v>
      </c>
      <c r="H312" s="261">
        <f t="shared" si="63"/>
        <v>29.303527481542243</v>
      </c>
      <c r="I312" s="249">
        <f>IFERROR(ROUNDUP(H312*'Customer Base'!$J$5,2),0)</f>
        <v>468.86</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2734</v>
      </c>
      <c r="D314" s="326">
        <v>173.38</v>
      </c>
      <c r="E314" s="326">
        <v>163.29599999999999</v>
      </c>
      <c r="F314" s="258">
        <f t="shared" si="62"/>
        <v>142.23133716160785</v>
      </c>
      <c r="G314" s="245">
        <f>IFERROR(ROUNDUP(F314*'Customer Base'!$J$5,2),0)</f>
        <v>2275.71</v>
      </c>
      <c r="H314" s="258">
        <f t="shared" si="63"/>
        <v>133.95898277276456</v>
      </c>
      <c r="I314" s="245">
        <f>IFERROR(ROUNDUP(H314*'Customer Base'!$J$5,2),0)</f>
        <v>2143.3500000000004</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746.85</v>
      </c>
      <c r="H315" s="258">
        <f t="shared" si="63"/>
        <v>43.962264150943398</v>
      </c>
      <c r="I315" s="245">
        <f>IFERROR(ROUNDUP(H315*'Customer Base'!$J$5,2),0)</f>
        <v>703.4</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1315.71</v>
      </c>
      <c r="H316" s="258">
        <f t="shared" si="63"/>
        <v>77.452009844134537</v>
      </c>
      <c r="I316" s="245">
        <f>IFERROR(ROUNDUP(H316*'Customer Base'!$J$5,2),0)</f>
        <v>1239.24</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2733</v>
      </c>
      <c r="D317" s="326">
        <v>133.63999999999999</v>
      </c>
      <c r="E317" s="326">
        <v>125.874</v>
      </c>
      <c r="F317" s="258">
        <f t="shared" si="62"/>
        <v>109.63084495488103</v>
      </c>
      <c r="G317" s="245">
        <f>IFERROR(ROUNDUP(F317*'Customer Base'!$J$5,2),0)</f>
        <v>1754.1</v>
      </c>
      <c r="H317" s="258">
        <f t="shared" si="63"/>
        <v>103.26004922067267</v>
      </c>
      <c r="I317" s="245">
        <f>IFERROR(ROUNDUP(H317*'Customer Base'!$J$5,2),0)</f>
        <v>1652.17</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1920.14</v>
      </c>
      <c r="H318" s="258">
        <f t="shared" si="63"/>
        <v>113.02789171452009</v>
      </c>
      <c r="I318" s="245">
        <f>IFERROR(ROUNDUP(H318*'Customer Base'!$J$5,2),0)</f>
        <v>1808.45</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1892</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2145.11</v>
      </c>
      <c r="H321" s="238">
        <f t="shared" si="63"/>
        <v>126.27727645611155</v>
      </c>
      <c r="I321" s="238">
        <f>IFERROR(ROUNDUP(H321*'Customer Base'!$J$5,2),0)</f>
        <v>2020.44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t="str">
        <f>IF(AND('Customer Base'!D$19="Lithium",SUMPRODUCT(A$6:A$132,AW$6:AW$132)&gt;600,SUMPRODUCT(A$6:A$132,AW$6:AW$132)&lt;=1000),1,IF(SUMPRODUCT(A$6:A$132,AW$6:AW$132)&gt;1000,ROUNDUP(SUMPRODUCT(A$6:A$132,AW$6:AW$132)/1000,0),""))</f>
        <v/>
      </c>
      <c r="B322" s="270">
        <v>2</v>
      </c>
      <c r="C322" s="237" t="s">
        <v>2753</v>
      </c>
      <c r="D322" s="267">
        <v>223.94</v>
      </c>
      <c r="E322" s="267">
        <v>210.92400000000001</v>
      </c>
      <c r="F322" s="238">
        <f t="shared" si="62"/>
        <v>183.70795734208366</v>
      </c>
      <c r="G322" s="238">
        <f>IFERROR(ROUNDUP(F322*'Customer Base'!$J$5,2),0)</f>
        <v>2939.3300000000004</v>
      </c>
      <c r="H322" s="238">
        <f t="shared" si="63"/>
        <v>173.03035274815423</v>
      </c>
      <c r="I322" s="238">
        <f>IFERROR(ROUNDUP(H322*'Customer Base'!$J$5,2),0)</f>
        <v>2768.4900000000002</v>
      </c>
      <c r="J322" s="103" t="str">
        <f t="shared" si="57"/>
        <v/>
      </c>
      <c r="L322" s="103" t="str">
        <f t="shared" si="58"/>
        <v/>
      </c>
      <c r="N322" s="103">
        <v>331</v>
      </c>
      <c r="O322" s="103" t="str">
        <f>IF('Customer Base'!$I$15="MANUAL",IF(B322&lt;&gt;"",C322,""),IF('Customer Base'!$I$15="AUTOMATE",IF(A322&lt;&gt;"",C322,""),""))</f>
        <v/>
      </c>
      <c r="AO322" s="103" t="str">
        <f>IF('Customer Base'!$I$15="MANUAL",IFERROR(AM322*B322,""),IF('Customer Base'!$I$15="AUTOMATE",IFERROR(AM322*A322,""),""))</f>
        <v/>
      </c>
      <c r="AV322" s="103">
        <f t="shared" si="59"/>
        <v>0</v>
      </c>
    </row>
    <row r="323" spans="1:48">
      <c r="A323" s="103" t="str">
        <f>IF(AND('Customer Base'!D$19="Lithium",SUMPRODUCT(A$6:A$132,AW$6:AW$132)&gt;0,SUMPRODUCT(A$6:A$132,AW$6:AW$132)&lt;=150),2,"")</f>
        <v/>
      </c>
      <c r="B323" s="270" t="s">
        <v>1</v>
      </c>
      <c r="C323" s="237" t="s">
        <v>2754</v>
      </c>
      <c r="D323" s="267">
        <v>18.95</v>
      </c>
      <c r="E323" s="267">
        <v>17.852</v>
      </c>
      <c r="F323" s="238">
        <f t="shared" si="62"/>
        <v>15.545529122231336</v>
      </c>
      <c r="G323" s="238">
        <f>IFERROR(ROUNDUP(F323*'Customer Base'!$J$5,2),0)</f>
        <v>248.73</v>
      </c>
      <c r="H323" s="238">
        <f t="shared" si="63"/>
        <v>14.644790812141098</v>
      </c>
      <c r="I323" s="238">
        <f>IFERROR(ROUNDUP(H323*'Customer Base'!$J$5,2),0)</f>
        <v>234.32</v>
      </c>
      <c r="J323" s="103" t="str">
        <f t="shared" si="57"/>
        <v/>
      </c>
      <c r="L323" s="103" t="str">
        <f t="shared" si="58"/>
        <v/>
      </c>
      <c r="N323" s="103">
        <v>332</v>
      </c>
      <c r="O323" s="103" t="str">
        <f>IF('Customer Base'!$I$15="MANUAL",IF(B323&lt;&gt;"",C323,""),IF('Customer Base'!$I$15="AUTOMATE",IF(A323&lt;&gt;"",C323,""),""))</f>
        <v/>
      </c>
      <c r="AO323" s="103" t="str">
        <f>IF('Customer Base'!$I$15="MANUAL",IFERROR(AM323*B323,""),IF('Customer Base'!$I$15="AUTOMATE",IFERROR(AM323*A323,""),""))</f>
        <v/>
      </c>
      <c r="AV323" s="103">
        <f t="shared" si="59"/>
        <v>0</v>
      </c>
    </row>
    <row r="324" spans="1:48">
      <c r="C324" s="237" t="s">
        <v>2755</v>
      </c>
      <c r="D324" s="267">
        <v>28.896000000000001</v>
      </c>
      <c r="E324" s="267">
        <v>27.216000000000001</v>
      </c>
      <c r="F324" s="238">
        <f t="shared" si="62"/>
        <v>23.70467596390484</v>
      </c>
      <c r="G324" s="238">
        <f>IFERROR(ROUNDUP(F324*'Customer Base'!$J$5,2),0)</f>
        <v>379.28</v>
      </c>
      <c r="H324" s="238">
        <f t="shared" si="63"/>
        <v>22.326497128794092</v>
      </c>
      <c r="I324" s="238">
        <f>IFERROR(ROUNDUP(H324*'Customer Base'!$J$5,2),0)</f>
        <v>357.23</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2756</v>
      </c>
      <c r="D325" s="267">
        <v>18.95</v>
      </c>
      <c r="E325" s="267">
        <v>17.852</v>
      </c>
      <c r="F325" s="238">
        <f t="shared" si="62"/>
        <v>15.545529122231336</v>
      </c>
      <c r="G325" s="238">
        <f>IFERROR(ROUNDUP(F325*'Customer Base'!$J$5,2),0)</f>
        <v>248.73</v>
      </c>
      <c r="H325" s="238">
        <f t="shared" si="63"/>
        <v>14.644790812141098</v>
      </c>
      <c r="I325" s="238">
        <f>IFERROR(ROUNDUP(H325*'Customer Base'!$J$5,2),0)</f>
        <v>234.32</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367.52</v>
      </c>
      <c r="H326" s="238">
        <f t="shared" si="63"/>
        <v>21.635767022149299</v>
      </c>
      <c r="I326" s="238">
        <f>IFERROR(ROUNDUP(H326*'Customer Base'!$J$5,2),0)</f>
        <v>346.18</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f>IF(AND('Customer Base'!D$19="Lithium",SUMPRODUCT(A$6:A$132,AW$6:AW$132)&gt;150,SUMPRODUCT(A$6:A$132,AW$6:AW$132)&lt;=250),2,"")</f>
        <v>2</v>
      </c>
      <c r="B327" s="270" t="s">
        <v>1</v>
      </c>
      <c r="C327" s="237" t="s">
        <v>2757</v>
      </c>
      <c r="D327" s="267">
        <v>44.24</v>
      </c>
      <c r="E327" s="267">
        <v>41.67</v>
      </c>
      <c r="F327" s="238">
        <f t="shared" si="62"/>
        <v>36.292042657916326</v>
      </c>
      <c r="G327" s="238">
        <f>IFERROR(ROUNDUP(F327*'Customer Base'!$J$5,2),0)</f>
        <v>580.67999999999995</v>
      </c>
      <c r="H327" s="238">
        <f t="shared" si="63"/>
        <v>34.183757178014766</v>
      </c>
      <c r="I327" s="238">
        <f>IFERROR(ROUNDUP(H327*'Customer Base'!$J$5,2),0)</f>
        <v>546.95000000000005</v>
      </c>
      <c r="J327" s="103" t="str">
        <f t="shared" si="57"/>
        <v/>
      </c>
      <c r="L327" s="103" t="str">
        <f t="shared" si="58"/>
        <v/>
      </c>
      <c r="N327" s="103">
        <v>336</v>
      </c>
      <c r="O327" s="103" t="str">
        <f>IF('Customer Base'!$I$15="MANUAL",IF(B327&lt;&gt;"",C327,""),IF('Customer Base'!$I$15="AUTOMATE",IF(A327&lt;&gt;"",C327,""),""))</f>
        <v>Victron Solar Busbar 250A 2P with 6 screws +cover</v>
      </c>
      <c r="AO327" s="103">
        <f>IF('Customer Base'!$I$15="MANUAL",IFERROR(AM327*B327,""),IF('Customer Base'!$I$15="AUTOMATE",IFERROR(AM327*A327,""),""))</f>
        <v>0</v>
      </c>
      <c r="AV327" s="103">
        <f t="shared" si="59"/>
        <v>0</v>
      </c>
    </row>
    <row r="328" spans="1:48">
      <c r="C328" s="237" t="s">
        <v>2758</v>
      </c>
      <c r="D328" s="267">
        <v>50.57</v>
      </c>
      <c r="E328" s="267">
        <v>47.628</v>
      </c>
      <c r="F328" s="238">
        <f t="shared" si="62"/>
        <v>41.484823625922886</v>
      </c>
      <c r="G328" s="238">
        <f>IFERROR(ROUNDUP(F328*'Customer Base'!$J$5,2),0)</f>
        <v>663.76</v>
      </c>
      <c r="H328" s="238">
        <f t="shared" si="63"/>
        <v>39.071369975389658</v>
      </c>
      <c r="I328" s="238">
        <f>IFERROR(ROUNDUP(H328*'Customer Base'!$J$5,2),0)</f>
        <v>625.15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2759</v>
      </c>
      <c r="D329" s="267">
        <v>57.79</v>
      </c>
      <c r="E329" s="267">
        <v>54.432000000000002</v>
      </c>
      <c r="F329" s="238">
        <f t="shared" si="62"/>
        <v>47.40771123872026</v>
      </c>
      <c r="G329" s="238">
        <f>IFERROR(ROUNDUP(F329*'Customer Base'!$J$5,2),0)</f>
        <v>758.53</v>
      </c>
      <c r="H329" s="238">
        <f t="shared" si="63"/>
        <v>44.652994257588183</v>
      </c>
      <c r="I329" s="238">
        <f>IFERROR(ROUNDUP(H329*'Customer Base'!$J$5,2),0)</f>
        <v>714.45</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2760</v>
      </c>
      <c r="D330" s="267">
        <v>62.3</v>
      </c>
      <c r="E330" s="267">
        <v>58.676000000000002</v>
      </c>
      <c r="F330" s="238">
        <f t="shared" si="62"/>
        <v>51.107465135356847</v>
      </c>
      <c r="G330" s="238">
        <f>IFERROR(ROUNDUP(F330*'Customer Base'!$J$5,2),0)</f>
        <v>817.72</v>
      </c>
      <c r="H330" s="238">
        <f t="shared" si="63"/>
        <v>48.134536505332235</v>
      </c>
      <c r="I330" s="238">
        <f>IFERROR(ROUNDUP(H330*'Customer Base'!$J$5,2),0)</f>
        <v>770.16</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B331" s="270" t="s">
        <v>1</v>
      </c>
      <c r="C331" s="237" t="s">
        <v>999</v>
      </c>
      <c r="D331" s="267">
        <v>131.84</v>
      </c>
      <c r="E331" s="267">
        <v>124.173</v>
      </c>
      <c r="F331" s="238">
        <f t="shared" si="62"/>
        <v>108.15422477440525</v>
      </c>
      <c r="G331" s="238">
        <f>IFERROR(ROUNDUP(F331*'Customer Base'!$J$5,2),0)</f>
        <v>1730.47</v>
      </c>
      <c r="H331" s="238">
        <f t="shared" si="63"/>
        <v>101.86464315012304</v>
      </c>
      <c r="I331" s="238">
        <f>IFERROR(ROUNDUP(H331*'Customer Base'!$J$5,2),0)</f>
        <v>1629.84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2690.6000000000004</v>
      </c>
      <c r="H332" s="238">
        <f t="shared" si="63"/>
        <v>158.38556193601312</v>
      </c>
      <c r="I332" s="238">
        <f>IFERROR(ROUNDUP(H332*'Customer Base'!$J$5,2),0)</f>
        <v>2534.17</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462.42</v>
      </c>
      <c r="H333" s="238">
        <f t="shared" si="63"/>
        <v>27.217391304347821</v>
      </c>
      <c r="I333" s="238">
        <f>IFERROR(ROUNDUP(H333*'Customer Base'!$J$5,2),0)</f>
        <v>435.48</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t="str">
        <f ca="1">IFERROR(IF(AND(AND('Customer Base'!D$13="Victron",'Customer Base'!D14&lt;&gt;6),'Customer Base'!D$7&lt;&gt;"Backup",'Client List'!$EE$474&lt;&gt;""),IF(IF('Client List'!IM474=2,'Client List'!IK474,0)+IF('Client List'!EE474=2,'Client List'!EC474,0)=0,"",IF('Client List'!IM474=2,'Client List'!IK474,0)+IF('Client List'!EE474=2,'Client List'!EC474,0)),""),"")</f>
        <v/>
      </c>
      <c r="B335" s="270">
        <v>1</v>
      </c>
      <c r="C335" s="237" t="s">
        <v>1043</v>
      </c>
      <c r="D335" s="267">
        <v>120.4</v>
      </c>
      <c r="E335" s="267">
        <v>113.4</v>
      </c>
      <c r="F335" s="238">
        <f t="shared" si="62"/>
        <v>98.769483182936838</v>
      </c>
      <c r="G335" s="238">
        <f>IFERROR(ROUNDUP(F335*'Customer Base'!$J$5,2),0)</f>
        <v>1580.32</v>
      </c>
      <c r="H335" s="238">
        <f t="shared" si="63"/>
        <v>93.027071369975388</v>
      </c>
      <c r="I335" s="238">
        <f>IFERROR(ROUNDUP(H335*'Customer Base'!$J$5,2),0)</f>
        <v>1488.44</v>
      </c>
      <c r="J335" s="103" t="str">
        <f t="shared" si="57"/>
        <v/>
      </c>
      <c r="L335" s="103" t="str">
        <f t="shared" si="58"/>
        <v/>
      </c>
      <c r="N335" s="103">
        <v>344</v>
      </c>
      <c r="O335" s="103" t="str">
        <f ca="1">IF('Customer Base'!$I$15="MANUAL",IF(B335&lt;&gt;"",C335,""),IF('Customer Base'!$I$15="AUTOMATE",IF(A335&lt;&gt;"",C335,""),""))</f>
        <v/>
      </c>
      <c r="AO335" s="103" t="str">
        <f ca="1">IF('Customer Base'!$I$15="MANUAL",IFERROR(AM335*B335,""),IF('Customer Base'!$I$15="AUTOMATE",IFERROR(AM335*A335,""),""))</f>
        <v/>
      </c>
      <c r="AV335" s="103">
        <f t="shared" si="59"/>
        <v>0</v>
      </c>
    </row>
    <row r="336" spans="1:48">
      <c r="A336" s="103">
        <f ca="1">IFERROR(IF(AND(AND('Customer Base'!D$13="Victron",'Customer Base'!D14&lt;&gt;6),'Customer Base'!D$7&lt;&gt;"Backup",'Client List'!$EE$474&lt;&gt;""),IF(IF('Client List'!IM474=3,'Client List'!IK474,0)+IF('Client List'!EE474=3,'Client List'!EC474,0)=0,"",IF('Client List'!IM474=3,'Client List'!IK474,0)+IF('Client List'!EE474=3,'Client List'!EC474,0)),""),"")</f>
        <v>2</v>
      </c>
      <c r="B336" s="270" t="s">
        <v>1</v>
      </c>
      <c r="C336" s="237" t="s">
        <v>1044</v>
      </c>
      <c r="D336" s="267">
        <v>126.42</v>
      </c>
      <c r="E336" s="267">
        <v>119.07</v>
      </c>
      <c r="F336" s="238">
        <f t="shared" si="62"/>
        <v>103.70795734208367</v>
      </c>
      <c r="G336" s="238">
        <f>IFERROR(ROUNDUP(F336*'Customer Base'!$J$5,2),0)</f>
        <v>1659.33</v>
      </c>
      <c r="H336" s="238">
        <f t="shared" si="63"/>
        <v>97.678424938474151</v>
      </c>
      <c r="I336" s="238">
        <f>IFERROR(ROUNDUP(H336*'Customer Base'!$J$5,2),0)</f>
        <v>1562.86</v>
      </c>
      <c r="J336" s="103" t="str">
        <f t="shared" si="57"/>
        <v/>
      </c>
      <c r="L336" s="103" t="str">
        <f t="shared" si="58"/>
        <v/>
      </c>
      <c r="N336" s="103">
        <v>345</v>
      </c>
      <c r="O336" s="103" t="str">
        <f ca="1">IF('Customer Base'!$I$15="MANUAL",IF(B336&lt;&gt;"",C336,""),IF('Customer Base'!$I$15="AUTOMATE",IF(A336&lt;&gt;"",C336,""),""))</f>
        <v>Solar DC Combiner BHS 3/1</v>
      </c>
      <c r="AO336" s="103">
        <f ca="1">IF('Customer Base'!$I$15="MANUAL",IFERROR(AM336*B336,""),IF('Customer Base'!$I$15="AUTOMATE",IFERROR(AM336*A336,""),""))</f>
        <v>0</v>
      </c>
      <c r="AV336" s="103">
        <f t="shared" si="59"/>
        <v>0</v>
      </c>
    </row>
    <row r="337" spans="1:48">
      <c r="A337" s="103" t="str">
        <f ca="1">IFERROR(IF(AND(AND('Customer Base'!D$13="Victron",'Customer Base'!D14&lt;&gt;6),'Customer Base'!D$7&lt;&gt;"Backup",'Client List'!$EE$474&lt;&gt;""),IF(IF('Client List'!IM474=4,'Client List'!IK474,0)+IF('Client List'!EE474=4,'Client List'!EC474,0)=0,"",IF('Client List'!IM474=4,'Client List'!IK474,0)+IF('Client List'!EE474=4,'Client List'!EC474,0)),""),"")</f>
        <v/>
      </c>
      <c r="B337" s="270" t="s">
        <v>1</v>
      </c>
      <c r="C337" s="237" t="s">
        <v>1045</v>
      </c>
      <c r="D337" s="267">
        <v>163.4</v>
      </c>
      <c r="E337" s="267">
        <v>153.9</v>
      </c>
      <c r="F337" s="238">
        <f t="shared" si="62"/>
        <v>134.04429860541427</v>
      </c>
      <c r="G337" s="238">
        <f>IFERROR(ROUNDUP(F337*'Customer Base'!$J$5,2),0)</f>
        <v>2144.71</v>
      </c>
      <c r="H337" s="238">
        <f t="shared" si="63"/>
        <v>126.25102543068088</v>
      </c>
      <c r="I337" s="238">
        <f>IFERROR(ROUNDUP(H337*'Customer Base'!$J$5,2),0)</f>
        <v>2020.02</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2709.11</v>
      </c>
      <c r="H338" s="238">
        <f t="shared" si="63"/>
        <v>159.47497949138636</v>
      </c>
      <c r="I338" s="238">
        <f>IFERROR(ROUNDUP(H338*'Customer Base'!$J$5,2),0)</f>
        <v>2551.6000000000004</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3160.63</v>
      </c>
      <c r="H339" s="238">
        <f t="shared" si="63"/>
        <v>186.05414273995078</v>
      </c>
      <c r="I339" s="238">
        <f>IFERROR(ROUNDUP(H339*'Customer Base'!$J$5,2),0)</f>
        <v>2976.8700000000003</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3138.05</v>
      </c>
      <c r="H340" s="238">
        <f t="shared" si="63"/>
        <v>184.72518457752255</v>
      </c>
      <c r="I340" s="238">
        <f>IFERROR(ROUNDUP(H340*'Customer Base'!$J$5,2),0)</f>
        <v>2955.61</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3070.32</v>
      </c>
      <c r="H341" s="238">
        <f t="shared" si="63"/>
        <v>180.73831009023789</v>
      </c>
      <c r="I341" s="238">
        <f>IFERROR(ROUNDUP(H341*'Customer Base'!$J$5,2),0)</f>
        <v>2891.82</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6050.34</v>
      </c>
      <c r="H342" s="238">
        <f t="shared" si="63"/>
        <v>356.16078753076289</v>
      </c>
      <c r="I342" s="238">
        <f>IFERROR(ROUNDUP(H342*'Customer Base'!$J$5,2),0)</f>
        <v>5698.58</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4515.18</v>
      </c>
      <c r="H344" s="238">
        <f t="shared" si="63"/>
        <v>265.79163248564396</v>
      </c>
      <c r="I344" s="238">
        <f>IFERROR(ROUNDUP(H344*'Customer Base'!$J$5,2),0)</f>
        <v>4252.67</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4650.6400000000003</v>
      </c>
      <c r="H345" s="238">
        <f t="shared" si="63"/>
        <v>273.76538146021329</v>
      </c>
      <c r="I345" s="238">
        <f>IFERROR(ROUNDUP(H345*'Customer Base'!$J$5,2),0)</f>
        <v>4380.25</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5169.88</v>
      </c>
      <c r="H346" s="238">
        <f t="shared" si="63"/>
        <v>304.33141919606231</v>
      </c>
      <c r="I346" s="238">
        <f>IFERROR(ROUNDUP(H346*'Customer Base'!$J$5,2),0)</f>
        <v>4869.3100000000004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6230.95</v>
      </c>
      <c r="H347" s="238">
        <f t="shared" si="63"/>
        <v>366.79245283018867</v>
      </c>
      <c r="I347" s="238">
        <f>IFERROR(ROUNDUP(H347*'Customer Base'!$J$5,2),0)</f>
        <v>5868.68</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25578.48</v>
      </c>
      <c r="H348" s="238">
        <f t="shared" si="63"/>
        <v>1505.7095980311731</v>
      </c>
      <c r="I348" s="238">
        <f>IFERROR(ROUNDUP(H348*'Customer Base'!$J$5,2),0)</f>
        <v>24091.359999999997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17654.34</v>
      </c>
      <c r="H349" s="238">
        <f t="shared" si="63"/>
        <v>1039.2452830188679</v>
      </c>
      <c r="I349" s="238">
        <f>IFERROR(ROUNDUP(H349*'Customer Base'!$J$5,2),0)</f>
        <v>16627.929999999997</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18060.71</v>
      </c>
      <c r="H350" s="238">
        <f t="shared" si="63"/>
        <v>1063.1665299425758</v>
      </c>
      <c r="I350" s="238">
        <f>IFERROR(ROUNDUP(H350*'Customer Base'!$J$5,2),0)</f>
        <v>17010.669999999998</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24539.989999999998</v>
      </c>
      <c r="H351" s="238">
        <f t="shared" si="63"/>
        <v>1444.577522559475</v>
      </c>
      <c r="I351" s="238">
        <f>IFERROR(ROUNDUP(H351*'Customer Base'!$J$5,2),0)</f>
        <v>23113.25</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B352" s="270">
        <v>1</v>
      </c>
      <c r="C352" s="237" t="s">
        <v>1059</v>
      </c>
      <c r="D352" s="267">
        <v>1862.76</v>
      </c>
      <c r="E352" s="267">
        <v>1754.46</v>
      </c>
      <c r="F352" s="238">
        <f t="shared" si="62"/>
        <v>1528.1050041017227</v>
      </c>
      <c r="G352" s="238">
        <f>IFERROR(ROUNDUP(F352*'Customer Base'!$J$5,2),0)</f>
        <v>24449.69</v>
      </c>
      <c r="H352" s="238">
        <f t="shared" si="63"/>
        <v>1439.261689909762</v>
      </c>
      <c r="I352" s="238">
        <f>IFERROR(ROUNDUP(H352*'Customer Base'!$J$5,2),0)</f>
        <v>23028.19</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26368.639999999999</v>
      </c>
      <c r="H353" s="238">
        <f t="shared" si="63"/>
        <v>1552.2231337161606</v>
      </c>
      <c r="I353" s="238">
        <f>IFERROR(ROUNDUP(H353*'Customer Base'!$J$5,2),0)</f>
        <v>24835.579999999998</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903.04</v>
      </c>
      <c r="H354" s="238">
        <f t="shared" si="63"/>
        <v>53.15832649712879</v>
      </c>
      <c r="I354" s="238">
        <f>IFERROR(ROUNDUP(H354*'Customer Base'!$J$5,2),0)</f>
        <v>850.54</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948.18999999999994</v>
      </c>
      <c r="H355" s="238">
        <f t="shared" si="63"/>
        <v>55.816242821985234</v>
      </c>
      <c r="I355" s="238">
        <f>IFERROR(ROUNDUP(H355*'Customer Base'!$J$5,2),0)</f>
        <v>893.06</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f>IF('Customer Base'!D$9=1,1,"")</f>
        <v>1</v>
      </c>
      <c r="B357" s="270" t="s">
        <v>1</v>
      </c>
      <c r="C357" s="237" t="s">
        <v>1029</v>
      </c>
      <c r="D357" s="267">
        <v>48.85</v>
      </c>
      <c r="E357" s="267">
        <v>46.008000000000003</v>
      </c>
      <c r="F357" s="238">
        <f t="shared" si="62"/>
        <v>40.073831009023792</v>
      </c>
      <c r="G357" s="238">
        <f>IFERROR(ROUNDUP(F357*'Customer Base'!$J$5,2),0)</f>
        <v>641.18999999999994</v>
      </c>
      <c r="H357" s="238">
        <f t="shared" si="63"/>
        <v>37.742411812961443</v>
      </c>
      <c r="I357" s="238">
        <f>IFERROR(ROUNDUP(H357*'Customer Base'!$J$5,2),0)</f>
        <v>603.88</v>
      </c>
      <c r="J357" s="103" t="str">
        <f t="shared" si="64"/>
        <v/>
      </c>
      <c r="L357" s="103" t="str">
        <f t="shared" si="65"/>
        <v/>
      </c>
      <c r="N357" s="103">
        <v>366</v>
      </c>
      <c r="O357" s="103" t="str">
        <f>IF('Customer Base'!$I$15="MANUAL",IF(B357&lt;&gt;"",C357,""),IF('Customer Base'!$I$15="AUTOMATE",IF(A357&lt;&gt;"",C357,""),""))</f>
        <v>Citel AC Surge Protection Device DAC50VGS-11-275/G VAC 1-Phase</v>
      </c>
      <c r="AO357" s="103">
        <f>IF('Customer Base'!$I$15="MANUAL",IFERROR(AM357*B357,""),IF('Customer Base'!$I$15="AUTOMATE",IFERROR(AM357*A357,""),""))</f>
        <v>0</v>
      </c>
      <c r="AV357" s="103">
        <f t="shared" si="66"/>
        <v>0</v>
      </c>
    </row>
    <row r="358" spans="1:48">
      <c r="A358" s="103" t="str">
        <f>IF('Customer Base'!D$9=3,1,"")</f>
        <v/>
      </c>
      <c r="B358" s="270">
        <v>1</v>
      </c>
      <c r="C358" s="237" t="s">
        <v>1030</v>
      </c>
      <c r="D358" s="267">
        <v>92.03</v>
      </c>
      <c r="E358" s="267">
        <v>86.686000000000007</v>
      </c>
      <c r="F358" s="238">
        <f t="shared" si="62"/>
        <v>75.496308449548806</v>
      </c>
      <c r="G358" s="238">
        <f>IFERROR(ROUNDUP(F358*'Customer Base'!$J$5,2),0)</f>
        <v>1207.95</v>
      </c>
      <c r="H358" s="238">
        <f t="shared" si="63"/>
        <v>71.112387202625101</v>
      </c>
      <c r="I358" s="238">
        <f>IFERROR(ROUNDUP(H358*'Customer Base'!$J$5,2),0)</f>
        <v>1137.8</v>
      </c>
      <c r="J358" s="103" t="str">
        <f t="shared" si="64"/>
        <v/>
      </c>
      <c r="L358" s="103" t="str">
        <f t="shared" si="65"/>
        <v/>
      </c>
      <c r="N358" s="103">
        <v>367</v>
      </c>
      <c r="O358" s="103" t="str">
        <f>IF('Customer Base'!$I$15="MANUAL",IF(B358&lt;&gt;"",C358,""),IF('Customer Base'!$I$15="AUTOMATE",IF(A358&lt;&gt;"",C358,""),""))</f>
        <v/>
      </c>
      <c r="AO358" s="103" t="str">
        <f>IF('Customer Base'!$I$15="MANUAL",IFERROR(AM358*B358,""),IF('Customer Base'!$I$15="AUTOMATE",IFERROR(AM358*A358,""),""))</f>
        <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B360" s="270" t="s">
        <v>1</v>
      </c>
      <c r="C360" s="237" t="s">
        <v>2727</v>
      </c>
      <c r="D360" s="267">
        <v>63.86</v>
      </c>
      <c r="E360" s="267">
        <v>60.151000000000003</v>
      </c>
      <c r="F360" s="238">
        <f t="shared" si="62"/>
        <v>52.387202625102539</v>
      </c>
      <c r="G360" s="238">
        <f>IFERROR(ROUNDUP(F360*'Customer Base'!$J$5,2),0)</f>
        <v>838.2</v>
      </c>
      <c r="H360" s="238">
        <f t="shared" si="63"/>
        <v>49.344544708777683</v>
      </c>
      <c r="I360" s="238">
        <f>IFERROR(ROUNDUP(H360*'Customer Base'!$J$5,2),0)</f>
        <v>789.52</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t="str">
        <f>IFERROR(IF(AND(OR(AND('Customer Base'!D$13&lt;&gt;"Victron",'Customer Base'!D7="Hybrid"),'Customer Base'!D7="Mini-Grid",'Customer Base'!D7="Grid-Tied"),(SUMPRODUCT(A242:A254,AQ242:AQ254)/SUM(A6:A132))&gt;600),IF('Customer Base'!D13&lt;&gt;"Victron",'Customer Base'!D15,IF(AND('Customer Base'!D7="Mini-Grid",'Customer Base'!F13&lt;&gt;""),'Customer Base'!F15,"")),""),"")</f>
        <v/>
      </c>
      <c r="B361" s="270">
        <v>4</v>
      </c>
      <c r="C361" s="237" t="s">
        <v>946</v>
      </c>
      <c r="D361" s="267">
        <v>104.51</v>
      </c>
      <c r="E361" s="267">
        <v>98.430999999999997</v>
      </c>
      <c r="F361" s="238">
        <f t="shared" si="62"/>
        <v>85.734208367514356</v>
      </c>
      <c r="G361" s="238">
        <f>IFERROR(ROUNDUP(F361*'Customer Base'!$J$5,2),0)</f>
        <v>1371.75</v>
      </c>
      <c r="H361" s="238">
        <f t="shared" si="63"/>
        <v>80.747333880229689</v>
      </c>
      <c r="I361" s="238">
        <f>IFERROR(ROUNDUP(H361*'Customer Base'!$J$5,2),0)</f>
        <v>1291.96</v>
      </c>
      <c r="J361" s="103" t="str">
        <f t="shared" si="64"/>
        <v/>
      </c>
      <c r="L361" s="103" t="str">
        <f t="shared" si="65"/>
        <v/>
      </c>
      <c r="N361" s="103">
        <v>370</v>
      </c>
      <c r="O361" s="103" t="str">
        <f>IF('Customer Base'!$I$15="MANUAL",IF(B361&lt;&gt;"",C361,""),IF('Customer Base'!$I$15="AUTOMATE",IF(A361&lt;&gt;"",C361,""),""))</f>
        <v/>
      </c>
      <c r="AO361" s="103" t="str">
        <f>IF('Customer Base'!$I$15="MANUAL",IFERROR(AM361*B361,""),IF('Customer Base'!$I$15="AUTOMATE",IFERROR(AM361*A361,""),""))</f>
        <v/>
      </c>
      <c r="AV361" s="103">
        <f t="shared" si="66"/>
        <v>0</v>
      </c>
    </row>
    <row r="362" spans="1:48">
      <c r="C362" s="237" t="s">
        <v>947</v>
      </c>
      <c r="D362" s="267">
        <v>113.31</v>
      </c>
      <c r="E362" s="267">
        <v>106.726</v>
      </c>
      <c r="F362" s="238">
        <f t="shared" si="62"/>
        <v>92.953240360951597</v>
      </c>
      <c r="G362" s="238">
        <f>IFERROR(ROUNDUP(F362*'Customer Base'!$J$5,2),0)</f>
        <v>1487.26</v>
      </c>
      <c r="H362" s="238">
        <f t="shared" si="63"/>
        <v>87.552091878588996</v>
      </c>
      <c r="I362" s="238">
        <f>IFERROR(ROUNDUP(H362*'Customer Base'!$J$5,2),0)</f>
        <v>1400.84</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2726</v>
      </c>
      <c r="D363" s="267">
        <v>37.58</v>
      </c>
      <c r="E363" s="267">
        <v>35.396999999999998</v>
      </c>
      <c r="F363" s="238">
        <f t="shared" si="62"/>
        <v>30.828547990155862</v>
      </c>
      <c r="G363" s="238">
        <f>IFERROR(ROUNDUP(F363*'Customer Base'!$J$5,2),0)</f>
        <v>493.26</v>
      </c>
      <c r="H363" s="238">
        <f t="shared" si="63"/>
        <v>29.037735849056599</v>
      </c>
      <c r="I363" s="238">
        <f>IFERROR(ROUNDUP(H363*'Customer Base'!$J$5,2),0)</f>
        <v>464.61</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1894</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f ca="1">IFERROR(IF(IF('CABLE SIZING TOOL'!E$104*100&lt;=3,'Customer Base'!D$31*L$1*2,0)+IF(AND('Customer Base'!D7="Mini-Grid",'CABLE SIZING TOOL'!K$104*100&lt;=3),'Customer Base'!D$31*L$5*2,0)+IF(AND('Customer Base'!D$13="Victron",'Customer Base'!D$7&lt;&gt;"Backup",'Customer Base'!D14&lt;&gt;6),IF(Items!L$1=1,0,Items!L$1*10),0)=0,"",IF('CABLE SIZING TOOL'!E$104*100&lt;=3,'Customer Base'!D$31*L$1*2,0)+IF(AND('Customer Base'!D7="Mini-Grid",'CABLE SIZING TOOL'!K$104*100&lt;=3),'Customer Base'!D$31*L$5*2,0)+IF(AND('Customer Base'!D$13="Victron",'Customer Base'!D$7&lt;&gt;"Backup",'Customer Base'!D14&lt;&gt;6),IF(Items!L$1=1,0,Items!L$1*10),0)),"")</f>
        <v>60</v>
      </c>
      <c r="B366" s="270">
        <v>856</v>
      </c>
      <c r="C366" s="253" t="s">
        <v>1134</v>
      </c>
      <c r="D366" s="325">
        <v>1.02</v>
      </c>
      <c r="E366" s="325">
        <v>0.93500000000000005</v>
      </c>
      <c r="F366" s="255">
        <f t="shared" si="62"/>
        <v>0.83675143560295318</v>
      </c>
      <c r="G366" s="255">
        <f>IFERROR(ROUNDUP(F366*'Customer Base'!$J$5,2),0)</f>
        <v>13.39</v>
      </c>
      <c r="H366" s="255">
        <f t="shared" si="63"/>
        <v>0.76702214930270718</v>
      </c>
      <c r="I366" s="255">
        <f>IFERROR(ROUNDUP(H366*'Customer Base'!$J$5,2),0)</f>
        <v>12.28</v>
      </c>
      <c r="J366" s="103" t="str">
        <f t="shared" si="64"/>
        <v/>
      </c>
      <c r="L366" s="103" t="str">
        <f t="shared" si="65"/>
        <v/>
      </c>
      <c r="N366" s="103">
        <v>375</v>
      </c>
      <c r="O366" s="103" t="str">
        <f ca="1">IF('Customer Base'!$I$15="MANUAL",IF(B366&lt;&gt;"",C366,""),IF('Customer Base'!$I$15="AUTOMATE",IF(A366&lt;&gt;"",C366,""),""))</f>
        <v>Hikra Sol DC Solar cable 1x4mm2 1500V H1Z2Z2</v>
      </c>
      <c r="AO366" s="103">
        <f ca="1">IF('Customer Base'!$I$15="MANUAL",IFERROR(AM366*B366,""),IF('Customer Base'!$I$15="AUTOMATE",IFERROR(AM366*A366,""),""))</f>
        <v>0</v>
      </c>
      <c r="AV366" s="103">
        <f t="shared" si="66"/>
        <v>0</v>
      </c>
    </row>
    <row r="367" spans="1:48">
      <c r="A367" s="242"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B367" s="270" t="s">
        <v>1</v>
      </c>
      <c r="C367" s="253" t="s">
        <v>1135</v>
      </c>
      <c r="D367" s="325">
        <v>1.36</v>
      </c>
      <c r="E367" s="325">
        <v>1.2529999999999999</v>
      </c>
      <c r="F367" s="255">
        <f t="shared" si="62"/>
        <v>1.1156685808039377</v>
      </c>
      <c r="G367" s="255">
        <f>IFERROR(ROUNDUP(F367*'Customer Base'!$J$5,2),0)</f>
        <v>17.860000000000003</v>
      </c>
      <c r="H367" s="255">
        <f t="shared" si="63"/>
        <v>1.0278917145200983</v>
      </c>
      <c r="I367" s="255">
        <f>IFERROR(ROUNDUP(H367*'Customer Base'!$J$5,2),0)</f>
        <v>16.450000000000003</v>
      </c>
      <c r="J367" s="103" t="str">
        <f t="shared" si="64"/>
        <v/>
      </c>
      <c r="L367" s="103" t="str">
        <f t="shared" si="65"/>
        <v/>
      </c>
      <c r="N367" s="103">
        <v>376</v>
      </c>
      <c r="O367" s="103" t="str">
        <f ca="1">IF('Customer Base'!$I$15="MANUAL",IF(B367&lt;&gt;"",C367,""),IF('Customer Base'!$I$15="AUTOMATE",IF(A367&lt;&gt;"",C367,""),""))</f>
        <v/>
      </c>
      <c r="AO367" s="103" t="str">
        <f ca="1">IF('Customer Base'!$I$15="MANUAL",IFERROR(AM367*B367,""),IF('Customer Base'!$I$15="AUTOMATE",IFERROR(AM367*A367,""),""))</f>
        <v/>
      </c>
      <c r="AV367" s="103">
        <f t="shared" si="66"/>
        <v>0</v>
      </c>
    </row>
    <row r="368" spans="1:48">
      <c r="A368" s="103">
        <f ca="1">IFERROR(IF(AND('CABLE SIZING TOOL'!E$104*100&gt;3,'CABLE SIZING TOOL'!F$104*100&gt;3,'CABLE SIZING TOOL'!G$104*100&lt;=3),'Customer Base'!D$31*(IF(AND('Customer Base'!D7&lt;&gt;"Backup",'Customer Base'!D7&lt;&gt;"Grid-Tied",SUM(Items!A257:A289)&gt;0),SUM(Items!A257:A289),L$1)*2),""),"")</f>
        <v>180</v>
      </c>
      <c r="B368" s="270">
        <v>66</v>
      </c>
      <c r="C368" s="253" t="s">
        <v>1136</v>
      </c>
      <c r="D368" s="325">
        <v>2.35</v>
      </c>
      <c r="E368" s="325">
        <v>2.1589999999999998</v>
      </c>
      <c r="F368" s="255">
        <f t="shared" si="62"/>
        <v>1.9278096800656275</v>
      </c>
      <c r="G368" s="255">
        <f>IFERROR(ROUNDUP(F368*'Customer Base'!$J$5,2),0)</f>
        <v>30.85</v>
      </c>
      <c r="H368" s="255">
        <f t="shared" si="63"/>
        <v>1.7711238720262508</v>
      </c>
      <c r="I368" s="255">
        <f>IFERROR(ROUNDUP(H368*'Customer Base'!$J$5,2),0)</f>
        <v>28.34</v>
      </c>
      <c r="J368" s="103" t="str">
        <f t="shared" si="64"/>
        <v/>
      </c>
      <c r="L368" s="103" t="str">
        <f t="shared" si="65"/>
        <v/>
      </c>
      <c r="N368" s="103">
        <v>377</v>
      </c>
      <c r="O368" s="103" t="str">
        <f ca="1">IF('Customer Base'!$I$15="MANUAL",IF(B368&lt;&gt;"",C368,""),IF('Customer Base'!$I$15="AUTOMATE",IF(A368&lt;&gt;"",C368,""),""))</f>
        <v>Hikra Sol DC Solar cable 1x10mm2 1500V H1Z2Z2</v>
      </c>
      <c r="AO368" s="103">
        <f ca="1">IF('Customer Base'!$I$15="MANUAL",IFERROR(AM368*B368,""),IF('Customer Base'!$I$15="AUTOMATE",IFERROR(AM368*A368,""),""))</f>
        <v>0</v>
      </c>
      <c r="AV368" s="103">
        <f t="shared" si="66"/>
        <v>0</v>
      </c>
    </row>
    <row r="369" spans="1:48">
      <c r="A369" s="103">
        <f ca="1">IFERROR(IF(AND('Customer Base'!D$20="BYD",'Customer Base'!E$20=5,'Customer Base'!D7&lt;&gt;"Grid-Tied"),'Customer Base'!J$8+IF(AND('Customer Base'!D13="Victron",'Customer Base'!D7="Backup"),'Customer Base'!J8,0)+IF(AND('Customer Base'!D7="Backup",'Customer Base'!D13="Victron"),0,IF(AND('CABLE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30</v>
      </c>
      <c r="B369" s="270">
        <v>270</v>
      </c>
      <c r="C369" s="253" t="s">
        <v>1142</v>
      </c>
      <c r="D369" s="325">
        <v>4.53</v>
      </c>
      <c r="E369" s="325">
        <v>4.165</v>
      </c>
      <c r="F369" s="255">
        <f t="shared" si="62"/>
        <v>3.7161607875307627</v>
      </c>
      <c r="G369" s="255">
        <f>IFERROR(ROUNDUP(F369*'Customer Base'!$J$5,2),0)</f>
        <v>59.46</v>
      </c>
      <c r="H369" s="255">
        <f t="shared" si="63"/>
        <v>3.416735028712059</v>
      </c>
      <c r="I369" s="255">
        <f>IFERROR(ROUNDUP(H369*'Customer Base'!$J$5,2),0)</f>
        <v>54.669999999999995</v>
      </c>
      <c r="J369" s="103" t="str">
        <f t="shared" si="64"/>
        <v/>
      </c>
      <c r="L369" s="103" t="str">
        <f t="shared" si="65"/>
        <v/>
      </c>
      <c r="N369" s="103">
        <v>378</v>
      </c>
      <c r="O369" s="103" t="str">
        <f ca="1">IF('Customer Base'!$I$15="MANUAL",IF(B369&lt;&gt;"",C369,""),IF('Customer Base'!$I$15="AUTOMATE",IF(A369&lt;&gt;"",C369,""),""))</f>
        <v>Hikra Sol DC Solar cable 1x16mm2 1500V H1Z2Z2</v>
      </c>
      <c r="AO369" s="103">
        <f ca="1">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15</v>
      </c>
      <c r="B370" s="270">
        <v>5</v>
      </c>
      <c r="C370" s="253" t="s">
        <v>1143</v>
      </c>
      <c r="D370" s="325">
        <v>8.25</v>
      </c>
      <c r="E370" s="325">
        <v>7.5819999999999999</v>
      </c>
      <c r="F370" s="255">
        <f t="shared" si="62"/>
        <v>6.7678424938474153</v>
      </c>
      <c r="G370" s="255">
        <f>IFERROR(ROUNDUP(F370*'Customer Base'!$J$5,2),0)</f>
        <v>108.29</v>
      </c>
      <c r="H370" s="255">
        <f t="shared" si="63"/>
        <v>6.2198523379819521</v>
      </c>
      <c r="I370" s="255">
        <f>IFERROR(ROUNDUP(H370*'Customer Base'!$J$5,2),0)</f>
        <v>99.52000000000001</v>
      </c>
      <c r="J370" s="103" t="str">
        <f t="shared" si="64"/>
        <v/>
      </c>
      <c r="L370" s="103" t="str">
        <f t="shared" si="65"/>
        <v/>
      </c>
      <c r="N370" s="103">
        <v>379</v>
      </c>
      <c r="O370" s="103" t="str">
        <f ca="1">IF('Customer Base'!$I$15="MANUAL",IF(B370&lt;&gt;"",C370,""),IF('Customer Base'!$I$15="AUTOMATE",IF(A370&lt;&gt;"",C370,""),""))</f>
        <v>Hikra Sol DC Solar cable 1x25mm2 1500V H1Z2Z2</v>
      </c>
      <c r="AO370" s="103">
        <f ca="1">IF('Customer Base'!$I$15="MANUAL",IFERROR(AM370*B370,""),IF('Customer Base'!$I$15="AUTOMATE",IFERROR(AM370*A370,""),""))</f>
        <v>0</v>
      </c>
      <c r="AV370" s="103">
        <f t="shared" si="66"/>
        <v>0</v>
      </c>
    </row>
    <row r="371" spans="1:48">
      <c r="A371" s="103" t="str">
        <f>IF('CABLE SIZING TOOL'!I$45=35,5*'Customer Base'!D$15,"")</f>
        <v/>
      </c>
      <c r="B371" s="270" t="s">
        <v>1</v>
      </c>
      <c r="C371" s="253" t="s">
        <v>1144</v>
      </c>
      <c r="D371" s="325">
        <v>12.75</v>
      </c>
      <c r="E371" s="325">
        <v>11.712999999999999</v>
      </c>
      <c r="F371" s="255">
        <f t="shared" si="62"/>
        <v>10.459392945036916</v>
      </c>
      <c r="G371" s="255">
        <f>IFERROR(ROUNDUP(F371*'Customer Base'!$J$5,2),0)</f>
        <v>167.35999999999999</v>
      </c>
      <c r="H371" s="255">
        <f t="shared" si="63"/>
        <v>9.6086956521739122</v>
      </c>
      <c r="I371" s="255">
        <f>IFERROR(ROUNDUP(H371*'Customer Base'!$J$5,2),0)</f>
        <v>153.73999999999998</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t="str">
        <f>IF('CABLE SIZING TOOL'!I$45=50,5*'Customer Base'!D$15,"")</f>
        <v/>
      </c>
      <c r="B372" s="270" t="s">
        <v>1</v>
      </c>
      <c r="C372" s="253" t="s">
        <v>1145</v>
      </c>
      <c r="D372" s="325">
        <v>23.85</v>
      </c>
      <c r="E372" s="325">
        <v>21.913</v>
      </c>
      <c r="F372" s="255">
        <f t="shared" si="62"/>
        <v>19.565217391304348</v>
      </c>
      <c r="G372" s="255">
        <f>IFERROR(ROUNDUP(F372*'Customer Base'!$J$5,2),0)</f>
        <v>313.05</v>
      </c>
      <c r="H372" s="255">
        <f t="shared" si="63"/>
        <v>17.976210008203445</v>
      </c>
      <c r="I372" s="255">
        <f>IFERROR(ROUNDUP(H372*'Customer Base'!$J$5,2),0)</f>
        <v>287.62</v>
      </c>
      <c r="J372" s="103" t="str">
        <f t="shared" si="64"/>
        <v/>
      </c>
      <c r="L372" s="103" t="str">
        <f t="shared" si="65"/>
        <v/>
      </c>
      <c r="N372" s="103">
        <v>381</v>
      </c>
      <c r="O372" s="103" t="str">
        <f>IF('Customer Base'!$I$15="MANUAL",IF(B372&lt;&gt;"",C372,""),IF('Customer Base'!$I$15="AUTOMATE",IF(A372&lt;&gt;"",C372,""),""))</f>
        <v/>
      </c>
      <c r="AO372" s="103" t="str">
        <f>IF('Customer Base'!$I$15="MANUAL",IFERROR(AM372*B372,""),IF('Customer Base'!$I$15="AUTOMATE",IFERROR(AM372*A372,""),""))</f>
        <v/>
      </c>
      <c r="AV372" s="103">
        <f t="shared" si="66"/>
        <v>0</v>
      </c>
    </row>
    <row r="373" spans="1:48">
      <c r="A373" s="103" t="str">
        <f>IF('CABLE SIZING TOOL'!I$45=70,5*'Customer Base'!D$15,"")</f>
        <v/>
      </c>
      <c r="B373" s="270" t="s">
        <v>1</v>
      </c>
      <c r="C373" s="253" t="s">
        <v>1146</v>
      </c>
      <c r="D373" s="325">
        <v>30.64</v>
      </c>
      <c r="E373" s="325">
        <v>28.152000000000001</v>
      </c>
      <c r="F373" s="255">
        <f t="shared" si="62"/>
        <v>25.135356849876946</v>
      </c>
      <c r="G373" s="255">
        <f>IFERROR(ROUNDUP(F373*'Customer Base'!$J$5,2),0)</f>
        <v>402.17</v>
      </c>
      <c r="H373" s="255">
        <f t="shared" si="63"/>
        <v>23.09433962264151</v>
      </c>
      <c r="I373" s="255">
        <f>IFERROR(ROUNDUP(H373*'Customer Base'!$J$5,2),0)</f>
        <v>369.51</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f>IF('CABLE SIZING TOOL'!I$45=95,5*'Customer Base'!D$15,"")</f>
        <v>5</v>
      </c>
      <c r="B374" s="270">
        <v>45</v>
      </c>
      <c r="C374" s="253" t="s">
        <v>1147</v>
      </c>
      <c r="D374" s="325">
        <v>41.27</v>
      </c>
      <c r="E374" s="325">
        <v>37.927</v>
      </c>
      <c r="F374" s="255">
        <f t="shared" si="62"/>
        <v>33.855619360131257</v>
      </c>
      <c r="G374" s="255">
        <f>IFERROR(ROUNDUP(F374*'Customer Base'!$J$5,2),0)</f>
        <v>541.68999999999994</v>
      </c>
      <c r="H374" s="255">
        <f t="shared" si="63"/>
        <v>31.113207547169807</v>
      </c>
      <c r="I374" s="255">
        <f>IFERROR(ROUNDUP(H374*'Customer Base'!$J$5,2),0)</f>
        <v>497.82</v>
      </c>
      <c r="J374" s="103" t="str">
        <f t="shared" si="64"/>
        <v/>
      </c>
      <c r="L374" s="103" t="str">
        <f t="shared" si="65"/>
        <v/>
      </c>
      <c r="N374" s="103">
        <v>383</v>
      </c>
      <c r="O374" s="103" t="str">
        <f>IF('Customer Base'!$I$15="MANUAL",IF(B374&lt;&gt;"",C374,""),IF('Customer Base'!$I$15="AUTOMATE",IF(A374&lt;&gt;"",C374,""),""))</f>
        <v>Hikra Sol DC Solar cable 1x95mm2 1500V H1Z2Z2</v>
      </c>
      <c r="AO374" s="103">
        <f>IF('Customer Base'!$I$15="MANUAL",IFERROR(AM374*B374,""),IF('Customer Base'!$I$15="AUTOMATE",IFERROR(AM374*A374,""),""))</f>
        <v>0</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t="str">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
      </c>
      <c r="B376" s="270" t="s">
        <v>1</v>
      </c>
      <c r="C376" s="253" t="s">
        <v>1139</v>
      </c>
      <c r="D376" s="325">
        <v>10.51</v>
      </c>
      <c r="E376" s="325">
        <v>9.6560000000000006</v>
      </c>
      <c r="F376" s="255">
        <f t="shared" si="62"/>
        <v>8.6218211648892531</v>
      </c>
      <c r="G376" s="255">
        <f>IFERROR(ROUNDUP(F376*'Customer Base'!$J$5,2),0)</f>
        <v>137.94999999999999</v>
      </c>
      <c r="H376" s="255">
        <f t="shared" si="63"/>
        <v>7.9212469237079572</v>
      </c>
      <c r="I376" s="255">
        <f>IFERROR(ROUNDUP(H376*'Customer Base'!$J$5,2),0)</f>
        <v>126.74000000000001</v>
      </c>
      <c r="J376" s="103" t="str">
        <f t="shared" si="64"/>
        <v/>
      </c>
      <c r="L376" s="103" t="str">
        <f t="shared" si="65"/>
        <v/>
      </c>
      <c r="N376" s="103">
        <v>385</v>
      </c>
      <c r="O376" s="103" t="str">
        <f>IF('Customer Base'!$I$15="MANUAL",IF(B376&lt;&gt;"",C376,""),IF('Customer Base'!$I$15="AUTOMATE",IF(A376&lt;&gt;"",C376,""),""))</f>
        <v/>
      </c>
      <c r="AO376" s="103" t="str">
        <f>IF('Customer Base'!$I$15="MANUAL",IFERROR(AM376*B376,""),IF('Customer Base'!$I$15="AUTOMATE",IFERROR(AM376*A376,""),""))</f>
        <v/>
      </c>
      <c r="AV376" s="103">
        <f t="shared" si="66"/>
        <v>0</v>
      </c>
    </row>
    <row r="377" spans="1:48">
      <c r="A377"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B377" s="270" t="s">
        <v>1</v>
      </c>
      <c r="C377" s="253" t="s">
        <v>1140</v>
      </c>
      <c r="D377" s="325">
        <v>15.73</v>
      </c>
      <c r="E377" s="325">
        <v>14.45</v>
      </c>
      <c r="F377" s="255">
        <f t="shared" ref="F377:F399" si="67">$D377/1.219</f>
        <v>12.904019688269072</v>
      </c>
      <c r="G377" s="255">
        <f>IFERROR(ROUNDUP(F377*'Customer Base'!$J$5,2),0)</f>
        <v>206.47</v>
      </c>
      <c r="H377" s="255">
        <f t="shared" ref="H377:H399" si="68">$E377/1.219</f>
        <v>11.853978671041837</v>
      </c>
      <c r="I377" s="255">
        <f>IFERROR(ROUNDUP(H377*'Customer Base'!$J$5,2),0)</f>
        <v>189.67</v>
      </c>
      <c r="J377" s="103" t="str">
        <f t="shared" si="64"/>
        <v/>
      </c>
      <c r="L377" s="103" t="str">
        <f t="shared" si="65"/>
        <v/>
      </c>
      <c r="N377" s="103">
        <v>386</v>
      </c>
      <c r="O377" s="103" t="str">
        <f>IF('Customer Base'!$I$15="MANUAL",IF(B377&lt;&gt;"",C377,""),IF('Customer Base'!$I$15="AUTOMATE",IF(A377&lt;&gt;"",C377,""),""))</f>
        <v/>
      </c>
      <c r="AO377" s="103" t="str">
        <f>IF('Customer Base'!$I$15="MANUAL",IFERROR(AM377*B377,""),IF('Customer Base'!$I$15="AUTOMATE",IFERROR(AM377*A377,""),""))</f>
        <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B378" s="270" t="s">
        <v>1</v>
      </c>
      <c r="C378" s="253" t="s">
        <v>1141</v>
      </c>
      <c r="D378" s="325">
        <v>23.96</v>
      </c>
      <c r="E378" s="325">
        <v>22.015000000000001</v>
      </c>
      <c r="F378" s="255">
        <f t="shared" si="67"/>
        <v>19.655455291222314</v>
      </c>
      <c r="G378" s="255">
        <f>IFERROR(ROUNDUP(F378*'Customer Base'!$J$5,2),0)</f>
        <v>314.49</v>
      </c>
      <c r="H378" s="255">
        <f t="shared" si="68"/>
        <v>18.059885151763741</v>
      </c>
      <c r="I378" s="255">
        <f>IFERROR(ROUNDUP(H378*'Customer Base'!$J$5,2),0)</f>
        <v>288.95999999999998</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B379" s="270" t="s">
        <v>1</v>
      </c>
      <c r="C379" s="253" t="s">
        <v>1137</v>
      </c>
      <c r="D379" s="325">
        <v>25.44</v>
      </c>
      <c r="E379" s="325">
        <v>23.375</v>
      </c>
      <c r="F379" s="255">
        <f t="shared" si="67"/>
        <v>20.869565217391305</v>
      </c>
      <c r="G379" s="255">
        <f>IFERROR(ROUNDUP(F379*'Customer Base'!$J$5,2),0)</f>
        <v>333.92</v>
      </c>
      <c r="H379" s="255">
        <f t="shared" si="68"/>
        <v>19.175553732567678</v>
      </c>
      <c r="I379" s="255">
        <f>IFERROR(ROUNDUP(H379*'Customer Base'!$J$5,2),0)</f>
        <v>306.81</v>
      </c>
      <c r="J379" s="103" t="str">
        <f t="shared" si="64"/>
        <v/>
      </c>
      <c r="L379" s="103" t="str">
        <f t="shared" si="65"/>
        <v/>
      </c>
      <c r="N379" s="103">
        <v>388</v>
      </c>
      <c r="O379" s="103" t="str">
        <f>IF('Customer Base'!$I$15="MANUAL",IF(B379&lt;&gt;"",C379,""),IF('Customer Base'!$I$15="AUTOMATE",IF(A379&lt;&gt;"",C379,""),""))</f>
        <v/>
      </c>
      <c r="AO379" s="103" t="str">
        <f>IF('Customer Base'!$I$15="MANUAL",IFERROR(AM379*B379,""),IF('Customer Base'!$I$15="AUTOMATE",IFERROR(AM379*A379,""),""))</f>
        <v/>
      </c>
      <c r="AV379" s="103">
        <f t="shared" si="66"/>
        <v>0</v>
      </c>
    </row>
    <row r="380" spans="1:48">
      <c r="A380" s="103">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15</v>
      </c>
      <c r="B380" s="270">
        <v>90</v>
      </c>
      <c r="C380" s="253" t="s">
        <v>1138</v>
      </c>
      <c r="D380" s="325">
        <v>28.68</v>
      </c>
      <c r="E380" s="325">
        <v>27.13</v>
      </c>
      <c r="F380" s="255">
        <f t="shared" si="67"/>
        <v>23.527481542247742</v>
      </c>
      <c r="G380" s="255">
        <f>IFERROR(ROUNDUP(F380*'Customer Base'!$J$5,2),0)</f>
        <v>376.44</v>
      </c>
      <c r="H380" s="255">
        <f t="shared" si="68"/>
        <v>22.255947497949137</v>
      </c>
      <c r="I380" s="255">
        <f>IFERROR(ROUNDUP(H380*'Customer Base'!$J$5,2),0)</f>
        <v>356.09999999999997</v>
      </c>
      <c r="J380" s="103" t="str">
        <f t="shared" si="64"/>
        <v/>
      </c>
      <c r="L380" s="103" t="str">
        <f t="shared" si="65"/>
        <v/>
      </c>
      <c r="N380" s="103">
        <v>389</v>
      </c>
      <c r="O380" s="103" t="str">
        <f>IF('Customer Base'!$I$15="MANUAL",IF(B380&lt;&gt;"",C380,""),IF('Customer Base'!$I$15="AUTOMATE",IF(A380&lt;&gt;"",C380,""),""))</f>
        <v>Top Cable AC solar cable 5x25mm2 RV-K 0.6/1KV</v>
      </c>
      <c r="AO380" s="103">
        <f>IF('Customer Base'!$I$15="MANUAL",IFERROR(AM380*B380,""),IF('Customer Base'!$I$15="AUTOMATE",IFERROR(AM380*A380,""),""))</f>
        <v>0</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B381" s="270" t="s">
        <v>1</v>
      </c>
      <c r="C381" s="253" t="s">
        <v>1152</v>
      </c>
      <c r="D381" s="325">
        <v>40</v>
      </c>
      <c r="E381" s="325">
        <v>40</v>
      </c>
      <c r="F381" s="255">
        <f t="shared" si="67"/>
        <v>32.813781788351108</v>
      </c>
      <c r="G381" s="255">
        <f>IFERROR(ROUNDUP(F381*'Customer Base'!$J$5,2),0)</f>
        <v>525.03</v>
      </c>
      <c r="H381" s="255">
        <f t="shared" si="68"/>
        <v>32.813781788351108</v>
      </c>
      <c r="I381" s="255">
        <f>IFERROR(ROUNDUP(H381*'Customer Base'!$J$5,2),0)</f>
        <v>525.03</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B382" s="270" t="s">
        <v>1</v>
      </c>
      <c r="C382" s="253" t="s">
        <v>1153</v>
      </c>
      <c r="D382" s="325">
        <v>40</v>
      </c>
      <c r="E382" s="325">
        <v>40</v>
      </c>
      <c r="F382" s="255">
        <f t="shared" si="67"/>
        <v>32.813781788351108</v>
      </c>
      <c r="G382" s="255">
        <f>IFERROR(ROUNDUP(F382*'Customer Base'!$J$5,2),0)</f>
        <v>525.03</v>
      </c>
      <c r="H382" s="255">
        <f t="shared" si="68"/>
        <v>32.813781788351108</v>
      </c>
      <c r="I382" s="255">
        <f>IFERROR(ROUNDUP(H382*'Customer Base'!$J$5,2),0)</f>
        <v>525.03</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525.03</v>
      </c>
      <c r="H383" s="255">
        <f t="shared" si="68"/>
        <v>32.813781788351108</v>
      </c>
      <c r="I383" s="255">
        <f>IFERROR(ROUNDUP(H383*'Customer Base'!$J$5,2),0)</f>
        <v>525.03</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B384" s="270" t="s">
        <v>1</v>
      </c>
      <c r="C384" s="253" t="s">
        <v>1843</v>
      </c>
      <c r="D384" s="325">
        <v>42</v>
      </c>
      <c r="E384" s="325">
        <v>42</v>
      </c>
      <c r="F384" s="255">
        <f t="shared" si="67"/>
        <v>34.454470877768664</v>
      </c>
      <c r="G384" s="255">
        <f>IFERROR(ROUNDUP(F384*'Customer Base'!$J$5,2),0)</f>
        <v>551.28</v>
      </c>
      <c r="H384" s="255">
        <f t="shared" si="68"/>
        <v>34.454470877768664</v>
      </c>
      <c r="I384" s="255">
        <f>IFERROR(ROUNDUP(H384*'Customer Base'!$J$5,2),0)</f>
        <v>551.28</v>
      </c>
      <c r="J384" s="103" t="str">
        <f t="shared" si="64"/>
        <v/>
      </c>
      <c r="L384" s="103" t="str">
        <f t="shared" si="65"/>
        <v/>
      </c>
      <c r="N384" s="103">
        <v>393</v>
      </c>
      <c r="O384" s="103" t="str">
        <f>IF('Customer Base'!$I$15="MANUAL",IF(B384&lt;&gt;"",C384,""),IF('Customer Base'!$I$15="AUTOMATE",IF(A384&lt;&gt;"",C384,""),""))</f>
        <v/>
      </c>
      <c r="AO384" s="103" t="str">
        <f>IF('Customer Base'!$I$15="MANUAL",IFERROR(AM384*B384,""),IF('Customer Base'!$I$15="AUTOMATE",IFERROR(AM384*A384,""),""))</f>
        <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B385" s="270" t="s">
        <v>1</v>
      </c>
      <c r="C385" s="253" t="s">
        <v>1157</v>
      </c>
      <c r="D385" s="325">
        <v>48.75</v>
      </c>
      <c r="E385" s="325">
        <v>48.75</v>
      </c>
      <c r="F385" s="255">
        <f t="shared" si="67"/>
        <v>39.991796554552913</v>
      </c>
      <c r="G385" s="255">
        <f>IFERROR(ROUNDUP(F385*'Customer Base'!$J$5,2),0)</f>
        <v>639.87</v>
      </c>
      <c r="H385" s="255">
        <f t="shared" si="68"/>
        <v>39.991796554552913</v>
      </c>
      <c r="I385" s="255">
        <f>IFERROR(ROUNDUP(H385*'Customer Base'!$J$5,2),0)</f>
        <v>639.87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B386" s="270">
        <v>25</v>
      </c>
      <c r="C386" s="253" t="s">
        <v>1276</v>
      </c>
      <c r="D386" s="325">
        <v>65.45</v>
      </c>
      <c r="E386" s="325">
        <v>65.45</v>
      </c>
      <c r="F386" s="255">
        <f t="shared" si="67"/>
        <v>53.691550451189499</v>
      </c>
      <c r="G386" s="255">
        <f>IFERROR(ROUNDUP(F386*'Customer Base'!$J$5,2),0)</f>
        <v>859.06999999999994</v>
      </c>
      <c r="H386" s="255">
        <f t="shared" si="68"/>
        <v>53.691550451189499</v>
      </c>
      <c r="I386" s="255">
        <f>IFERROR(ROUNDUP(H386*'Customer Base'!$J$5,2),0)</f>
        <v>859.06999999999994</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B387" s="270" t="s">
        <v>1</v>
      </c>
      <c r="C387" s="253" t="s">
        <v>1796</v>
      </c>
      <c r="D387" s="325">
        <v>85</v>
      </c>
      <c r="E387" s="325">
        <v>85</v>
      </c>
      <c r="F387" s="255">
        <f t="shared" si="67"/>
        <v>69.729286300246102</v>
      </c>
      <c r="G387" s="255">
        <f>IFERROR(ROUNDUP(F387*'Customer Base'!$J$5,2),0)</f>
        <v>1115.67</v>
      </c>
      <c r="H387" s="255">
        <f t="shared" si="68"/>
        <v>69.729286300246102</v>
      </c>
      <c r="I387" s="255">
        <f>IFERROR(ROUNDUP(H387*'Customer Base'!$J$5,2),0)</f>
        <v>1115.67</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B388" s="270" t="s">
        <v>1</v>
      </c>
      <c r="C388" s="253" t="s">
        <v>2602</v>
      </c>
      <c r="D388" s="325">
        <v>100</v>
      </c>
      <c r="E388" s="325">
        <v>100</v>
      </c>
      <c r="F388" s="255">
        <f t="shared" si="67"/>
        <v>82.034454470877762</v>
      </c>
      <c r="G388" s="255">
        <f>IFERROR(ROUNDUP(F388*'Customer Base'!$J$5,2),0)</f>
        <v>1312.56</v>
      </c>
      <c r="H388" s="255">
        <f t="shared" si="68"/>
        <v>82.034454470877762</v>
      </c>
      <c r="I388" s="255">
        <f>IFERROR(ROUNDUP(H388*'Customer Base'!$J$5,2),0)</f>
        <v>1312.56</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B389" s="270" t="s">
        <v>1</v>
      </c>
      <c r="C389" s="253" t="s">
        <v>1633</v>
      </c>
      <c r="D389" s="325">
        <v>125</v>
      </c>
      <c r="E389" s="325">
        <v>125</v>
      </c>
      <c r="F389" s="255">
        <f t="shared" si="67"/>
        <v>102.54306808859721</v>
      </c>
      <c r="G389" s="255">
        <f>IFERROR(ROUNDUP(F389*'Customer Base'!$J$5,2),0)</f>
        <v>1640.69</v>
      </c>
      <c r="H389" s="255">
        <f t="shared" si="68"/>
        <v>102.54306808859721</v>
      </c>
      <c r="I389" s="255">
        <f>IFERROR(ROUNDUP(H389*'Customer Base'!$J$5,2),0)</f>
        <v>1640.69</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B390" s="270" t="s">
        <v>1</v>
      </c>
      <c r="C390" s="253" t="s">
        <v>1158</v>
      </c>
      <c r="D390" s="325">
        <v>140</v>
      </c>
      <c r="E390" s="325">
        <v>140</v>
      </c>
      <c r="F390" s="255">
        <f t="shared" si="67"/>
        <v>114.84823625922887</v>
      </c>
      <c r="G390" s="255">
        <f>IFERROR(ROUNDUP(F390*'Customer Base'!$J$5,2),0)</f>
        <v>1837.58</v>
      </c>
      <c r="H390" s="255">
        <f t="shared" si="68"/>
        <v>114.84823625922887</v>
      </c>
      <c r="I390" s="255">
        <f>IFERROR(ROUNDUP(H390*'Customer Base'!$J$5,2),0)</f>
        <v>1837.58</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B391" s="270" t="s">
        <v>1</v>
      </c>
      <c r="C391" s="253" t="s">
        <v>2603</v>
      </c>
      <c r="D391" s="325">
        <v>160</v>
      </c>
      <c r="E391" s="325">
        <v>160</v>
      </c>
      <c r="F391" s="255">
        <f t="shared" si="67"/>
        <v>131.25512715340443</v>
      </c>
      <c r="G391" s="255">
        <f>IFERROR(ROUNDUP(F391*'Customer Base'!$J$5,2),0)</f>
        <v>2100.09</v>
      </c>
      <c r="H391" s="255">
        <f t="shared" si="68"/>
        <v>131.25512715340443</v>
      </c>
      <c r="I391" s="255">
        <f>IFERROR(ROUNDUP(H391*'Customer Base'!$J$5,2),0)</f>
        <v>2100.09</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B392" s="270" t="s">
        <v>1</v>
      </c>
      <c r="C392" s="253" t="s">
        <v>2604</v>
      </c>
      <c r="D392" s="325">
        <v>180</v>
      </c>
      <c r="E392" s="325">
        <v>180</v>
      </c>
      <c r="F392" s="255">
        <f t="shared" si="67"/>
        <v>147.66201804757998</v>
      </c>
      <c r="G392" s="255">
        <f>IFERROR(ROUNDUP(F392*'Customer Base'!$J$5,2),0)</f>
        <v>2362.6000000000004</v>
      </c>
      <c r="H392" s="255">
        <f t="shared" si="68"/>
        <v>147.66201804757998</v>
      </c>
      <c r="I392" s="255">
        <f>IFERROR(ROUNDUP(H392*'Customer Base'!$J$5,2),0)</f>
        <v>2362.6000000000004</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26.26</v>
      </c>
      <c r="H394" s="255">
        <f t="shared" si="68"/>
        <v>1.6406890894175552</v>
      </c>
      <c r="I394" s="255">
        <f>IFERROR(ROUNDUP(H394*'Customer Base'!$J$5,2),0)</f>
        <v>26.26</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1858</v>
      </c>
      <c r="D395" s="325">
        <v>2.2000000000000002</v>
      </c>
      <c r="E395" s="325">
        <v>2.2000000000000002</v>
      </c>
      <c r="F395" s="255">
        <f t="shared" si="67"/>
        <v>1.8047579983593109</v>
      </c>
      <c r="G395" s="255">
        <f>IFERROR(ROUNDUP(F395*'Customer Base'!$J$5,2),0)</f>
        <v>28.880000000000003</v>
      </c>
      <c r="H395" s="255">
        <f t="shared" si="68"/>
        <v>1.8047579983593109</v>
      </c>
      <c r="I395" s="255">
        <f>IFERROR(ROUNDUP(H395*'Customer Base'!$J$5,2),0)</f>
        <v>28.880000000000003</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55</v>
      </c>
      <c r="B396" s="270">
        <v>255</v>
      </c>
      <c r="C396" s="253" t="s">
        <v>984</v>
      </c>
      <c r="D396" s="325">
        <v>2.2000000000000002</v>
      </c>
      <c r="E396" s="325">
        <v>2.2000000000000002</v>
      </c>
      <c r="F396" s="255">
        <f t="shared" si="67"/>
        <v>1.8047579983593109</v>
      </c>
      <c r="G396" s="255">
        <f>IFERROR(ROUNDUP(F396*'Customer Base'!$J$5,2),0)</f>
        <v>28.880000000000003</v>
      </c>
      <c r="H396" s="255">
        <f t="shared" si="68"/>
        <v>1.8047579983593109</v>
      </c>
      <c r="I396" s="255">
        <f>IFERROR(ROUNDUP(H396*'Customer Base'!$J$5,2),0)</f>
        <v>28.880000000000003</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1655</v>
      </c>
      <c r="D397" s="325">
        <v>4.4000000000000004</v>
      </c>
      <c r="E397" s="325">
        <v>4.4000000000000004</v>
      </c>
      <c r="F397" s="255">
        <f t="shared" si="67"/>
        <v>3.6095159967186219</v>
      </c>
      <c r="G397" s="255">
        <f>IFERROR(ROUNDUP(F397*'Customer Base'!$J$5,2),0)</f>
        <v>57.76</v>
      </c>
      <c r="H397" s="255">
        <f t="shared" si="68"/>
        <v>3.6095159967186219</v>
      </c>
      <c r="I397" s="255">
        <f>IFERROR(ROUNDUP(H397*'Customer Base'!$J$5,2),0)</f>
        <v>57.76</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1255</v>
      </c>
      <c r="D398" s="325">
        <v>6.62</v>
      </c>
      <c r="E398" s="325">
        <v>6.62</v>
      </c>
      <c r="F398" s="255">
        <f t="shared" si="67"/>
        <v>5.4306808859721079</v>
      </c>
      <c r="G398" s="255">
        <f>IFERROR(ROUNDUP(F398*'Customer Base'!$J$5,2),0)</f>
        <v>86.9</v>
      </c>
      <c r="H398" s="255">
        <f t="shared" si="68"/>
        <v>5.4306808859721079</v>
      </c>
      <c r="I398" s="255">
        <f>IFERROR(ROUNDUP(H398*'Customer Base'!$J$5,2),0)</f>
        <v>86.9</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1225</v>
      </c>
      <c r="D400" s="325">
        <f>F400*1.219</f>
        <v>29.256</v>
      </c>
      <c r="E400" s="325">
        <f>H400*1.219</f>
        <v>25.599</v>
      </c>
      <c r="F400" s="255">
        <f>1%*IF('Customer Base'!I15="AUTOMATE",ROUNDUP(SUMPRODUCT($A$242:$A$254,F$242:F$254),-2),ROUNDUP(SUMPRODUCT($B$242:$B$254,F$242:F$254),-2))</f>
        <v>24</v>
      </c>
      <c r="G400" s="255">
        <f>IFERROR(ROUNDUP(F400*'Customer Base'!$J$5,2),0)</f>
        <v>384</v>
      </c>
      <c r="H400" s="255">
        <f>1%*IF('Customer Base'!I15="AUTOMATE",ROUNDUP(SUMPRODUCT($A$242:$A$254,H$242:H$254),-2),ROUNDUP(SUMPRODUCT($B$242:$B$254,H$242:H$254),-2))</f>
        <v>21</v>
      </c>
      <c r="I400" s="255">
        <f>IFERROR(ROUNDUP(H400*'Customer Base'!$J$5,2),0)</f>
        <v>336</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B402" s="270" t="s">
        <v>1</v>
      </c>
      <c r="C402" s="253" t="s">
        <v>1164</v>
      </c>
      <c r="D402" s="325">
        <v>1.5</v>
      </c>
      <c r="E402" s="325">
        <v>1.5</v>
      </c>
      <c r="F402" s="255">
        <f t="shared" si="70"/>
        <v>1.2305168170631664</v>
      </c>
      <c r="G402" s="255">
        <f>IFERROR(ROUNDUP(F402*'Customer Base'!$J$5,2),0)</f>
        <v>19.690000000000001</v>
      </c>
      <c r="H402" s="255">
        <f t="shared" si="71"/>
        <v>1.2305168170631664</v>
      </c>
      <c r="I402" s="255">
        <f>IFERROR(ROUNDUP(H402*'Customer Base'!$J$5,2),0)</f>
        <v>19.690000000000001</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B403" s="270" t="s">
        <v>1</v>
      </c>
      <c r="C403" s="253" t="s">
        <v>1224</v>
      </c>
      <c r="D403" s="325">
        <v>2.5</v>
      </c>
      <c r="E403" s="325">
        <v>2.5</v>
      </c>
      <c r="F403" s="255">
        <f t="shared" si="70"/>
        <v>2.0508613617719442</v>
      </c>
      <c r="G403" s="255">
        <f>IFERROR(ROUNDUP(F403*'Customer Base'!$J$5,2),0)</f>
        <v>32.82</v>
      </c>
      <c r="H403" s="255">
        <f t="shared" si="71"/>
        <v>2.0508613617719442</v>
      </c>
      <c r="I403" s="255">
        <f>IFERROR(ROUNDUP(H403*'Customer Base'!$J$5,2),0)</f>
        <v>32.82</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1893</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f>IF(OR(AND('Customer Base'!D$34="Yes",'Customer Base'!D$13="Victron",'Customer Base'!D$7&lt;&gt;"Mini-Grid"),'Customer Base'!D$7="Grid-Tied"),'Customer Base'!D$15,IF(AND('Customer Base'!D$34="Yes",'Customer Base'!D$13="Victron",'Customer Base'!D$7="Mini-Grid"),'Customer Base'!D$15+'Customer Base'!F$15,""))</f>
        <v>1</v>
      </c>
      <c r="B406" s="270">
        <v>13</v>
      </c>
      <c r="C406" s="243" t="s">
        <v>917</v>
      </c>
      <c r="D406" s="331">
        <v>12.64</v>
      </c>
      <c r="E406" s="331">
        <v>11.907</v>
      </c>
      <c r="F406" s="264">
        <f t="shared" ref="F406:F451" si="74">$D406/1.219</f>
        <v>10.36915504511895</v>
      </c>
      <c r="G406" s="238">
        <f>IFERROR(ROUNDUP(F406*'Customer Base'!$J$5,2),0)</f>
        <v>165.91</v>
      </c>
      <c r="H406" s="264">
        <f t="shared" ref="H406:H451" si="75">$E406/1.219</f>
        <v>9.7678424938474144</v>
      </c>
      <c r="I406" s="238">
        <f>IFERROR(ROUNDUP(H406*'Customer Base'!$J$5,2),0)</f>
        <v>156.29</v>
      </c>
      <c r="J406" s="103" t="str">
        <f t="shared" si="72"/>
        <v/>
      </c>
      <c r="L406" s="103" t="str">
        <f t="shared" si="73"/>
        <v/>
      </c>
      <c r="N406" s="103">
        <v>415</v>
      </c>
      <c r="O406" s="103" t="str">
        <f>IF('Customer Base'!$I$15="MANUAL",IF(B406&lt;&gt;"",C406,""),IF('Customer Base'!$I$15="AUTOMATE",IF(A406&lt;&gt;"",C406,""),""))</f>
        <v>Victron RJ45 UTP Cable 3 m</v>
      </c>
      <c r="AO406" s="103">
        <f>IF('Customer Base'!$I$15="MANUAL",IFERROR(AM406*B406,""),IF('Customer Base'!$I$15="AUTOMATE",IFERROR(AM406*A406,""),""))</f>
        <v>0</v>
      </c>
      <c r="AV406" s="103">
        <f t="shared" si="69"/>
        <v>0</v>
      </c>
    </row>
    <row r="407" spans="1:48">
      <c r="C407" s="243" t="s">
        <v>918</v>
      </c>
      <c r="D407" s="331">
        <v>16.25</v>
      </c>
      <c r="E407" s="331">
        <v>15.308999999999999</v>
      </c>
      <c r="F407" s="264">
        <f t="shared" si="74"/>
        <v>13.330598851517637</v>
      </c>
      <c r="G407" s="238">
        <f>IFERROR(ROUNDUP(F407*'Customer Base'!$J$5,2),0)</f>
        <v>213.29</v>
      </c>
      <c r="H407" s="264">
        <f t="shared" si="75"/>
        <v>12.558654634946675</v>
      </c>
      <c r="I407" s="238">
        <f>IFERROR(ROUNDUP(H407*'Customer Base'!$J$5,2),0)</f>
        <v>200.94</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B408" s="270" t="s">
        <v>1</v>
      </c>
      <c r="C408" s="243" t="s">
        <v>1293</v>
      </c>
      <c r="D408" s="331">
        <v>151.9</v>
      </c>
      <c r="E408" s="331">
        <v>151.9</v>
      </c>
      <c r="F408" s="264">
        <f t="shared" si="74"/>
        <v>124.61033634126332</v>
      </c>
      <c r="G408" s="238">
        <f>IFERROR(ROUNDUP(F408*'Customer Base'!$J$5,2),0)</f>
        <v>1993.77</v>
      </c>
      <c r="H408" s="264">
        <f t="shared" si="75"/>
        <v>124.61033634126332</v>
      </c>
      <c r="I408" s="238">
        <f>IFERROR(ROUNDUP(H408*'Customer Base'!$J$5,2),0)</f>
        <v>1993.77</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177.85999999999999</v>
      </c>
      <c r="H410" s="264">
        <f t="shared" si="75"/>
        <v>10.472518457752255</v>
      </c>
      <c r="I410" s="238">
        <f>IFERROR(ROUNDUP(H410*'Customer Base'!$J$5,2),0)</f>
        <v>167.57</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f ca="1">IF(AND('Customer Base'!D$34="Yes",'Customer Base'!D$13="Victron",'Customer Base'!D14&lt;&gt;6,'Customer Base'!D$7&lt;&gt;"Backup"),SUM(A257:A289),"")</f>
        <v>3</v>
      </c>
      <c r="B411" s="270">
        <v>1</v>
      </c>
      <c r="C411" s="243" t="s">
        <v>920</v>
      </c>
      <c r="D411" s="331">
        <v>13.55</v>
      </c>
      <c r="E411" s="331">
        <v>12.766</v>
      </c>
      <c r="F411" s="264">
        <f t="shared" si="74"/>
        <v>11.115668580803938</v>
      </c>
      <c r="G411" s="238">
        <f>IFERROR(ROUNDUP(F411*'Customer Base'!$J$5,2),0)</f>
        <v>177.85999999999999</v>
      </c>
      <c r="H411" s="264">
        <f t="shared" si="75"/>
        <v>10.472518457752255</v>
      </c>
      <c r="I411" s="238">
        <f>IFERROR(ROUNDUP(H411*'Customer Base'!$J$5,2),0)</f>
        <v>167.57</v>
      </c>
      <c r="J411" s="103" t="str">
        <f t="shared" si="72"/>
        <v/>
      </c>
      <c r="L411" s="103" t="str">
        <f t="shared" si="73"/>
        <v/>
      </c>
      <c r="N411" s="103">
        <v>420</v>
      </c>
      <c r="O411" s="103" t="str">
        <f ca="1">IF('Customer Base'!$I$15="MANUAL",IF(B411&lt;&gt;"",C411,""),IF('Customer Base'!$I$15="AUTOMATE",IF(A411&lt;&gt;"",C411,""),""))</f>
        <v>Victron VE.Direct Cable 1,8m</v>
      </c>
      <c r="AO411" s="103">
        <f ca="1">IF('Customer Base'!$I$15="MANUAL",IFERROR(AM411*B411,""),IF('Customer Base'!$I$15="AUTOMATE",IFERROR(AM411*A411,""),""))</f>
        <v>0</v>
      </c>
      <c r="AV411" s="103">
        <f t="shared" si="69"/>
        <v>0</v>
      </c>
    </row>
    <row r="412" spans="1:48">
      <c r="C412" s="243" t="s">
        <v>921</v>
      </c>
      <c r="D412" s="331">
        <v>15.34</v>
      </c>
      <c r="E412" s="331">
        <v>14.45</v>
      </c>
      <c r="F412" s="264">
        <f t="shared" si="74"/>
        <v>12.584085315832649</v>
      </c>
      <c r="G412" s="238">
        <f>IFERROR(ROUNDUP(F412*'Customer Base'!$J$5,2),0)</f>
        <v>201.35</v>
      </c>
      <c r="H412" s="264">
        <f t="shared" si="75"/>
        <v>11.853978671041837</v>
      </c>
      <c r="I412" s="238">
        <f>IFERROR(ROUNDUP(H412*'Customer Base'!$J$5,2),0)</f>
        <v>189.67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225.37</v>
      </c>
      <c r="H413" s="264">
        <f t="shared" si="75"/>
        <v>13.263330598851516</v>
      </c>
      <c r="I413" s="238">
        <f>IFERROR(ROUNDUP(H413*'Customer Base'!$J$5,2),0)</f>
        <v>212.22</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272.62</v>
      </c>
      <c r="H414" s="264">
        <f t="shared" si="75"/>
        <v>16.054142739950777</v>
      </c>
      <c r="I414" s="238">
        <f>IFERROR(ROUNDUP(H414*'Customer Base'!$J$5,2),0)</f>
        <v>256.87</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2738</v>
      </c>
      <c r="D415" s="331">
        <v>29.79</v>
      </c>
      <c r="E415" s="331">
        <v>28.058</v>
      </c>
      <c r="F415" s="264">
        <f t="shared" si="74"/>
        <v>24.438063986874486</v>
      </c>
      <c r="G415" s="238">
        <f>IFERROR(ROUNDUP(F415*'Customer Base'!$J$5,2),0)</f>
        <v>391.01</v>
      </c>
      <c r="H415" s="264">
        <f t="shared" si="75"/>
        <v>23.017227235438881</v>
      </c>
      <c r="I415" s="238">
        <f>IFERROR(ROUNDUP(H415*'Customer Base'!$J$5,2),0)</f>
        <v>368.28</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2739</v>
      </c>
      <c r="D416" s="331">
        <v>28.896000000000001</v>
      </c>
      <c r="E416" s="331">
        <v>27.216000000000001</v>
      </c>
      <c r="F416" s="264">
        <f t="shared" si="74"/>
        <v>23.70467596390484</v>
      </c>
      <c r="G416" s="238">
        <f>IFERROR(ROUNDUP(F416*'Customer Base'!$J$5,2),0)</f>
        <v>379.28</v>
      </c>
      <c r="H416" s="264">
        <f t="shared" si="75"/>
        <v>22.326497128794092</v>
      </c>
      <c r="I416" s="238">
        <f>IFERROR(ROUNDUP(H416*'Customer Base'!$J$5,2),0)</f>
        <v>357.23</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912.49</v>
      </c>
      <c r="H417" s="264">
        <f t="shared" si="75"/>
        <v>53.716160787530761</v>
      </c>
      <c r="I417" s="238">
        <f>IFERROR(ROUNDUP(H417*'Customer Base'!$J$5,2),0)</f>
        <v>859.46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2737</v>
      </c>
      <c r="D418" s="331">
        <v>60.51</v>
      </c>
      <c r="E418" s="331">
        <v>56.991999999999997</v>
      </c>
      <c r="F418" s="264">
        <f t="shared" si="74"/>
        <v>49.639048400328136</v>
      </c>
      <c r="G418" s="238">
        <f>IFERROR(ROUNDUP(F418*'Customer Base'!$J$5,2),0)</f>
        <v>794.23</v>
      </c>
      <c r="H418" s="264">
        <f t="shared" si="75"/>
        <v>46.75307629204265</v>
      </c>
      <c r="I418" s="238">
        <f>IFERROR(ROUNDUP(H418*'Customer Base'!$J$5,2),0)</f>
        <v>748.05</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2736</v>
      </c>
      <c r="D419" s="331">
        <v>517.41</v>
      </c>
      <c r="E419" s="331">
        <v>487.32799999999997</v>
      </c>
      <c r="F419" s="264">
        <f t="shared" si="74"/>
        <v>424.45447087776859</v>
      </c>
      <c r="G419" s="238">
        <f>IFERROR(ROUNDUP(F419*'Customer Base'!$J$5,2),0)</f>
        <v>6791.2800000000007</v>
      </c>
      <c r="H419" s="264">
        <f t="shared" si="75"/>
        <v>399.77686628383918</v>
      </c>
      <c r="I419" s="238">
        <f>IFERROR(ROUNDUP(H419*'Customer Base'!$J$5,2),0)</f>
        <v>6396.43</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2735</v>
      </c>
      <c r="D420" s="331">
        <v>55.07</v>
      </c>
      <c r="E420" s="331">
        <v>51.872</v>
      </c>
      <c r="F420" s="264">
        <f t="shared" si="74"/>
        <v>45.176374077112385</v>
      </c>
      <c r="G420" s="238">
        <f>IFERROR(ROUNDUP(F420*'Customer Base'!$J$5,2),0)</f>
        <v>722.83</v>
      </c>
      <c r="H420" s="264">
        <f t="shared" si="75"/>
        <v>42.55291222313371</v>
      </c>
      <c r="I420" s="238">
        <f>IFERROR(ROUNDUP(H420*'Customer Base'!$J$5,2),0)</f>
        <v>680.85</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379.33</v>
      </c>
      <c r="H421" s="264">
        <f t="shared" si="75"/>
        <v>22.326497128794092</v>
      </c>
      <c r="I421" s="238">
        <f>IFERROR(ROUNDUP(H421*'Customer Base'!$J$5,2),0)</f>
        <v>357.23</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355.58</v>
      </c>
      <c r="H422" s="264">
        <f t="shared" si="75"/>
        <v>20.931091058244462</v>
      </c>
      <c r="I422" s="238">
        <f>IFERROR(ROUNDUP(H422*'Customer Base'!$J$5,2),0)</f>
        <v>334.9</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367.52</v>
      </c>
      <c r="H423" s="264">
        <f t="shared" si="75"/>
        <v>21.635767022149299</v>
      </c>
      <c r="I423" s="238">
        <f>IFERROR(ROUNDUP(H423*'Customer Base'!$J$5,2),0)</f>
        <v>346.18</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414.9</v>
      </c>
      <c r="H424" s="264">
        <f t="shared" si="75"/>
        <v>24.426579163248562</v>
      </c>
      <c r="I424" s="238">
        <f>IFERROR(ROUNDUP(H424*'Customer Base'!$J$5,2),0)</f>
        <v>390.83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130.47</v>
      </c>
      <c r="H425" s="264">
        <f t="shared" si="75"/>
        <v>7.6817063166529946</v>
      </c>
      <c r="I425" s="238">
        <f>IFERROR(ROUNDUP(H425*'Customer Base'!$J$5,2),0)</f>
        <v>122.91000000000001</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B427" s="270" t="s">
        <v>1</v>
      </c>
      <c r="C427" s="243" t="s">
        <v>1187</v>
      </c>
      <c r="D427" s="331">
        <v>14.45</v>
      </c>
      <c r="E427" s="331">
        <v>13.608000000000001</v>
      </c>
      <c r="F427" s="264">
        <f t="shared" si="74"/>
        <v>11.853978671041837</v>
      </c>
      <c r="G427" s="238">
        <f>IFERROR(ROUNDUP(F427*'Customer Base'!$J$5,2),0)</f>
        <v>189.67</v>
      </c>
      <c r="H427" s="264">
        <f t="shared" si="75"/>
        <v>11.163248564397046</v>
      </c>
      <c r="I427" s="238">
        <f>IFERROR(ROUNDUP(H427*'Customer Base'!$J$5,2),0)</f>
        <v>178.62</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229.44</v>
      </c>
      <c r="H428" s="264">
        <f t="shared" si="75"/>
        <v>11.163248564397046</v>
      </c>
      <c r="I428" s="238">
        <f>IFERROR(ROUNDUP(H428*'Customer Base'!$J$5,2),0)</f>
        <v>178.62</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B429" s="270">
        <v>1</v>
      </c>
      <c r="C429" s="243" t="s">
        <v>1189</v>
      </c>
      <c r="D429" s="331">
        <v>17.48</v>
      </c>
      <c r="E429" s="331">
        <v>13.608000000000001</v>
      </c>
      <c r="F429" s="264">
        <f t="shared" si="74"/>
        <v>14.339622641509433</v>
      </c>
      <c r="G429" s="238">
        <f>IFERROR(ROUNDUP(F429*'Customer Base'!$J$5,2),0)</f>
        <v>229.44</v>
      </c>
      <c r="H429" s="264">
        <f t="shared" si="75"/>
        <v>11.163248564397046</v>
      </c>
      <c r="I429" s="238">
        <f>IFERROR(ROUNDUP(H429*'Customer Base'!$J$5,2),0)</f>
        <v>178.62</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189.67</v>
      </c>
      <c r="H430" s="264">
        <f t="shared" si="75"/>
        <v>11.163248564397046</v>
      </c>
      <c r="I430" s="238">
        <f>IFERROR(ROUNDUP(H430*'Customer Base'!$J$5,2),0)</f>
        <v>178.62</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296.25</v>
      </c>
      <c r="H432" s="245">
        <f t="shared" si="75"/>
        <v>17.435602953240362</v>
      </c>
      <c r="I432" s="245">
        <f>IFERROR(ROUNDUP(H432*'Customer Base'!$J$5,2),0)</f>
        <v>278.96999999999997</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130.47</v>
      </c>
      <c r="H433" s="245">
        <f t="shared" si="75"/>
        <v>7.6817063166529946</v>
      </c>
      <c r="I433" s="245">
        <f>IFERROR(ROUNDUP(H433*'Customer Base'!$J$5,2),0)</f>
        <v>122.91000000000001</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2761</v>
      </c>
      <c r="D434" s="328">
        <v>9.94</v>
      </c>
      <c r="E434" s="328">
        <v>9.3640000000000008</v>
      </c>
      <c r="F434" s="245">
        <f t="shared" si="74"/>
        <v>8.1542247744052485</v>
      </c>
      <c r="G434" s="245">
        <f>IFERROR(ROUNDUP(F434*'Customer Base'!$J$5,2),0)</f>
        <v>130.47</v>
      </c>
      <c r="H434" s="245">
        <f t="shared" si="75"/>
        <v>7.6817063166529946</v>
      </c>
      <c r="I434" s="245">
        <f>IFERROR(ROUNDUP(H434*'Customer Base'!$J$5,2),0)</f>
        <v>122.91000000000001</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118.53</v>
      </c>
      <c r="H435" s="245">
        <f t="shared" si="75"/>
        <v>6.9770303527481543</v>
      </c>
      <c r="I435" s="245">
        <f>IFERROR(ROUNDUP(H435*'Customer Base'!$J$5,2),0)</f>
        <v>111.64</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153.97</v>
      </c>
      <c r="H436" s="245">
        <f t="shared" si="75"/>
        <v>9.0631665299425759</v>
      </c>
      <c r="I436" s="245">
        <f>IFERROR(ROUNDUP(H436*'Customer Base'!$J$5,2),0)</f>
        <v>145.01999999999998</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367.52</v>
      </c>
      <c r="H437" s="245">
        <f t="shared" si="75"/>
        <v>21.635767022149299</v>
      </c>
      <c r="I437" s="245">
        <f>IFERROR(ROUNDUP(H437*'Customer Base'!$J$5,2),0)</f>
        <v>346.18</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474.09999999999997</v>
      </c>
      <c r="H438" s="245">
        <f t="shared" si="75"/>
        <v>27.908121410992617</v>
      </c>
      <c r="I438" s="245">
        <f>IFERROR(ROUNDUP(H438*'Customer Base'!$J$5,2),0)</f>
        <v>446.53</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2747</v>
      </c>
      <c r="D439" s="328">
        <v>38.840000000000003</v>
      </c>
      <c r="E439" s="328">
        <v>36.58</v>
      </c>
      <c r="F439" s="245">
        <f t="shared" si="74"/>
        <v>31.862182116488928</v>
      </c>
      <c r="G439" s="245">
        <f>IFERROR(ROUNDUP(F439*'Customer Base'!$J$5,2),0)</f>
        <v>509.8</v>
      </c>
      <c r="H439" s="245">
        <f t="shared" si="75"/>
        <v>30.008203445447084</v>
      </c>
      <c r="I439" s="245">
        <f>IFERROR(ROUNDUP(H439*'Customer Base'!$J$5,2),0)</f>
        <v>480.14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2748</v>
      </c>
      <c r="D440" s="328">
        <v>45.15</v>
      </c>
      <c r="E440" s="328">
        <v>42.524999999999999</v>
      </c>
      <c r="F440" s="245">
        <f t="shared" si="74"/>
        <v>37.038556193601309</v>
      </c>
      <c r="G440" s="245">
        <f>IFERROR(ROUNDUP(F440*'Customer Base'!$J$5,2),0)</f>
        <v>592.62</v>
      </c>
      <c r="H440" s="245">
        <f t="shared" si="75"/>
        <v>34.885151763740765</v>
      </c>
      <c r="I440" s="245">
        <f>IFERROR(ROUNDUP(H440*'Customer Base'!$J$5,2),0)</f>
        <v>558.16999999999996</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201.35</v>
      </c>
      <c r="H441" s="245">
        <f t="shared" si="75"/>
        <v>11.853978671041837</v>
      </c>
      <c r="I441" s="245">
        <f>IFERROR(ROUNDUP(H441*'Customer Base'!$J$5,2),0)</f>
        <v>189.67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201.35</v>
      </c>
      <c r="H442" s="245">
        <f t="shared" si="75"/>
        <v>11.853978671041837</v>
      </c>
      <c r="I442" s="245">
        <f>IFERROR(ROUNDUP(H442*'Customer Base'!$J$5,2),0)</f>
        <v>189.67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308.19</v>
      </c>
      <c r="H443" s="245">
        <f t="shared" si="75"/>
        <v>18.140278917145199</v>
      </c>
      <c r="I443" s="245">
        <f>IFERROR(ROUNDUP(H443*'Customer Base'!$J$5,2),0)</f>
        <v>290.25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331.82</v>
      </c>
      <c r="H444" s="245">
        <f t="shared" si="75"/>
        <v>19.535684987694829</v>
      </c>
      <c r="I444" s="245">
        <f>IFERROR(ROUNDUP(H444*'Customer Base'!$J$5,2),0)</f>
        <v>312.58</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391.01</v>
      </c>
      <c r="H445" s="245">
        <f t="shared" si="75"/>
        <v>23.017227235438881</v>
      </c>
      <c r="I445" s="245">
        <f>IFERROR(ROUNDUP(H445*'Customer Base'!$J$5,2),0)</f>
        <v>368.28</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391.01</v>
      </c>
      <c r="H446" s="245">
        <f t="shared" si="75"/>
        <v>23.017227235438881</v>
      </c>
      <c r="I446" s="245">
        <f>IFERROR(ROUNDUP(H446*'Customer Base'!$J$5,2),0)</f>
        <v>368.28</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391.01</v>
      </c>
      <c r="H447" s="245">
        <f t="shared" si="75"/>
        <v>23.017227235438881</v>
      </c>
      <c r="I447" s="245">
        <f>IFERROR(ROUNDUP(H447*'Customer Base'!$J$5,2),0)</f>
        <v>368.28</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2751</v>
      </c>
      <c r="D448" s="328">
        <v>36.119999999999997</v>
      </c>
      <c r="E448" s="328">
        <v>34.020000000000003</v>
      </c>
      <c r="F448" s="245">
        <f t="shared" si="74"/>
        <v>29.630844954881045</v>
      </c>
      <c r="G448" s="245">
        <f>IFERROR(ROUNDUP(F448*'Customer Base'!$J$5,2),0)</f>
        <v>474.09999999999997</v>
      </c>
      <c r="H448" s="245">
        <f t="shared" si="75"/>
        <v>27.908121410992617</v>
      </c>
      <c r="I448" s="245">
        <f>IFERROR(ROUNDUP(H448*'Customer Base'!$J$5,2),0)</f>
        <v>446.53</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2752</v>
      </c>
      <c r="D449" s="328">
        <v>36.119999999999997</v>
      </c>
      <c r="E449" s="328">
        <v>34.020000000000003</v>
      </c>
      <c r="F449" s="245">
        <f t="shared" si="74"/>
        <v>29.630844954881045</v>
      </c>
      <c r="G449" s="245">
        <f>IFERROR(ROUNDUP(F449*'Customer Base'!$J$5,2),0)</f>
        <v>474.09999999999997</v>
      </c>
      <c r="H449" s="245">
        <f t="shared" si="75"/>
        <v>27.908121410992617</v>
      </c>
      <c r="I449" s="245">
        <f>IFERROR(ROUNDUP(H449*'Customer Base'!$J$5,2),0)</f>
        <v>446.53</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130.47</v>
      </c>
      <c r="H450" s="245">
        <f t="shared" si="75"/>
        <v>7.6817063166529946</v>
      </c>
      <c r="I450" s="245">
        <f>IFERROR(ROUNDUP(H450*'Customer Base'!$J$5,2),0)</f>
        <v>122.91000000000001</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2750</v>
      </c>
      <c r="D451" s="328">
        <v>31.61</v>
      </c>
      <c r="E451" s="328">
        <v>29.776</v>
      </c>
      <c r="F451" s="245">
        <f t="shared" si="74"/>
        <v>25.931091058244462</v>
      </c>
      <c r="G451" s="245">
        <f>IFERROR(ROUNDUP(F451*'Customer Base'!$J$5,2),0)</f>
        <v>414.9</v>
      </c>
      <c r="H451" s="245">
        <f t="shared" si="75"/>
        <v>24.426579163248562</v>
      </c>
      <c r="I451" s="245">
        <f>IFERROR(ROUNDUP(H451*'Customer Base'!$J$5,2),0)</f>
        <v>390.83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2749</v>
      </c>
      <c r="D452" s="328">
        <v>31.61</v>
      </c>
      <c r="E452" s="328">
        <v>29.776</v>
      </c>
      <c r="F452" s="245">
        <f t="shared" ref="F452:F476" si="77">$D452/1.219</f>
        <v>25.931091058244462</v>
      </c>
      <c r="G452" s="245">
        <f>IFERROR(ROUNDUP(F452*'Customer Base'!$J$5,2),0)</f>
        <v>414.9</v>
      </c>
      <c r="H452" s="245">
        <f t="shared" ref="H452:H477" si="78">$E452/1.219</f>
        <v>24.426579163248562</v>
      </c>
      <c r="I452" s="245">
        <f>IFERROR(ROUNDUP(H452*'Customer Base'!$J$5,2),0)</f>
        <v>390.83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130.73999999999998</v>
      </c>
      <c r="H453" s="245">
        <f t="shared" si="78"/>
        <v>7.6817063166529946</v>
      </c>
      <c r="I453" s="245">
        <f>IFERROR(ROUNDUP(H453*'Customer Base'!$J$5,2),0)</f>
        <v>122.91000000000001</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1895</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B456" s="270" t="s">
        <v>1</v>
      </c>
      <c r="C456" s="250" t="s">
        <v>950</v>
      </c>
      <c r="D456" s="321">
        <v>51.6</v>
      </c>
      <c r="E456" s="321">
        <v>48.6</v>
      </c>
      <c r="F456" s="249">
        <f t="shared" si="77"/>
        <v>42.329778506972929</v>
      </c>
      <c r="G456" s="249">
        <f>IFERROR(ROUNDUP(F456*'Customer Base'!$J$5,2),0)</f>
        <v>677.28</v>
      </c>
      <c r="H456" s="249">
        <f t="shared" si="78"/>
        <v>39.868744872846591</v>
      </c>
      <c r="I456" s="249">
        <f>IFERROR(ROUNDUP(H456*'Customer Base'!$J$5,2),0)</f>
        <v>637.9</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t="str">
        <f>IFERROR(IF(AND(OR('Customer Base'!D$7="BACKUP",'Customer Base'!D$7="HYBRID",'Customer Base'!D$7="MINI-GRID"),'CABLE SIZING TOOL'!J$31&gt;32,'CABLE SIZING TOOL'!J$31&lt;=63),1,""),"")</f>
        <v/>
      </c>
      <c r="B457" s="270" t="s">
        <v>1</v>
      </c>
      <c r="C457" s="250" t="s">
        <v>951</v>
      </c>
      <c r="D457" s="321">
        <v>70.52</v>
      </c>
      <c r="E457" s="321">
        <v>66.42</v>
      </c>
      <c r="F457" s="249">
        <f t="shared" si="77"/>
        <v>57.850697292862996</v>
      </c>
      <c r="G457" s="249">
        <f>IFERROR(ROUNDUP(F457*'Customer Base'!$J$5,2),0)</f>
        <v>925.62</v>
      </c>
      <c r="H457" s="249">
        <f t="shared" si="78"/>
        <v>54.487284659557012</v>
      </c>
      <c r="I457" s="249">
        <f>IFERROR(ROUNDUP(H457*'Customer Base'!$J$5,2),0)</f>
        <v>871.8</v>
      </c>
      <c r="J457" s="103" t="str">
        <f t="shared" si="72"/>
        <v/>
      </c>
      <c r="L457" s="103" t="str">
        <f t="shared" si="73"/>
        <v/>
      </c>
      <c r="N457" s="103">
        <v>466</v>
      </c>
      <c r="O457" s="103" t="str">
        <f>IF('Customer Base'!$I$15="MANUAL",IF(B457&lt;&gt;"",C457,""),IF('Customer Base'!$I$15="AUTOMATE",IF(A457&lt;&gt;"",C457,""),""))</f>
        <v/>
      </c>
      <c r="AO457" s="103" t="str">
        <f>IF('Customer Base'!$I$15="MANUAL",IFERROR(AM457*B457,""),IF('Customer Base'!$I$15="AUTOMATE",IFERROR(AM457*A457,""),""))</f>
        <v/>
      </c>
      <c r="AV457" s="103">
        <f t="shared" si="76"/>
        <v>0</v>
      </c>
    </row>
    <row r="458" spans="1:48">
      <c r="A458" s="103" t="str">
        <f>IFERROR(IF(AND(OR('Customer Base'!D$7="BACKUP",'Customer Base'!D$7="HYBRID",'Customer Base'!D$7="MINI-GRID"),'CABLE SIZING TOOL'!J$31&gt;63,'CABLE SIZING TOOL'!J$31&lt;=100),1,""),"")</f>
        <v/>
      </c>
      <c r="B458" s="270" t="s">
        <v>1</v>
      </c>
      <c r="C458" s="250" t="s">
        <v>976</v>
      </c>
      <c r="D458" s="321">
        <v>120.4</v>
      </c>
      <c r="E458" s="321">
        <v>113.4</v>
      </c>
      <c r="F458" s="249">
        <f t="shared" si="77"/>
        <v>98.769483182936838</v>
      </c>
      <c r="G458" s="249">
        <f>IFERROR(ROUNDUP(F458*'Customer Base'!$J$5,2),0)</f>
        <v>1580.32</v>
      </c>
      <c r="H458" s="249">
        <f t="shared" si="78"/>
        <v>93.027071369975388</v>
      </c>
      <c r="I458" s="249">
        <f>IFERROR(ROUNDUP(H458*'Customer Base'!$J$5,2),0)</f>
        <v>1488.44</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f>IFERROR(IF(AND(OR('Customer Base'!D$7="BACKUP",'Customer Base'!D$7="HYBRID",'Customer Base'!D$7="MINI-GRID"),'CABLE SIZING TOOL'!J$31&gt;100,'CABLE SIZING TOOL'!J$31&lt;=250),1,""),"")</f>
        <v>1</v>
      </c>
      <c r="B459" s="270" t="s">
        <v>1</v>
      </c>
      <c r="C459" s="250" t="s">
        <v>1242</v>
      </c>
      <c r="D459" s="321">
        <v>200</v>
      </c>
      <c r="E459" s="321">
        <v>200</v>
      </c>
      <c r="F459" s="249">
        <f t="shared" si="77"/>
        <v>164.06890894175552</v>
      </c>
      <c r="G459" s="249">
        <f>IFERROR(ROUNDUP(F459*'Customer Base'!$J$5,2),0)</f>
        <v>2625.11</v>
      </c>
      <c r="H459" s="249">
        <f t="shared" si="78"/>
        <v>164.06890894175552</v>
      </c>
      <c r="I459" s="249">
        <f>IFERROR(ROUNDUP(H459*'Customer Base'!$J$5,2),0)</f>
        <v>2625.11</v>
      </c>
      <c r="J459" s="103" t="str">
        <f t="shared" si="72"/>
        <v/>
      </c>
      <c r="L459" s="103" t="str">
        <f t="shared" si="73"/>
        <v/>
      </c>
      <c r="N459" s="103">
        <v>468</v>
      </c>
      <c r="O459" s="103" t="str">
        <f>IF('Customer Base'!$I$15="MANUAL",IF(B459&lt;&gt;"",C459,""),IF('Customer Base'!$I$15="AUTOMATE",IF(A459&lt;&gt;"",C459,""),""))</f>
        <v>250A Manual Transfer Switch</v>
      </c>
      <c r="AO459" s="103">
        <f>IF('Customer Base'!$I$15="MANUAL",IFERROR(AM459*B459,""),IF('Customer Base'!$I$15="AUTOMATE",IFERROR(AM459*A459,""),""))</f>
        <v>0</v>
      </c>
      <c r="AV459" s="103">
        <f t="shared" si="76"/>
        <v>0</v>
      </c>
    </row>
    <row r="460" spans="1:48">
      <c r="A460" s="103" t="str">
        <f>IFERROR(IF(AND(OR('Customer Base'!D$7="BACKUP",'Customer Base'!D$7="HYBRID",'Customer Base'!D$7="MINI-GRID"),'CABLE SIZING TOOL'!J$31&gt;250,'CABLE SIZING TOOL'!J$31&lt;=400),1,""),"")</f>
        <v/>
      </c>
      <c r="B460" s="270">
        <v>1</v>
      </c>
      <c r="C460" s="250" t="s">
        <v>1899</v>
      </c>
      <c r="D460" s="321">
        <v>1000</v>
      </c>
      <c r="E460" s="321">
        <v>1000</v>
      </c>
      <c r="F460" s="249">
        <f t="shared" si="77"/>
        <v>820.34454470877768</v>
      </c>
      <c r="G460" s="249">
        <f>IFERROR(ROUNDUP(F460*'Customer Base'!$J$5,2),0)</f>
        <v>13125.52</v>
      </c>
      <c r="H460" s="249">
        <f t="shared" si="78"/>
        <v>820.34454470877768</v>
      </c>
      <c r="I460" s="249">
        <f>IFERROR(ROUNDUP(H460*'Customer Base'!$J$5,2),0)</f>
        <v>13125.52</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B461" s="270" t="s">
        <v>1</v>
      </c>
      <c r="C461" s="250" t="s">
        <v>1803</v>
      </c>
      <c r="D461" s="321">
        <v>2000</v>
      </c>
      <c r="E461" s="321">
        <v>2000</v>
      </c>
      <c r="F461" s="249">
        <f t="shared" si="77"/>
        <v>1640.6890894175554</v>
      </c>
      <c r="G461" s="249">
        <f>IFERROR(ROUNDUP(F461*'Customer Base'!$J$5,2),0)</f>
        <v>26251.03</v>
      </c>
      <c r="H461" s="249">
        <f t="shared" si="78"/>
        <v>1640.6890894175554</v>
      </c>
      <c r="I461" s="249">
        <f>IFERROR(ROUNDUP(H461*'Customer Base'!$J$5,2),0)</f>
        <v>26251.03</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1243</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1376</v>
      </c>
      <c r="D464" s="321">
        <v>35</v>
      </c>
      <c r="E464" s="321">
        <v>35</v>
      </c>
      <c r="F464" s="249">
        <f t="shared" si="77"/>
        <v>28.712059064807217</v>
      </c>
      <c r="G464" s="249">
        <f>IFERROR(ROUNDUP(F464*'Customer Base'!$J$5,2),0)</f>
        <v>459.4</v>
      </c>
      <c r="H464" s="249">
        <f t="shared" si="78"/>
        <v>28.712059064807217</v>
      </c>
      <c r="I464" s="249">
        <f>IFERROR(ROUNDUP(H464*'Customer Base'!$J$5,2),0)</f>
        <v>459.4</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1377</v>
      </c>
      <c r="D465" s="321">
        <v>35</v>
      </c>
      <c r="E465" s="321">
        <v>35</v>
      </c>
      <c r="F465" s="249">
        <f t="shared" si="77"/>
        <v>28.712059064807217</v>
      </c>
      <c r="G465" s="249">
        <f>IFERROR(ROUNDUP(F465*'Customer Base'!$J$5,2),0)</f>
        <v>459.4</v>
      </c>
      <c r="H465" s="249">
        <f t="shared" si="78"/>
        <v>28.712059064807217</v>
      </c>
      <c r="I465" s="249">
        <f>IFERROR(ROUNDUP(H465*'Customer Base'!$J$5,2),0)</f>
        <v>459.4</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t="str">
        <f>IF(AND(OR(AND('Customer Base'!E13="Phoenix",'Customer Base'!D13="Victron"),'Customer Base'!D$7="Grid-Tied"),'Customer Base'!D$9=1,'CABLE SIZING TOOL'!J$27&gt;0,'CABLE SIZING TOOL'!J$27&lt;=32),1,IF(AND('Customer Base'!D$9=1,'CABLE SIZING TOOL'!J$27&gt;0,'CABLE SIZING TOOL'!J$27&lt;=32),2,""))</f>
        <v/>
      </c>
      <c r="B466" s="270" t="s">
        <v>1</v>
      </c>
      <c r="C466" s="250" t="s">
        <v>1378</v>
      </c>
      <c r="D466" s="321">
        <v>49</v>
      </c>
      <c r="E466" s="321">
        <v>49</v>
      </c>
      <c r="F466" s="249">
        <f t="shared" si="77"/>
        <v>40.196882690730106</v>
      </c>
      <c r="G466" s="249">
        <f>IFERROR(ROUNDUP(F466*'Customer Base'!$J$5,2),0)</f>
        <v>643.16</v>
      </c>
      <c r="H466" s="249">
        <f t="shared" si="78"/>
        <v>40.196882690730106</v>
      </c>
      <c r="I466" s="249">
        <f>IFERROR(ROUNDUP(H466*'Customer Base'!$J$5,2),0)</f>
        <v>643.16</v>
      </c>
      <c r="J466" s="103" t="str">
        <f t="shared" si="79"/>
        <v/>
      </c>
      <c r="L466" s="103" t="str">
        <f t="shared" si="80"/>
        <v/>
      </c>
      <c r="N466" s="103">
        <v>475</v>
      </c>
      <c r="O466" s="103" t="str">
        <f>IF('Customer Base'!$I$15="MANUAL",IF(B466&lt;&gt;"",C466,""),IF('Customer Base'!$I$15="AUTOMATE",IF(A466&lt;&gt;"",C466,""),""))</f>
        <v/>
      </c>
      <c r="AO466" s="103" t="str">
        <f>IF('Customer Base'!$I$15="MANUAL",IFERROR(AM466*B466,""),IF('Customer Base'!$I$15="AUTOMATE",IFERROR(AM466*A466,""),""))</f>
        <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B467" s="270" t="s">
        <v>1</v>
      </c>
      <c r="C467" s="250" t="s">
        <v>1379</v>
      </c>
      <c r="D467" s="321">
        <v>49</v>
      </c>
      <c r="E467" s="321">
        <v>49</v>
      </c>
      <c r="F467" s="249">
        <f t="shared" si="77"/>
        <v>40.196882690730106</v>
      </c>
      <c r="G467" s="249">
        <f>IFERROR(ROUNDUP(F467*'Customer Base'!$J$5,2),0)</f>
        <v>643.16</v>
      </c>
      <c r="H467" s="249">
        <f t="shared" si="78"/>
        <v>40.196882690730106</v>
      </c>
      <c r="I467" s="249">
        <f>IFERROR(ROUNDUP(H467*'Customer Base'!$J$5,2),0)</f>
        <v>643.16</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B468" s="270" t="s">
        <v>1</v>
      </c>
      <c r="C468" s="250" t="s">
        <v>2600</v>
      </c>
      <c r="D468" s="321">
        <v>49</v>
      </c>
      <c r="E468" s="321">
        <v>49</v>
      </c>
      <c r="F468" s="249">
        <f t="shared" si="77"/>
        <v>40.196882690730106</v>
      </c>
      <c r="G468" s="249">
        <f>IFERROR(ROUNDUP(F468*'Customer Base'!$J$5,2),0)</f>
        <v>643.16</v>
      </c>
      <c r="H468" s="249">
        <f t="shared" si="78"/>
        <v>40.196882690730106</v>
      </c>
      <c r="I468" s="249">
        <f>IFERROR(ROUNDUP(H468*'Customer Base'!$J$5,2),0)</f>
        <v>643.16</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B469" s="270" t="s">
        <v>1</v>
      </c>
      <c r="C469" s="250" t="s">
        <v>1380</v>
      </c>
      <c r="D469" s="321">
        <v>49</v>
      </c>
      <c r="E469" s="321">
        <v>49</v>
      </c>
      <c r="F469" s="249">
        <f t="shared" si="77"/>
        <v>40.196882690730106</v>
      </c>
      <c r="G469" s="249">
        <f>IFERROR(ROUNDUP(F469*'Customer Base'!$J$5,2),0)</f>
        <v>643.16</v>
      </c>
      <c r="H469" s="249">
        <f t="shared" si="78"/>
        <v>40.196882690730106</v>
      </c>
      <c r="I469" s="249">
        <f>IFERROR(ROUNDUP(H469*'Customer Base'!$J$5,2),0)</f>
        <v>643.16</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B470" s="270" t="s">
        <v>1</v>
      </c>
      <c r="C470" s="250" t="s">
        <v>1801</v>
      </c>
      <c r="D470" s="321">
        <v>49</v>
      </c>
      <c r="E470" s="321">
        <v>49</v>
      </c>
      <c r="F470" s="249">
        <f t="shared" si="77"/>
        <v>40.196882690730106</v>
      </c>
      <c r="G470" s="249">
        <f>IFERROR(ROUNDUP(F470*'Customer Base'!$J$5,2),0)</f>
        <v>643.16</v>
      </c>
      <c r="H470" s="249">
        <f t="shared" si="78"/>
        <v>40.196882690730106</v>
      </c>
      <c r="I470" s="249">
        <f>IFERROR(ROUNDUP(H470*'Customer Base'!$J$5,2),0)</f>
        <v>643.16</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f>IF(AND(OR(AND('Customer Base'!E13="Phoenix",'Customer Base'!D13="Victron"),'Customer Base'!D$7="Grid-Tied"),'Customer Base'!D$9=1,'CABLE SIZING TOOL'!J$27&gt;80,'CABLE SIZING TOOL'!J$27&lt;=100),1,IF(AND('Customer Base'!D$9=1,'CABLE SIZING TOOL'!J$27&gt;80,'CABLE SIZING TOOL'!J$27&lt;=100),2,""))</f>
        <v>2</v>
      </c>
      <c r="B471" s="270" t="s">
        <v>1</v>
      </c>
      <c r="C471" s="250" t="s">
        <v>1381</v>
      </c>
      <c r="D471" s="321">
        <v>49</v>
      </c>
      <c r="E471" s="321">
        <v>49</v>
      </c>
      <c r="F471" s="249">
        <f t="shared" si="77"/>
        <v>40.196882690730106</v>
      </c>
      <c r="G471" s="249">
        <f>IFERROR(ROUNDUP(F471*'Customer Base'!$J$5,2),0)</f>
        <v>643.16</v>
      </c>
      <c r="H471" s="249">
        <f t="shared" si="78"/>
        <v>40.196882690730106</v>
      </c>
      <c r="I471" s="249">
        <f>IFERROR(ROUNDUP(H471*'Customer Base'!$J$5,2),0)</f>
        <v>643.16</v>
      </c>
      <c r="J471" s="103" t="str">
        <f t="shared" si="79"/>
        <v/>
      </c>
      <c r="L471" s="103" t="str">
        <f t="shared" si="80"/>
        <v/>
      </c>
      <c r="N471" s="103">
        <v>480</v>
      </c>
      <c r="O471" s="103" t="str">
        <f>IF('Customer Base'!$I$15="MANUAL",IF(B471&lt;&gt;"",C471,""),IF('Customer Base'!$I$15="AUTOMATE",IF(A471&lt;&gt;"",C471,""),""))</f>
        <v>100A 2-Pole AC Circuit Breaker</v>
      </c>
      <c r="AO471" s="103">
        <f>IF('Customer Base'!$I$15="MANUAL",IFERROR(AM471*B471,""),IF('Customer Base'!$I$15="AUTOMATE",IFERROR(AM471*A471,""),""))</f>
        <v>0</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B472" s="270" t="s">
        <v>1</v>
      </c>
      <c r="C472" s="250" t="s">
        <v>2613</v>
      </c>
      <c r="D472" s="321">
        <v>49</v>
      </c>
      <c r="E472" s="321">
        <v>49</v>
      </c>
      <c r="F472" s="249">
        <f t="shared" si="77"/>
        <v>40.196882690730106</v>
      </c>
      <c r="G472" s="249">
        <f>IFERROR(ROUNDUP(F472*'Customer Base'!$J$5,2),0)</f>
        <v>643.16</v>
      </c>
      <c r="H472" s="249">
        <f t="shared" si="78"/>
        <v>40.196882690730106</v>
      </c>
      <c r="I472" s="249">
        <f>IFERROR(ROUNDUP(H472*'Customer Base'!$J$5,2),0)</f>
        <v>643.16</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B473" s="270" t="s">
        <v>1</v>
      </c>
      <c r="C473" s="250" t="s">
        <v>1494</v>
      </c>
      <c r="D473" s="321">
        <v>69</v>
      </c>
      <c r="E473" s="321">
        <v>69</v>
      </c>
      <c r="F473" s="249">
        <f t="shared" si="77"/>
        <v>56.603773584905653</v>
      </c>
      <c r="G473" s="249">
        <f>IFERROR(ROUNDUP(F473*'Customer Base'!$J$5,2),0)</f>
        <v>905.67</v>
      </c>
      <c r="H473" s="249">
        <f t="shared" si="78"/>
        <v>56.603773584905653</v>
      </c>
      <c r="I473" s="249">
        <f>IFERROR(ROUNDUP(H473*'Customer Base'!$J$5,2),0)</f>
        <v>905.67</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B474" s="270" t="s">
        <v>1</v>
      </c>
      <c r="C474" s="250" t="s">
        <v>1382</v>
      </c>
      <c r="D474" s="321">
        <v>69</v>
      </c>
      <c r="E474" s="321">
        <v>69</v>
      </c>
      <c r="F474" s="249">
        <f t="shared" si="77"/>
        <v>56.603773584905653</v>
      </c>
      <c r="G474" s="249">
        <f>IFERROR(ROUNDUP(F474*'Customer Base'!$J$5,2),0)</f>
        <v>905.67</v>
      </c>
      <c r="H474" s="249">
        <f t="shared" si="78"/>
        <v>56.603773584905653</v>
      </c>
      <c r="I474" s="249">
        <f>IFERROR(ROUNDUP(H474*'Customer Base'!$J$5,2),0)</f>
        <v>905.67</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B475" s="270" t="s">
        <v>1</v>
      </c>
      <c r="C475" s="250" t="s">
        <v>2601</v>
      </c>
      <c r="D475" s="321">
        <v>89</v>
      </c>
      <c r="E475" s="321">
        <v>89</v>
      </c>
      <c r="F475" s="249">
        <f t="shared" si="77"/>
        <v>73.010664479081214</v>
      </c>
      <c r="G475" s="249">
        <f>IFERROR(ROUNDUP(F475*'Customer Base'!$J$5,2),0)</f>
        <v>1168.18</v>
      </c>
      <c r="H475" s="249">
        <f t="shared" si="78"/>
        <v>73.010664479081214</v>
      </c>
      <c r="I475" s="249">
        <f>IFERROR(ROUNDUP(H475*'Customer Base'!$J$5,2),0)</f>
        <v>1168.18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B477" s="270" t="s">
        <v>1</v>
      </c>
      <c r="C477" s="250" t="s">
        <v>1383</v>
      </c>
      <c r="D477" s="321">
        <v>50</v>
      </c>
      <c r="E477" s="321">
        <v>50</v>
      </c>
      <c r="F477" s="249">
        <f t="shared" ref="F477:F502" si="81">$D477/1.219</f>
        <v>41.017227235438881</v>
      </c>
      <c r="G477" s="249">
        <f>IFERROR(ROUNDUP(F477*'Customer Base'!$J$5,2),0)</f>
        <v>656.28</v>
      </c>
      <c r="H477" s="249">
        <f t="shared" si="78"/>
        <v>41.017227235438881</v>
      </c>
      <c r="I477" s="249">
        <f>IFERROR(ROUNDUP(H477*'Customer Base'!$J$5,2),0)</f>
        <v>656.28</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t="str">
        <f>IF(AND(OR(AND('Customer Base'!E13="Phoenix",'Customer Base'!D13="Victron"),'Customer Base'!D$7="Grid-Tied"),'Customer Base'!D$9=3,'CABLE SIZING TOOL'!J$27&gt;32,'CABLE SIZING TOOL'!J$27&lt;=40),1,IF(AND('Customer Base'!D$9=3,'CABLE SIZING TOOL'!J$27&gt;32,'CABLE SIZING TOOL'!J$27&lt;=40),2,""))</f>
        <v/>
      </c>
      <c r="B478" s="270" t="s">
        <v>1</v>
      </c>
      <c r="C478" s="250" t="s">
        <v>1384</v>
      </c>
      <c r="D478" s="321">
        <v>50</v>
      </c>
      <c r="E478" s="321">
        <v>50</v>
      </c>
      <c r="F478" s="249">
        <f t="shared" si="81"/>
        <v>41.017227235438881</v>
      </c>
      <c r="G478" s="249">
        <f>IFERROR(ROUNDUP(F478*'Customer Base'!$J$5,2),0)</f>
        <v>656.28</v>
      </c>
      <c r="H478" s="249">
        <f t="shared" ref="H478:H502" si="82">$E478/1.219</f>
        <v>41.017227235438881</v>
      </c>
      <c r="I478" s="249">
        <f>IFERROR(ROUNDUP(H478*'Customer Base'!$J$5,2),0)</f>
        <v>656.28</v>
      </c>
      <c r="J478" s="103" t="str">
        <f t="shared" si="79"/>
        <v/>
      </c>
      <c r="L478" s="103" t="str">
        <f t="shared" si="80"/>
        <v/>
      </c>
      <c r="N478" s="103">
        <v>487</v>
      </c>
      <c r="O478" s="103" t="str">
        <f>IF('Customer Base'!$I$15="MANUAL",IF(B478&lt;&gt;"",C478,""),IF('Customer Base'!$I$15="AUTOMATE",IF(A478&lt;&gt;"",C478,""),""))</f>
        <v/>
      </c>
      <c r="AO478" s="103" t="str">
        <f>IF('Customer Base'!$I$15="MANUAL",IFERROR(AM478*B478,""),IF('Customer Base'!$I$15="AUTOMATE",IFERROR(AM478*A478,""),""))</f>
        <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B479" s="270" t="s">
        <v>1</v>
      </c>
      <c r="C479" s="250" t="s">
        <v>2599</v>
      </c>
      <c r="D479" s="321">
        <v>50</v>
      </c>
      <c r="E479" s="321">
        <v>50</v>
      </c>
      <c r="F479" s="249">
        <f t="shared" si="81"/>
        <v>41.017227235438881</v>
      </c>
      <c r="G479" s="249">
        <f>IFERROR(ROUNDUP(F479*'Customer Base'!$J$5,2),0)</f>
        <v>656.28</v>
      </c>
      <c r="H479" s="249">
        <f t="shared" si="82"/>
        <v>41.017227235438881</v>
      </c>
      <c r="I479" s="249">
        <f>IFERROR(ROUNDUP(H479*'Customer Base'!$J$5,2),0)</f>
        <v>656.28</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B480" s="270" t="s">
        <v>1</v>
      </c>
      <c r="C480" s="250" t="s">
        <v>1385</v>
      </c>
      <c r="D480" s="321">
        <v>50</v>
      </c>
      <c r="E480" s="321">
        <v>50</v>
      </c>
      <c r="F480" s="249">
        <f t="shared" si="81"/>
        <v>41.017227235438881</v>
      </c>
      <c r="G480" s="249">
        <f>IFERROR(ROUNDUP(F480*'Customer Base'!$J$5,2),0)</f>
        <v>656.28</v>
      </c>
      <c r="H480" s="249">
        <f t="shared" si="82"/>
        <v>41.017227235438881</v>
      </c>
      <c r="I480" s="249">
        <f>IFERROR(ROUNDUP(H480*'Customer Base'!$J$5,2),0)</f>
        <v>656.28</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B481" s="270" t="s">
        <v>1</v>
      </c>
      <c r="C481" s="250" t="s">
        <v>1802</v>
      </c>
      <c r="D481" s="321">
        <v>50</v>
      </c>
      <c r="E481" s="321">
        <v>50</v>
      </c>
      <c r="F481" s="249">
        <f t="shared" si="81"/>
        <v>41.017227235438881</v>
      </c>
      <c r="G481" s="249">
        <f>IFERROR(ROUNDUP(F481*'Customer Base'!$J$5,2),0)</f>
        <v>656.28</v>
      </c>
      <c r="H481" s="249">
        <f t="shared" si="82"/>
        <v>41.017227235438881</v>
      </c>
      <c r="I481" s="249">
        <f>IFERROR(ROUNDUP(H481*'Customer Base'!$J$5,2),0)</f>
        <v>656.28</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B482" s="270" t="s">
        <v>1</v>
      </c>
      <c r="C482" s="250" t="s">
        <v>1386</v>
      </c>
      <c r="D482" s="321">
        <v>50</v>
      </c>
      <c r="E482" s="321">
        <v>50</v>
      </c>
      <c r="F482" s="249">
        <f t="shared" si="81"/>
        <v>41.017227235438881</v>
      </c>
      <c r="G482" s="249">
        <f>IFERROR(ROUNDUP(F482*'Customer Base'!$J$5,2),0)</f>
        <v>656.28</v>
      </c>
      <c r="H482" s="249">
        <f t="shared" si="82"/>
        <v>41.017227235438881</v>
      </c>
      <c r="I482" s="249">
        <f>IFERROR(ROUNDUP(H482*'Customer Base'!$J$5,2),0)</f>
        <v>656.28</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B483" s="270" t="s">
        <v>1</v>
      </c>
      <c r="C483" s="250" t="s">
        <v>2612</v>
      </c>
      <c r="D483" s="321">
        <v>50</v>
      </c>
      <c r="E483" s="321">
        <v>50</v>
      </c>
      <c r="F483" s="249">
        <f t="shared" si="81"/>
        <v>41.017227235438881</v>
      </c>
      <c r="G483" s="249">
        <f>IFERROR(ROUNDUP(F483*'Customer Base'!$J$5,2),0)</f>
        <v>656.28</v>
      </c>
      <c r="H483" s="249">
        <f t="shared" si="82"/>
        <v>41.017227235438881</v>
      </c>
      <c r="I483" s="249">
        <f>IFERROR(ROUNDUP(H483*'Customer Base'!$J$5,2),0)</f>
        <v>656.28</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t="str">
        <f>IF(AND(OR(AND('Customer Base'!E13="Phoenix",'Customer Base'!D13="Victron"),'Customer Base'!D$7="Grid-Tied"),'Customer Base'!D$9=3,'CABLE SIZING TOOL'!J$27&gt;125,'CABLE SIZING TOOL'!J$27&lt;=160),1,IF(AND('Customer Base'!D$9=3,'CABLE SIZING TOOL'!J$27&gt;125,'CABLE SIZING TOOL'!J$27&lt;=160),2,""))</f>
        <v/>
      </c>
      <c r="B484" s="270" t="s">
        <v>1</v>
      </c>
      <c r="C484" s="250" t="s">
        <v>1495</v>
      </c>
      <c r="D484" s="321">
        <v>70</v>
      </c>
      <c r="E484" s="321">
        <v>70</v>
      </c>
      <c r="F484" s="249">
        <f t="shared" si="81"/>
        <v>57.424118129614435</v>
      </c>
      <c r="G484" s="249">
        <f>IFERROR(ROUNDUP(F484*'Customer Base'!$J$5,2),0)</f>
        <v>918.79</v>
      </c>
      <c r="H484" s="249">
        <f t="shared" si="82"/>
        <v>57.424118129614435</v>
      </c>
      <c r="I484" s="249">
        <f>IFERROR(ROUNDUP(H484*'Customer Base'!$J$5,2),0)</f>
        <v>918.79</v>
      </c>
      <c r="J484" s="103" t="str">
        <f t="shared" si="79"/>
        <v/>
      </c>
      <c r="L484" s="103" t="str">
        <f t="shared" si="80"/>
        <v/>
      </c>
      <c r="N484" s="103">
        <v>493</v>
      </c>
      <c r="O484" s="103" t="str">
        <f>IF('Customer Base'!$I$15="MANUAL",IF(B484&lt;&gt;"",C484,""),IF('Customer Base'!$I$15="AUTOMATE",IF(A484&lt;&gt;"",C484,""),""))</f>
        <v/>
      </c>
      <c r="AO484" s="103" t="str">
        <f>IF('Customer Base'!$I$15="MANUAL",IFERROR(AM484*B484,""),IF('Customer Base'!$I$15="AUTOMATE",IFERROR(AM484*A484,""),""))</f>
        <v/>
      </c>
    </row>
    <row r="485" spans="1:48">
      <c r="C485" s="250" t="s">
        <v>1387</v>
      </c>
      <c r="D485" s="321">
        <v>70</v>
      </c>
      <c r="E485" s="321">
        <v>70</v>
      </c>
      <c r="F485" s="249">
        <f t="shared" si="81"/>
        <v>57.424118129614435</v>
      </c>
      <c r="G485" s="249">
        <f>IFERROR(ROUNDUP(F485*'Customer Base'!$J$5,2),0)</f>
        <v>918.79</v>
      </c>
      <c r="H485" s="249">
        <f t="shared" si="82"/>
        <v>57.424118129614435</v>
      </c>
      <c r="I485" s="249">
        <f>IFERROR(ROUNDUP(H485*'Customer Base'!$J$5,2),0)</f>
        <v>918.79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1310</v>
      </c>
      <c r="D487" s="321">
        <v>107.15</v>
      </c>
      <c r="E487" s="321">
        <v>107.15</v>
      </c>
      <c r="F487" s="249">
        <f t="shared" si="81"/>
        <v>87.899917965545526</v>
      </c>
      <c r="G487" s="249">
        <f>IFERROR(ROUNDUP(F487*'Customer Base'!$J$5,2),0)</f>
        <v>1406.4</v>
      </c>
      <c r="H487" s="249">
        <f t="shared" si="82"/>
        <v>87.899917965545526</v>
      </c>
      <c r="I487" s="249">
        <f>IFERROR(ROUNDUP(H487*'Customer Base'!$J$5,2),0)</f>
        <v>1406.4</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B488" s="270" t="s">
        <v>1</v>
      </c>
      <c r="C488" s="250" t="s">
        <v>1496</v>
      </c>
      <c r="D488" s="321">
        <v>107.15</v>
      </c>
      <c r="E488" s="321">
        <v>107.15</v>
      </c>
      <c r="F488" s="249">
        <f t="shared" si="81"/>
        <v>87.899917965545526</v>
      </c>
      <c r="G488" s="249">
        <f>IFERROR(ROUNDUP(F488*'Customer Base'!$J$5,2),0)</f>
        <v>1406.4</v>
      </c>
      <c r="H488" s="249">
        <f t="shared" si="82"/>
        <v>87.899917965545526</v>
      </c>
      <c r="I488" s="249">
        <f>IFERROR(ROUNDUP(H488*'Customer Base'!$J$5,2),0)</f>
        <v>1406.4</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B489" s="270">
        <v>2</v>
      </c>
      <c r="C489" s="250" t="s">
        <v>2478</v>
      </c>
      <c r="D489" s="321">
        <v>107.15</v>
      </c>
      <c r="E489" s="321">
        <v>107.15</v>
      </c>
      <c r="F489" s="249">
        <f t="shared" si="81"/>
        <v>87.899917965545526</v>
      </c>
      <c r="G489" s="249">
        <f>IFERROR(ROUNDUP(F489*'Customer Base'!$J$5,2),0)</f>
        <v>1406.4</v>
      </c>
      <c r="H489" s="249">
        <f t="shared" si="82"/>
        <v>87.899917965545526</v>
      </c>
      <c r="I489" s="249">
        <f>IFERROR(ROUNDUP(H489*'Customer Base'!$J$5,2),0)</f>
        <v>1406.4</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t="str">
        <f>IF(AND(OR(AND('Customer Base'!E13="Phoenix",'Customer Base'!D13="Victron"),'Customer Base'!D$7="Grid-Tied"),'Customer Base'!D$9=3,'CABLE SIZING TOOL'!J$27&gt;320,'CABLE SIZING TOOL'!J$27&lt;=400),1,IF(AND('Customer Base'!D$9=3,'CABLE SIZING TOOL'!J$27&gt;320,'CABLE SIZING TOOL'!J$27&lt;=400),2,""))</f>
        <v/>
      </c>
      <c r="B490" s="270" t="s">
        <v>1</v>
      </c>
      <c r="C490" s="250" t="s">
        <v>2479</v>
      </c>
      <c r="D490" s="321">
        <v>107.15</v>
      </c>
      <c r="E490" s="321">
        <v>107.15</v>
      </c>
      <c r="F490" s="249">
        <f t="shared" si="81"/>
        <v>87.899917965545526</v>
      </c>
      <c r="G490" s="249">
        <f>IFERROR(ROUNDUP(F490*'Customer Base'!$J$5,2),0)</f>
        <v>1406.4</v>
      </c>
      <c r="H490" s="249">
        <f t="shared" si="82"/>
        <v>87.899917965545526</v>
      </c>
      <c r="I490" s="249">
        <f>IFERROR(ROUNDUP(H490*'Customer Base'!$J$5,2),0)</f>
        <v>1406.4</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B491" s="270" t="s">
        <v>1</v>
      </c>
      <c r="C491" s="250" t="s">
        <v>1604</v>
      </c>
      <c r="D491" s="321">
        <v>107.15</v>
      </c>
      <c r="E491" s="321">
        <v>107.15</v>
      </c>
      <c r="F491" s="249">
        <f t="shared" si="81"/>
        <v>87.899917965545526</v>
      </c>
      <c r="G491" s="249">
        <f>IFERROR(ROUNDUP(F491*'Customer Base'!$J$5,2),0)</f>
        <v>1406.4</v>
      </c>
      <c r="H491" s="249">
        <f t="shared" si="82"/>
        <v>87.899917965545526</v>
      </c>
      <c r="I491" s="249">
        <f>IFERROR(ROUNDUP(H491*'Customer Base'!$J$5,2),0)</f>
        <v>1406.4</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B492" s="270" t="s">
        <v>1</v>
      </c>
      <c r="C492" s="250" t="s">
        <v>2639</v>
      </c>
      <c r="D492" s="321">
        <v>107.15</v>
      </c>
      <c r="E492" s="321">
        <v>107.15</v>
      </c>
      <c r="F492" s="249">
        <f t="shared" si="81"/>
        <v>87.899917965545526</v>
      </c>
      <c r="G492" s="249">
        <f>IFERROR(ROUNDUP(F492*'Customer Base'!$J$5,2),0)</f>
        <v>1406.4</v>
      </c>
      <c r="H492" s="249">
        <f t="shared" si="82"/>
        <v>87.899917965545526</v>
      </c>
      <c r="I492" s="249">
        <f>IFERROR(ROUNDUP(H492*'Customer Base'!$J$5,2),0)</f>
        <v>1406.4</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9</v>
      </c>
      <c r="B494" s="270">
        <v>20</v>
      </c>
      <c r="C494" s="250" t="s">
        <v>944</v>
      </c>
      <c r="D494" s="321">
        <v>9.0299999999999994</v>
      </c>
      <c r="E494" s="321">
        <v>8.5050000000000008</v>
      </c>
      <c r="F494" s="249">
        <f>$D494/1.219</f>
        <v>7.4077112387202613</v>
      </c>
      <c r="G494" s="249">
        <f>IFERROR(ROUNDUP(F494*'Customer Base'!$J$5,2),0)</f>
        <v>118.53</v>
      </c>
      <c r="H494" s="249">
        <f>$E494/1.219</f>
        <v>6.9770303527481543</v>
      </c>
      <c r="I494" s="249">
        <f>IFERROR(ROUNDUP(H494*'Customer Base'!$J$5,2),0)</f>
        <v>111.64</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343.63</v>
      </c>
      <c r="H495" s="249">
        <f>$E495/1.219</f>
        <v>20.226415094339622</v>
      </c>
      <c r="I495" s="249">
        <f>IFERROR(ROUNDUP(H495*'Customer Base'!$J$5,2),0)</f>
        <v>323.63</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1937</v>
      </c>
      <c r="D496" s="321">
        <v>3.1</v>
      </c>
      <c r="E496" s="321">
        <v>2.9159999999999999</v>
      </c>
      <c r="F496" s="249">
        <f t="shared" ref="F496:F497" si="83">$D496/1.219</f>
        <v>2.5430680885972108</v>
      </c>
      <c r="G496" s="249">
        <f>IFERROR(ROUNDUP(F496*'Customer Base'!$J$5,2),0)</f>
        <v>40.69</v>
      </c>
      <c r="H496" s="249">
        <f t="shared" ref="H496:H497" si="84">$E496/1.219</f>
        <v>2.3921246923707957</v>
      </c>
      <c r="I496" s="249">
        <f>IFERROR(ROUNDUP(H496*'Customer Base'!$J$5,2),0)</f>
        <v>38.28</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1938</v>
      </c>
      <c r="D497" s="321">
        <v>3.13</v>
      </c>
      <c r="E497" s="321">
        <v>2.948</v>
      </c>
      <c r="F497" s="249">
        <f t="shared" si="83"/>
        <v>2.5676784249384741</v>
      </c>
      <c r="G497" s="249">
        <f>IFERROR(ROUNDUP(F497*'Customer Base'!$J$5,2),0)</f>
        <v>41.089999999999996</v>
      </c>
      <c r="H497" s="249">
        <f t="shared" si="84"/>
        <v>2.4183757178014762</v>
      </c>
      <c r="I497" s="249">
        <f>IFERROR(ROUNDUP(H497*'Customer Base'!$J$5,2),0)</f>
        <v>38.699999999999996</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2</v>
      </c>
      <c r="B499" s="270">
        <v>2</v>
      </c>
      <c r="C499" s="343" t="s">
        <v>969</v>
      </c>
      <c r="D499" s="321">
        <v>16.949152542370001</v>
      </c>
      <c r="E499" s="321">
        <v>16.949152542370001</v>
      </c>
      <c r="F499" s="321">
        <f t="shared" si="81"/>
        <v>13.904144825570139</v>
      </c>
      <c r="G499" s="321">
        <f>IFERROR(ROUNDUP(F499*'Customer Base'!$J$5,2),0)</f>
        <v>222.47</v>
      </c>
      <c r="H499" s="321">
        <f t="shared" si="82"/>
        <v>13.904144825570139</v>
      </c>
      <c r="I499" s="321">
        <f>IFERROR(ROUNDUP(H499*'Customer Base'!$J$5,2),0)</f>
        <v>222.47</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1978.94</v>
      </c>
      <c r="H500" s="321">
        <f t="shared" si="82"/>
        <v>123.68334700574241</v>
      </c>
      <c r="I500" s="321">
        <f>IFERROR(ROUNDUP(H500*'Customer Base'!$J$5,2),0)</f>
        <v>1978.94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t="str">
        <f>IF(OR('Customer Base'!D7="Grid-Tied",'Customer Base'!D7="Mini-Grid"),1,"")</f>
        <v/>
      </c>
      <c r="B502" s="270">
        <v>1</v>
      </c>
      <c r="C502" s="250" t="s">
        <v>1849</v>
      </c>
      <c r="D502" s="321">
        <v>120</v>
      </c>
      <c r="E502" s="321">
        <v>120</v>
      </c>
      <c r="F502" s="249">
        <f t="shared" si="81"/>
        <v>98.441345365053309</v>
      </c>
      <c r="G502" s="249">
        <f>IFERROR(ROUNDUP(F502*'Customer Base'!$J$5,2),0)</f>
        <v>1575.07</v>
      </c>
      <c r="H502" s="249">
        <f t="shared" si="82"/>
        <v>98.441345365053309</v>
      </c>
      <c r="I502" s="249">
        <f>IFERROR(ROUNDUP(H502*'Customer Base'!$J$5,2),0)</f>
        <v>1575.07</v>
      </c>
      <c r="J502" s="103" t="str">
        <f t="shared" si="79"/>
        <v/>
      </c>
      <c r="L502" s="103" t="str">
        <f t="shared" si="80"/>
        <v/>
      </c>
      <c r="N502" s="103">
        <v>511</v>
      </c>
      <c r="O502" s="103" t="str">
        <f>IF('Customer Base'!$I$15="MANUAL",IF(B502&lt;&gt;"",C502,""),IF('Customer Base'!$I$15="AUTOMATE",IF(A502&lt;&gt;"",C502,""),""))</f>
        <v/>
      </c>
      <c r="AO502" s="103" t="str">
        <f>IF('Customer Base'!$I$15="MANUAL",IFERROR(AM502*B502,""),IF('Customer Base'!$I$15="AUTOMATE",IFERROR(AM502*A502,""),""))</f>
        <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1890</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6.5</v>
      </c>
      <c r="B505" s="270">
        <v>56</v>
      </c>
      <c r="C505" s="237" t="s">
        <v>1848</v>
      </c>
      <c r="D505" s="267">
        <v>86</v>
      </c>
      <c r="E505" s="267">
        <v>81</v>
      </c>
      <c r="F505" s="238">
        <f>$D505/1.219</f>
        <v>70.549630844954876</v>
      </c>
      <c r="G505" s="238">
        <f>IFERROR(ROUNDUP(F505*'Customer Base'!$J$5,2),0)</f>
        <v>1128.8</v>
      </c>
      <c r="H505" s="238">
        <f>$E505/1.219</f>
        <v>66.44790812141099</v>
      </c>
      <c r="I505" s="238">
        <f>IFERROR(ROUNDUP(H505*'Customer Base'!$J$5,2),0)</f>
        <v>1063.17</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B506" s="270" t="s">
        <v>1</v>
      </c>
      <c r="C506" s="237" t="s">
        <v>2746</v>
      </c>
      <c r="D506" s="267">
        <v>473</v>
      </c>
      <c r="E506" s="267">
        <v>445.5</v>
      </c>
      <c r="F506" s="238">
        <f>$D506/1.219</f>
        <v>388.02296964725184</v>
      </c>
      <c r="G506" s="238">
        <f>IFERROR(ROUNDUP(F506*'Customer Base'!$J$5,2),0)</f>
        <v>6208.37</v>
      </c>
      <c r="H506" s="238">
        <f>$E506/1.219</f>
        <v>365.46349466776041</v>
      </c>
      <c r="I506" s="238">
        <f>IFERROR(ROUNDUP(H506*'Customer Base'!$J$5,2),0)</f>
        <v>5847.42</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B507" s="270" t="s">
        <v>1</v>
      </c>
      <c r="C507" s="237" t="s">
        <v>1704</v>
      </c>
      <c r="D507" s="267">
        <v>490.2</v>
      </c>
      <c r="E507" s="267">
        <v>461.7</v>
      </c>
      <c r="F507" s="238">
        <f t="shared" ref="F507" si="86">$D507/1.219</f>
        <v>402.13289581624281</v>
      </c>
      <c r="G507" s="238">
        <f>IFERROR(ROUNDUP(F507*'Customer Base'!$J$5,2),0)</f>
        <v>6434.13</v>
      </c>
      <c r="H507" s="238">
        <f t="shared" ref="H507" si="87">$E507/1.219</f>
        <v>378.75307629204264</v>
      </c>
      <c r="I507" s="238">
        <f>IFERROR(ROUNDUP(H507*'Customer Base'!$J$5,2),0)</f>
        <v>6060.05</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B509" s="270" t="s">
        <v>1</v>
      </c>
      <c r="C509" s="237" t="s">
        <v>1268</v>
      </c>
      <c r="D509" s="238">
        <f>IF(F509="",IF(G509&lt;&gt;"",ROUNDUP(G509*1.219/'Customer Base'!$J$5,1),""),ROUNDUP(F509*1.219,1))</f>
        <v>256</v>
      </c>
      <c r="E509" s="238">
        <f>IF(H509="",IF(I509&lt;&gt;"",ROUNDUP(I509*1.219/'Customer Base'!$J$5,1),""),ROUNDUP(H509*1.219,1))</f>
        <v>256</v>
      </c>
      <c r="F509" s="238">
        <f>'Customer Base'!$J$9*14</f>
        <v>210</v>
      </c>
      <c r="G509" s="238">
        <f>IFERROR(ROUNDUP(F509*'Customer Base'!$J$5,2),0)</f>
        <v>3360</v>
      </c>
      <c r="H509" s="238">
        <f>'Customer Base'!$J$9*14</f>
        <v>210</v>
      </c>
      <c r="I509" s="238">
        <f>IFERROR(ROUNDUP(H509*'Customer Base'!$J$5,2),0)</f>
        <v>3360</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B510" s="270" t="s">
        <v>1</v>
      </c>
      <c r="C510" s="237" t="s">
        <v>1355</v>
      </c>
      <c r="D510" s="238">
        <f>IF(F510="",IF(G510&lt;&gt;"",ROUNDUP(G510*1.219/'Customer Base'!$J$5,1),""),ROUNDUP(F510*1.219,1))</f>
        <v>256</v>
      </c>
      <c r="E510" s="238">
        <f>IF(H510="",IF(I510&lt;&gt;"",ROUNDUP(I510*1.219/'Customer Base'!$J$5,1),""),ROUNDUP(H510*1.219,1))</f>
        <v>256</v>
      </c>
      <c r="F510" s="238">
        <f>'Customer Base'!$J$9*14</f>
        <v>210</v>
      </c>
      <c r="G510" s="238">
        <f>IFERROR(ROUNDUP(F510*'Customer Base'!$J$5,2),0)</f>
        <v>3360</v>
      </c>
      <c r="H510" s="238">
        <f>'Customer Base'!$J$9*14</f>
        <v>210</v>
      </c>
      <c r="I510" s="238">
        <f>IFERROR(ROUNDUP(H510*'Customer Base'!$J$5,2),0)</f>
        <v>3360</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1898</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1748</v>
      </c>
      <c r="D513" s="325">
        <v>309.60000000000002</v>
      </c>
      <c r="E513" s="325">
        <v>291.60000000000002</v>
      </c>
      <c r="F513" s="255">
        <f>$D513/1.219</f>
        <v>253.97867104183757</v>
      </c>
      <c r="G513" s="255">
        <f>IFERROR(ROUNDUP(F513*'Customer Base'!$J$5,2),0)</f>
        <v>4063.6600000000003</v>
      </c>
      <c r="H513" s="255">
        <f>$E513/1.219</f>
        <v>239.21246923707957</v>
      </c>
      <c r="I513" s="255">
        <f>IFERROR(ROUNDUP(H513*'Customer Base'!$J$5,2),0)</f>
        <v>3827.4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1749</v>
      </c>
      <c r="D514" s="325">
        <v>361.2</v>
      </c>
      <c r="E514" s="325">
        <v>340.2</v>
      </c>
      <c r="F514" s="255">
        <f t="shared" ref="F514:F526" si="88">$D514/1.219</f>
        <v>296.30844954881047</v>
      </c>
      <c r="G514" s="255">
        <f>IFERROR(ROUNDUP(F514*'Customer Base'!$J$5,2),0)</f>
        <v>4740.9400000000005</v>
      </c>
      <c r="H514" s="255">
        <f t="shared" ref="H514:H526" si="89">$E514/1.219</f>
        <v>279.08121410992612</v>
      </c>
      <c r="I514" s="255">
        <f>IFERROR(ROUNDUP(H514*'Customer Base'!$J$5,2),0)</f>
        <v>4465.3</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1750</v>
      </c>
      <c r="D515" s="325">
        <v>395.6</v>
      </c>
      <c r="E515" s="325">
        <v>372.6</v>
      </c>
      <c r="F515" s="255">
        <f t="shared" si="88"/>
        <v>324.52830188679246</v>
      </c>
      <c r="G515" s="255">
        <f>IFERROR(ROUNDUP(F515*'Customer Base'!$J$5,2),0)</f>
        <v>5192.46</v>
      </c>
      <c r="H515" s="255">
        <f t="shared" si="89"/>
        <v>305.66037735849056</v>
      </c>
      <c r="I515" s="255">
        <f>IFERROR(ROUNDUP(H515*'Customer Base'!$J$5,2),0)</f>
        <v>4890.5700000000006</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1751</v>
      </c>
      <c r="D516" s="325">
        <v>636.4</v>
      </c>
      <c r="E516" s="325">
        <v>599.4</v>
      </c>
      <c r="F516" s="255">
        <f t="shared" si="88"/>
        <v>522.06726825266605</v>
      </c>
      <c r="G516" s="255">
        <f>IFERROR(ROUNDUP(F516*'Customer Base'!$J$5,2),0)</f>
        <v>8353.08</v>
      </c>
      <c r="H516" s="255">
        <f t="shared" si="89"/>
        <v>491.71452009844131</v>
      </c>
      <c r="I516" s="255">
        <f>IFERROR(ROUNDUP(H516*'Customer Base'!$J$5,2),0)</f>
        <v>7867.4400000000005</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1752</v>
      </c>
      <c r="D517" s="325">
        <v>481.6</v>
      </c>
      <c r="E517" s="325">
        <v>453.6</v>
      </c>
      <c r="F517" s="255">
        <f t="shared" si="88"/>
        <v>395.07793273174735</v>
      </c>
      <c r="G517" s="255">
        <f>IFERROR(ROUNDUP(F517*'Customer Base'!$J$5,2),0)</f>
        <v>6321.25</v>
      </c>
      <c r="H517" s="255">
        <f t="shared" si="89"/>
        <v>372.10828547990155</v>
      </c>
      <c r="I517" s="255">
        <f>IFERROR(ROUNDUP(H517*'Customer Base'!$J$5,2),0)</f>
        <v>5953.74</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1753</v>
      </c>
      <c r="D518" s="325">
        <v>834.2</v>
      </c>
      <c r="E518" s="325">
        <v>785.7</v>
      </c>
      <c r="F518" s="255">
        <f t="shared" si="88"/>
        <v>684.33141919606237</v>
      </c>
      <c r="G518" s="255">
        <f>IFERROR(ROUNDUP(F518*'Customer Base'!$J$5,2),0)</f>
        <v>10949.31</v>
      </c>
      <c r="H518" s="255">
        <f t="shared" si="89"/>
        <v>644.54470877768665</v>
      </c>
      <c r="I518" s="255">
        <f>IFERROR(ROUNDUP(H518*'Customer Base'!$J$5,2),0)</f>
        <v>10312.719999999999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1754</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1743</v>
      </c>
      <c r="D522" s="325">
        <v>344</v>
      </c>
      <c r="E522" s="325">
        <v>324</v>
      </c>
      <c r="F522" s="255">
        <f t="shared" si="88"/>
        <v>282.19852337981951</v>
      </c>
      <c r="G522" s="255">
        <f>IFERROR(ROUNDUP(F522*'Customer Base'!$J$5,2),0)</f>
        <v>4515.18</v>
      </c>
      <c r="H522" s="255">
        <f t="shared" si="89"/>
        <v>265.79163248564396</v>
      </c>
      <c r="I522" s="255">
        <f>IFERROR(ROUNDUP(H522*'Customer Base'!$J$5,2),0)</f>
        <v>4252.67</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1744</v>
      </c>
      <c r="D523" s="325">
        <v>481.6</v>
      </c>
      <c r="E523" s="325">
        <v>453.6</v>
      </c>
      <c r="F523" s="255">
        <f t="shared" si="88"/>
        <v>395.07793273174735</v>
      </c>
      <c r="G523" s="255">
        <f>IFERROR(ROUNDUP(F523*'Customer Base'!$J$5,2),0)</f>
        <v>6321.25</v>
      </c>
      <c r="H523" s="255">
        <f t="shared" si="89"/>
        <v>372.10828547990155</v>
      </c>
      <c r="I523" s="255">
        <f>IFERROR(ROUNDUP(H523*'Customer Base'!$J$5,2),0)</f>
        <v>5953.74</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1745</v>
      </c>
      <c r="D524" s="325">
        <v>524.6</v>
      </c>
      <c r="E524" s="325">
        <v>494.1</v>
      </c>
      <c r="F524" s="255">
        <f t="shared" si="88"/>
        <v>430.35274815422474</v>
      </c>
      <c r="G524" s="255">
        <f>IFERROR(ROUNDUP(F524*'Customer Base'!$J$5,2),0)</f>
        <v>6885.6500000000005</v>
      </c>
      <c r="H524" s="255">
        <f t="shared" si="89"/>
        <v>405.33223954060702</v>
      </c>
      <c r="I524" s="255">
        <f>IFERROR(ROUNDUP(H524*'Customer Base'!$J$5,2),0)</f>
        <v>6485.3200000000006</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1746</v>
      </c>
      <c r="D525" s="325">
        <v>645</v>
      </c>
      <c r="E525" s="325">
        <v>607.5</v>
      </c>
      <c r="F525" s="255">
        <f t="shared" si="88"/>
        <v>529.12223133716157</v>
      </c>
      <c r="G525" s="255">
        <f>IFERROR(ROUNDUP(F525*'Customer Base'!$J$5,2),0)</f>
        <v>8465.9600000000009</v>
      </c>
      <c r="H525" s="255">
        <f t="shared" si="89"/>
        <v>498.35931091058239</v>
      </c>
      <c r="I525" s="255">
        <f>IFERROR(ROUNDUP(H525*'Customer Base'!$J$5,2),0)</f>
        <v>7973.75</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1747</v>
      </c>
      <c r="D526" s="325">
        <v>722.4</v>
      </c>
      <c r="E526" s="325">
        <v>680.4</v>
      </c>
      <c r="F526" s="255">
        <f t="shared" si="88"/>
        <v>592.61689909762094</v>
      </c>
      <c r="G526" s="255">
        <f>IFERROR(ROUNDUP(F526*'Customer Base'!$J$5,2),0)</f>
        <v>9481.880000000001</v>
      </c>
      <c r="H526" s="255">
        <f t="shared" si="89"/>
        <v>558.16242821985225</v>
      </c>
      <c r="I526" s="255">
        <f>IFERROR(ROUNDUP(H526*'Customer Base'!$J$5,2),0)</f>
        <v>8930.6</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1889</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B529" s="270" t="s">
        <v>1</v>
      </c>
      <c r="C529" s="265" t="s">
        <v>1316</v>
      </c>
      <c r="D529" s="332">
        <v>127.118644</v>
      </c>
      <c r="E529" s="332">
        <v>127.118644</v>
      </c>
      <c r="F529" s="266">
        <f t="shared" ref="F529:F538" si="90">$D529/1.219</f>
        <v>104.28108613617719</v>
      </c>
      <c r="G529" s="266">
        <f>IFERROR(ROUNDUP(F529*'Customer Base'!$J$5,2),0)</f>
        <v>1668.5</v>
      </c>
      <c r="H529" s="266">
        <f t="shared" ref="H529:H538" si="91">$E529/1.219</f>
        <v>104.28108613617719</v>
      </c>
      <c r="I529" s="266">
        <f>IFERROR(ROUNDUP(H529*'Customer Base'!$J$5,2),0)</f>
        <v>1668.5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B530" s="270" t="s">
        <v>1</v>
      </c>
      <c r="C530" s="265" t="s">
        <v>1317</v>
      </c>
      <c r="D530" s="332">
        <v>161.01694915249999</v>
      </c>
      <c r="E530" s="332">
        <v>161.01694915249999</v>
      </c>
      <c r="F530" s="266">
        <f t="shared" si="90"/>
        <v>132.08937584290399</v>
      </c>
      <c r="G530" s="266">
        <f>IFERROR(ROUNDUP(F530*'Customer Base'!$J$5,2),0)</f>
        <v>2113.44</v>
      </c>
      <c r="H530" s="266">
        <f t="shared" si="91"/>
        <v>132.08937584290399</v>
      </c>
      <c r="I530" s="266">
        <f>IFERROR(ROUNDUP(H530*'Customer Base'!$J$5,2),0)</f>
        <v>2113.44</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B531" s="270" t="s">
        <v>1</v>
      </c>
      <c r="C531" s="265" t="s">
        <v>1318</v>
      </c>
      <c r="D531" s="332">
        <v>254.23728813549999</v>
      </c>
      <c r="E531" s="332">
        <v>254.23728813549999</v>
      </c>
      <c r="F531" s="266">
        <f t="shared" si="90"/>
        <v>208.56217238351107</v>
      </c>
      <c r="G531" s="266">
        <f>IFERROR(ROUNDUP(F531*'Customer Base'!$J$5,2),0)</f>
        <v>3337</v>
      </c>
      <c r="H531" s="266">
        <f t="shared" si="91"/>
        <v>208.56217238351107</v>
      </c>
      <c r="I531" s="266">
        <f>IFERROR(ROUNDUP(H531*'Customer Base'!$J$5,2),0)</f>
        <v>3337</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B532" s="270" t="s">
        <v>1</v>
      </c>
      <c r="C532" s="265" t="s">
        <v>1319</v>
      </c>
      <c r="D532" s="332">
        <v>305.08474576269998</v>
      </c>
      <c r="E532" s="332">
        <v>305.08474576269998</v>
      </c>
      <c r="F532" s="266">
        <f t="shared" si="90"/>
        <v>250.27460686029528</v>
      </c>
      <c r="G532" s="266">
        <f>IFERROR(ROUNDUP(F532*'Customer Base'!$J$5,2),0)</f>
        <v>4004.4</v>
      </c>
      <c r="H532" s="266">
        <f t="shared" si="91"/>
        <v>250.27460686029528</v>
      </c>
      <c r="I532" s="266">
        <f>IFERROR(ROUNDUP(H532*'Customer Base'!$J$5,2),0)</f>
        <v>4004.4</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B534" s="270" t="s">
        <v>1</v>
      </c>
      <c r="C534" s="265" t="s">
        <v>2327</v>
      </c>
      <c r="D534" s="332">
        <v>60.95</v>
      </c>
      <c r="E534" s="332">
        <v>60.95</v>
      </c>
      <c r="F534" s="266">
        <f t="shared" si="90"/>
        <v>50</v>
      </c>
      <c r="G534" s="266">
        <f>IFERROR(ROUNDUP(F534*'Customer Base'!$J$5,2),0)</f>
        <v>800</v>
      </c>
      <c r="H534" s="266">
        <f t="shared" si="91"/>
        <v>50</v>
      </c>
      <c r="I534" s="266">
        <f>IFERROR(ROUNDUP(H534*'Customer Base'!$J$5,2),0)</f>
        <v>800</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B535" s="270" t="s">
        <v>1</v>
      </c>
      <c r="C535" s="265" t="s">
        <v>1312</v>
      </c>
      <c r="D535" s="332">
        <v>161.02000000000001</v>
      </c>
      <c r="E535" s="332">
        <v>161.02000000000001</v>
      </c>
      <c r="F535" s="266">
        <f t="shared" si="90"/>
        <v>132.09187858900739</v>
      </c>
      <c r="G535" s="266">
        <f>IFERROR(ROUNDUP(F535*'Customer Base'!$J$5,2),0)</f>
        <v>2113.48</v>
      </c>
      <c r="H535" s="266">
        <f t="shared" si="91"/>
        <v>132.09187858900739</v>
      </c>
      <c r="I535" s="266">
        <f>IFERROR(ROUNDUP(H535*'Customer Base'!$J$5,2),0)</f>
        <v>2113.48</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B536" s="270" t="s">
        <v>1</v>
      </c>
      <c r="C536" s="265" t="s">
        <v>1313</v>
      </c>
      <c r="D536" s="332">
        <v>254.24</v>
      </c>
      <c r="E536" s="332">
        <v>254.24</v>
      </c>
      <c r="F536" s="266">
        <f t="shared" si="90"/>
        <v>208.56439704675964</v>
      </c>
      <c r="G536" s="266">
        <f>IFERROR(ROUNDUP(F536*'Customer Base'!$J$5,2),0)</f>
        <v>3337.0400000000004</v>
      </c>
      <c r="H536" s="266">
        <f t="shared" si="91"/>
        <v>208.56439704675964</v>
      </c>
      <c r="I536" s="266">
        <f>IFERROR(ROUNDUP(H536*'Customer Base'!$J$5,2),0)</f>
        <v>3337.0400000000004</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B537" s="270" t="s">
        <v>1</v>
      </c>
      <c r="C537" s="265" t="s">
        <v>1314</v>
      </c>
      <c r="D537" s="332">
        <v>305.08</v>
      </c>
      <c r="E537" s="332">
        <v>305.08</v>
      </c>
      <c r="F537" s="266">
        <f t="shared" si="90"/>
        <v>250.27071369975386</v>
      </c>
      <c r="G537" s="266">
        <f>IFERROR(ROUNDUP(F537*'Customer Base'!$J$5,2),0)</f>
        <v>4004.34</v>
      </c>
      <c r="H537" s="266">
        <f t="shared" si="91"/>
        <v>250.27071369975386</v>
      </c>
      <c r="I537" s="266">
        <f>IFERROR(ROUNDUP(H537*'Customer Base'!$J$5,2),0)</f>
        <v>4004.34</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B538" s="270" t="s">
        <v>1</v>
      </c>
      <c r="C538" s="265" t="s">
        <v>1315</v>
      </c>
      <c r="D538" s="332">
        <v>415.28</v>
      </c>
      <c r="E538" s="332">
        <v>415.28</v>
      </c>
      <c r="F538" s="266">
        <f t="shared" si="90"/>
        <v>340.67268252666116</v>
      </c>
      <c r="G538" s="266">
        <f>IFERROR(ROUNDUP(F538*'Customer Base'!$J$5,2),0)</f>
        <v>5450.77</v>
      </c>
      <c r="H538" s="266">
        <f t="shared" si="91"/>
        <v>340.67268252666116</v>
      </c>
      <c r="I538" s="266">
        <f>IFERROR(ROUNDUP(H538*'Customer Base'!$J$5,2),0)</f>
        <v>5450.77</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B540" s="270">
        <v>1</v>
      </c>
      <c r="C540" s="265" t="s">
        <v>953</v>
      </c>
      <c r="D540" s="332">
        <f ca="1">IF(F540="",IF(G540&lt;&gt;"",ROUNDUP(G540*1.219/'Customer Base'!$J$5,1),""),ROUNDUP(F540*1.219,1))</f>
        <v>99.899999999999991</v>
      </c>
      <c r="E540" s="332" t="str">
        <f ca="1">IF(H540="",IF(I540&lt;&gt;"",ROUNDUP(I540*1.219/'Customer Base'!$J$5,1),""),ROUNDUP(H540*1.219,1))</f>
        <v/>
      </c>
      <c r="F540" s="266" t="str">
        <f ca="1">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 ca="1">IF('Customer Base'!$I$15="MANUAL",IF($B540="","",IF(AND(INVOICE!$K$14="GH₵",'Customer Base'!$I$17="Retail"),ROUNDUP(SUM(2.5%*SUMPRODUCT($B$242:$B$254,G$242:G$254),1%*SUMPRODUCT($B$1:$B$160,G$1:G$160)),-1),"")),IF('Customer Base'!$I$15="AUTOMATE",IF($A540="","",IF(AND(INVOICE!$K$14="GH₵",'Customer Base'!$I$17="Retail"),ROUNDUP(SUM(2.5%*SUMPRODUCT($A$242:$A$254,G$242:G$254),1%*SUMPRODUCT($A$1:$A$160,G$1:G$160)),-1),"")),""))</f>
        <v>1310</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1888</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1615</v>
      </c>
      <c r="D544" s="330">
        <f>ROUNDUP('Customer Base'!J9*4,-2)</f>
        <v>100</v>
      </c>
      <c r="E544" s="330">
        <f>ROUNDUP('Customer Base'!J9*4,-2)</f>
        <v>100</v>
      </c>
      <c r="F544" s="263">
        <f t="shared" si="95"/>
        <v>82.034454470877762</v>
      </c>
      <c r="G544" s="263">
        <f>IFERROR(ROUNDUP(F544*'Customer Base'!$J$5,2),0)</f>
        <v>1312.56</v>
      </c>
      <c r="H544" s="263">
        <f t="shared" si="96"/>
        <v>82.034454470877762</v>
      </c>
      <c r="I544" s="263">
        <f>IFERROR(ROUNDUP(H544*'Customer Base'!$J$5,2),0)</f>
        <v>1312.56</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262.52</v>
      </c>
      <c r="H546" s="263">
        <f>$E546/1.219</f>
        <v>16.406890894175554</v>
      </c>
      <c r="I546" s="263">
        <f>IFERROR(ROUNDUP(H546*'Customer Base'!$J$5,2),0)</f>
        <v>262.52</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1221</v>
      </c>
      <c r="D547" s="330">
        <v>43.75</v>
      </c>
      <c r="E547" s="330">
        <v>43.75</v>
      </c>
      <c r="F547" s="263">
        <f>$D547/1.219</f>
        <v>35.890073831009019</v>
      </c>
      <c r="G547" s="263">
        <f>IFERROR(ROUNDUP(F547*'Customer Base'!$J$5,2),0)</f>
        <v>574.25</v>
      </c>
      <c r="H547" s="263">
        <f>$E547/1.219</f>
        <v>35.890073831009019</v>
      </c>
      <c r="I547" s="263">
        <f>IFERROR(ROUNDUP(H547*'Customer Base'!$J$5,2),0)</f>
        <v>574.25</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1887</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f ca="1">IF(INVOICE!C13&lt;&gt;"Accra",IF(SUM(A1:A549)&gt;0,1,""),"")</f>
        <v>1</v>
      </c>
      <c r="B550" s="270">
        <v>1</v>
      </c>
      <c r="C550" s="250" t="s">
        <v>1525</v>
      </c>
      <c r="D550" s="333">
        <f>F550*1.219</f>
        <v>282.36611250000004</v>
      </c>
      <c r="E550" s="333">
        <f>H550*1.219</f>
        <v>262.82401875000005</v>
      </c>
      <c r="F550" s="249">
        <f>(IF(ISNA(VLOOKUP(INVOICE!$C$13,Items!$K$6:$L$56,2,0)),0,ROUNDUP(VLOOKUP(INVOICE!$C$13,Items!$K$6:$L$56,2,0),0))+(0.25%*ROUNDUP(SUMPRODUCT($B$242:$B$254,F$242:F$254),-1)*'Customer Base'!J9/10))*(IF('Customer Base'!J9&lt;10,1,'Customer Base'!J9/10))</f>
        <v>231.63750000000002</v>
      </c>
      <c r="G550" s="249">
        <f>IFERROR(ROUNDUP(F550*'Customer Base'!$J$5,0),0)</f>
        <v>3707</v>
      </c>
      <c r="H550" s="249">
        <f>(IF(ISNA(VLOOKUP(INVOICE!$C$13,Items!$K$6:$L$56,2,0)),0,ROUNDUP(VLOOKUP(INVOICE!$C$13,Items!$K$6:$L$56,2,0),0))+(0.25%*ROUNDUP(SUMPRODUCT($B$242:$B$254,H$242:H$254),-1)*'Customer Base'!J9/10))*(IF('Customer Base'!J9&lt;10,1,'Customer Base'!J9/10))</f>
        <v>215.60625000000002</v>
      </c>
      <c r="I550" s="249">
        <f>IFERROR(ROUNDUP(H550*'Customer Base'!$J$5,0),0)</f>
        <v>3450</v>
      </c>
      <c r="J550" s="103" t="str">
        <f t="shared" si="92"/>
        <v/>
      </c>
      <c r="L550" s="103" t="str">
        <f t="shared" si="93"/>
        <v/>
      </c>
      <c r="N550" s="103">
        <v>559</v>
      </c>
      <c r="O550" s="103" t="str">
        <f ca="1">IF('Customer Base'!$I$15="MANUAL",IF(B550&lt;&gt;"",C550,""),IF('Customer Base'!$I$15="AUTOMATE",IF(A550&lt;&gt;"",C550,""),""))</f>
        <v>Transportation Expenses</v>
      </c>
      <c r="AO550" s="103">
        <f ca="1">IF('Customer Base'!$I$15="MANUAL",IFERROR(AM550*B550,""),IF('Customer Base'!$I$15="AUTOMATE",IFERROR(AM550*A550,""),""))</f>
        <v>0</v>
      </c>
      <c r="AV550" s="103">
        <f t="shared" si="97"/>
        <v>0</v>
      </c>
    </row>
    <row r="551" spans="1:48">
      <c r="C551" s="250" t="s">
        <v>1301</v>
      </c>
      <c r="D551" s="333">
        <f>F551*1.219</f>
        <v>188.24407500000004</v>
      </c>
      <c r="E551" s="333">
        <f>H551*1.219</f>
        <v>175.21601250000003</v>
      </c>
      <c r="F551" s="249">
        <f>IF(ISNA(VLOOKUP(INVOICE!$C$13,Items!$K$6:$L$56,2,0)),0,ROUNDUP(VLOOKUP(INVOICE!$C$13,Items!$K$6:$L$56,2,0),0))+0.25%*ROUNDUP(SUMPRODUCT($B$242:$B$254,F$242:F$254),-1)*'Customer Base'!J9/10</f>
        <v>154.42500000000001</v>
      </c>
      <c r="G551" s="249">
        <f>IFERROR(ROUNDUP(F551*'Customer Base'!$J$5,0),0)</f>
        <v>2471</v>
      </c>
      <c r="H551" s="249">
        <f>IF(ISNA(VLOOKUP(INVOICE!$C$13,Items!$K$6:$L$56,2,0)),0,ROUNDUP(VLOOKUP(INVOICE!$C$13,Items!$K$6:$L$56,2,0),0))+0.25%*ROUNDUP(SUMPRODUCT($B$242:$B$254,H$242:H$254),-1)*'Customer Base'!J9/10</f>
        <v>143.73750000000001</v>
      </c>
      <c r="I551" s="249">
        <f>IFERROR(ROUNDUP(H551*'Customer Base'!$J$5,0),0)</f>
        <v>2300</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282.36611250000004</v>
      </c>
      <c r="E553" s="333">
        <f>H553*1.219</f>
        <v>262.82401875000005</v>
      </c>
      <c r="F553" s="268">
        <f>F550+F552</f>
        <v>231.63750000000002</v>
      </c>
      <c r="G553" s="249">
        <f>IFERROR(ROUNDUP(F553*'Customer Base'!$J$5,2),0)</f>
        <v>3706.2</v>
      </c>
      <c r="H553" s="268">
        <f>H550+H552</f>
        <v>215.60625000000002</v>
      </c>
      <c r="I553" s="249">
        <f>IFERROR(ROUNDUP(H553*'Customer Base'!$J$5,2),0)</f>
        <v>3449.7</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1594</v>
      </c>
      <c r="D554" s="321">
        <f>'Customer Base'!J9/35</f>
        <v>0.42857142857142855</v>
      </c>
      <c r="E554" s="321">
        <f>'Customer Base'!J9/35</f>
        <v>0.42857142857142855</v>
      </c>
      <c r="F554" s="249">
        <f t="shared" ref="F554" si="98">$D554/1.219</f>
        <v>0.35157623344661898</v>
      </c>
      <c r="G554" s="249">
        <f>IFERROR(ROUNDUP(F554*'Customer Base'!$J$5,2),0)</f>
        <v>5.63</v>
      </c>
      <c r="H554" s="249">
        <f t="shared" ref="H554" si="99">$E554/1.219</f>
        <v>0.35157623344661898</v>
      </c>
      <c r="I554" s="249">
        <f>IFERROR(ROUNDUP(H554*'Customer Base'!$J$5,2),0)</f>
        <v>5.63</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t="str">
        <f>IF(INVOICE!C13="Accra",IF(SUM(A1:A554)&gt;0,1,""),"")</f>
        <v/>
      </c>
      <c r="B555" s="270" t="s">
        <v>1</v>
      </c>
      <c r="C555" s="250" t="s">
        <v>1070</v>
      </c>
      <c r="D555" s="321" t="str">
        <f>IF(F555="",IF(G555&lt;&gt;"",ROUNDUP(G555*1.219/'Customer Base'!$J$5,1),""),ROUNDUP(F555*1.219,1))</f>
        <v/>
      </c>
      <c r="E555" s="321" t="str">
        <f>IF(H555="",IF(I555&lt;&gt;"",ROUNDUP(I555*1.219/'Customer Base'!$J$5,1),""),ROUNDUP(H555*1.219,1))</f>
        <v/>
      </c>
      <c r="F555" s="249" t="str">
        <f>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t="str">
        <f>IF('Customer Base'!$I$15="MANUAL",IF($B555="","",IF(AND(INVOICE!$K$14="GH₵",'Customer Base'!$I$17="Retail"),ROUNDUP(3.5%*(SUMPRODUCT($B$1:$B$160,G$1:G$160)+SUMPRODUCT($B$242:$B$547,G$242:G$547)+G$550),-1),"")),IF('Customer Base'!$I$15="AUTOMATE",IF($A555="","",IF(AND(INVOICE!$K$14="GH₵",'Customer Base'!$I$17="Retail"),ROUNDUP(3.5%*(SUMPRODUCT($A$1:$A$160,G$1:G$160)+SUMPRODUCT($A$242:$A$547,G$242:G$547)+G$550),-1),"")),""))</f>
        <v/>
      </c>
      <c r="H555" s="249" t="str">
        <f>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si="92"/>
        <v/>
      </c>
      <c r="L555" s="103" t="str">
        <f t="shared" si="93"/>
        <v/>
      </c>
      <c r="N555" s="103">
        <v>564</v>
      </c>
      <c r="O555" s="103" t="str">
        <f>IF('Customer Base'!$I$15="MANUAL",IF(B555&lt;&gt;"",C555,""),IF('Customer Base'!$I$15="AUTOMATE",IF(A555&lt;&gt;"",C555,""),""))</f>
        <v/>
      </c>
      <c r="AO555" s="103" t="str">
        <f>IF('Customer Base'!$I$15="MANUAL",IFERROR(AM555*B555,""),IF('Customer Base'!$I$15="AUTOMATE",IFERROR(AM555*A555,""),""))</f>
        <v/>
      </c>
      <c r="AV555" s="103">
        <f t="shared" si="97"/>
        <v>0</v>
      </c>
    </row>
    <row r="556" spans="1:48">
      <c r="A556" s="103">
        <f ca="1">IF(INVOICE!C13&lt;&gt;"Accra",IF(SUM(A1:A549)&gt;0,1,""),"")</f>
        <v>1</v>
      </c>
      <c r="B556" s="270">
        <v>1</v>
      </c>
      <c r="C556" s="250" t="s">
        <v>1676</v>
      </c>
      <c r="D556" s="321">
        <f ca="1">IF(F556="",IF(G556&lt;&gt;"",ROUNDUP(G556*1.219/'Customer Base'!$J$5,1),""),ROUNDUP(F556*1.219,1))</f>
        <v>366.5</v>
      </c>
      <c r="E556" s="321" t="str">
        <f ca="1">IF(H556="",IF(I556&lt;&gt;"",ROUNDUP(I556*1.219/'Customer Base'!$J$5,1),""),ROUNDUP(H556*1.219,1))</f>
        <v/>
      </c>
      <c r="F556" s="249" t="str">
        <f ca="1">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f ca="1">IFERROR(IF('Customer Base'!$I$15="MANUAL",IF($B556="","",IF(AND(INVOICE!$K$14="GH₵",'Customer Base'!$I$17="Retail"),ROUNDUP(3.5%*(SUMPRODUCT($B$1:$B$160,G$1:G$160)+SUMPRODUCT($B$242:$B$547,G$242:G$547))+G552,-1),"")),IF('Customer Base'!$I$15="AUTOMATE",IF($A556="","",IF(AND(INVOICE!$K$14="GH₵",'Customer Base'!$I$17="Retail"),ROUNDUP(3.5%*(SUMPRODUCT($A$1:$A$160,G$1:G$160)+SUMPRODUCT($A$242:$A$547,G$242:G$547))+G552,-1),"")),"")),"")</f>
        <v>4810</v>
      </c>
      <c r="H556" s="249" t="str">
        <f ca="1">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 ca="1">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ca="1" si="92"/>
        <v>lkdfjk</v>
      </c>
      <c r="L556" s="103" t="str">
        <f t="shared" ca="1" si="93"/>
        <v/>
      </c>
      <c r="N556" s="103">
        <v>565</v>
      </c>
      <c r="O556" s="103" t="str">
        <f ca="1">IF('Customer Base'!$I$15="MANUAL",IF(B556&lt;&gt;"",C556,""),IF('Customer Base'!$I$15="AUTOMATE",IF(A556&lt;&gt;"",C556,""),""))</f>
        <v>Engineering and Installation Works</v>
      </c>
      <c r="AO556" s="103">
        <f ca="1">IF('Customer Base'!$I$15="MANUAL",IFERROR(AM556*B556,""),IF('Customer Base'!$I$15="AUTOMATE",IFERROR(AM556*A556,""),""))</f>
        <v>0</v>
      </c>
      <c r="AV556" s="103">
        <f t="shared" si="97"/>
        <v>0</v>
      </c>
    </row>
    <row r="557" spans="1:48">
      <c r="C557" s="250" t="s">
        <v>1526</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1738</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B560" s="270" t="s">
        <v>1</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2" priority="8" stopIfTrue="1" operator="equal">
      <formula>0</formula>
    </cfRule>
    <cfRule type="cellIs" dxfId="61" priority="12" operator="greaterThan">
      <formula>0</formula>
    </cfRule>
  </conditionalFormatting>
  <conditionalFormatting sqref="G1 N1:O4 Q15:AL20 H561:J1048576">
    <cfRule type="cellIs" dxfId="60" priority="21" operator="equal">
      <formula>0</formula>
    </cfRule>
  </conditionalFormatting>
  <conditionalFormatting sqref="H555:I560">
    <cfRule type="cellIs" dxfId="59" priority="3" operator="equal">
      <formula>0</formula>
    </cfRule>
  </conditionalFormatting>
  <conditionalFormatting sqref="P6:V7 AC6:AL14 N6:N686 Q8:V14 P8:P22 Q15:AK23 P24:AK35 AC26:AL34 P28:P42 Q35:AL43">
    <cfRule type="cellIs" dxfId="58"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57" priority="11" operator="equal">
      <formula>0</formula>
    </cfRule>
  </conditionalFormatting>
  <conditionalFormatting sqref="BA6:BC53">
    <cfRule type="cellIs" dxfId="56"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DP460" activePane="bottomRight" state="frozen"/>
      <selection activeCell="O51" sqref="O51"/>
      <selection pane="topRight" activeCell="O51" sqref="O51"/>
      <selection pane="bottomLeft" activeCell="O51" sqref="O51"/>
      <selection pane="bottomRight" activeCell="EE475" sqref="EE475"/>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2500</v>
      </c>
      <c r="C1" s="207" t="s">
        <v>2501</v>
      </c>
      <c r="D1" s="207" t="s">
        <v>2502</v>
      </c>
      <c r="E1" s="207" t="s">
        <v>2503</v>
      </c>
      <c r="F1" s="205" t="s">
        <v>2504</v>
      </c>
      <c r="G1" s="208" t="s">
        <v>2505</v>
      </c>
      <c r="H1" s="207" t="s">
        <v>2506</v>
      </c>
      <c r="N1" s="209">
        <f>IF('Customer Base'!D7&lt;&gt;"Mini-Grid",SUM(Items!A242:A254),ROUND(SUM(Items!A242:A254)-('Customer Base'!K11*('Customer Base'!F14*'Customer Base'!F15)/('Customer Base'!D26/1000)),0))</f>
        <v>25</v>
      </c>
      <c r="O1" s="209">
        <f>IF(MOD($N$1,ROW())=0,ROW(),"")</f>
        <v>1</v>
      </c>
      <c r="P1" s="209">
        <f>IFERROR(LARGE(O$1:O$200, ROW()), "")</f>
        <v>25</v>
      </c>
      <c r="Q1" s="209" t="str" cm="1">
        <f t="array" ref="Q1">SUBSTITUTE(TRIM(_xlfn.CONCAT(P1:P100 &amp; " ")), " ", ", ")</f>
        <v>25, 5, 1</v>
      </c>
    </row>
    <row r="2" spans="2:21" ht="17">
      <c r="B2" s="206" t="s">
        <v>847</v>
      </c>
      <c r="C2" s="207" t="s">
        <v>2650</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t="str">
        <f t="shared" ref="O2:O65" si="0">IF(MOD($N$1,ROW())=0,ROW(),"")</f>
        <v/>
      </c>
      <c r="P2" s="209">
        <f t="shared" ref="P2:P11" si="1">IFERROR(LARGE(O$1:O$100, ROW()), "")</f>
        <v>5</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t="str">
        <f t="shared" si="0"/>
        <v/>
      </c>
      <c r="P3" s="209">
        <f t="shared" si="1"/>
        <v>1</v>
      </c>
      <c r="U3" s="209">
        <f t="shared" si="2"/>
        <v>3</v>
      </c>
    </row>
    <row r="4" spans="2:21" ht="17">
      <c r="B4" s="206" t="s">
        <v>31</v>
      </c>
      <c r="C4" s="207" t="s">
        <v>32</v>
      </c>
      <c r="D4" s="207" t="s">
        <v>216</v>
      </c>
      <c r="E4" s="210" t="s">
        <v>33</v>
      </c>
      <c r="F4" s="102" t="str">
        <f t="shared" si="3"/>
        <v>DTA</v>
      </c>
      <c r="I4" s="209" t="s">
        <v>851</v>
      </c>
      <c r="J4" s="209">
        <v>5555</v>
      </c>
      <c r="O4" s="209" t="str">
        <f t="shared" si="0"/>
        <v/>
      </c>
      <c r="P4" s="209" t="str">
        <f t="shared" si="1"/>
        <v/>
      </c>
      <c r="U4" s="209">
        <f t="shared" si="2"/>
        <v>4</v>
      </c>
    </row>
    <row r="5" spans="2:21" ht="17">
      <c r="B5" s="206" t="s">
        <v>34</v>
      </c>
      <c r="C5" s="207" t="s">
        <v>35</v>
      </c>
      <c r="D5" s="207" t="s">
        <v>35</v>
      </c>
      <c r="E5" s="210">
        <v>0</v>
      </c>
      <c r="F5" s="102" t="str">
        <f t="shared" si="3"/>
        <v>RS</v>
      </c>
      <c r="I5" s="209" t="s">
        <v>852</v>
      </c>
      <c r="J5" s="209">
        <v>1980</v>
      </c>
      <c r="O5" s="209">
        <f t="shared" si="0"/>
        <v>5</v>
      </c>
      <c r="P5" s="209" t="str">
        <f t="shared" si="1"/>
        <v/>
      </c>
      <c r="U5" s="209">
        <f t="shared" si="2"/>
        <v>5</v>
      </c>
    </row>
    <row r="6" spans="2:21" ht="17">
      <c r="B6" s="206" t="s">
        <v>36</v>
      </c>
      <c r="C6" s="207" t="s">
        <v>37</v>
      </c>
      <c r="D6" s="207" t="s">
        <v>954</v>
      </c>
      <c r="E6" s="210">
        <v>0</v>
      </c>
      <c r="F6" s="102" t="str">
        <f t="shared" si="3"/>
        <v>HF&amp;D</v>
      </c>
      <c r="O6" s="209" t="str">
        <f t="shared" si="0"/>
        <v/>
      </c>
      <c r="P6" s="209" t="str">
        <f t="shared" si="1"/>
        <v/>
      </c>
      <c r="U6" s="209">
        <f t="shared" si="2"/>
        <v>6</v>
      </c>
    </row>
    <row r="7" spans="2:21" ht="17">
      <c r="B7" s="206" t="s">
        <v>845</v>
      </c>
      <c r="C7" s="207" t="s">
        <v>38</v>
      </c>
      <c r="D7" s="207" t="s">
        <v>216</v>
      </c>
      <c r="E7" s="210">
        <v>0</v>
      </c>
      <c r="F7" s="102" t="str">
        <f t="shared" si="3"/>
        <v>CA</v>
      </c>
      <c r="O7" s="209" t="str">
        <f t="shared" si="0"/>
        <v/>
      </c>
      <c r="P7" s="209" t="str">
        <f t="shared" si="1"/>
        <v/>
      </c>
      <c r="U7" s="209">
        <f t="shared" si="2"/>
        <v>7</v>
      </c>
    </row>
    <row r="8" spans="2:21" ht="17">
      <c r="B8" s="206" t="s">
        <v>39</v>
      </c>
      <c r="C8" s="207" t="s">
        <v>40</v>
      </c>
      <c r="D8" s="207" t="s">
        <v>35</v>
      </c>
      <c r="E8" s="210" t="s">
        <v>731</v>
      </c>
      <c r="F8" s="102" t="str">
        <f t="shared" si="3"/>
        <v>ME-I</v>
      </c>
      <c r="O8" s="209" t="str">
        <f t="shared" si="0"/>
        <v/>
      </c>
      <c r="P8" s="209" t="str">
        <f t="shared" si="1"/>
        <v/>
      </c>
      <c r="U8" s="209">
        <f t="shared" si="2"/>
        <v>8</v>
      </c>
    </row>
    <row r="9" spans="2:21" ht="17">
      <c r="B9" s="206" t="s">
        <v>41</v>
      </c>
      <c r="C9" s="207" t="s">
        <v>42</v>
      </c>
      <c r="D9" s="207" t="s">
        <v>956</v>
      </c>
      <c r="E9" s="210">
        <v>0</v>
      </c>
      <c r="F9" s="102" t="str">
        <f t="shared" si="3"/>
        <v>AI</v>
      </c>
      <c r="O9" s="209" t="str">
        <f t="shared" si="0"/>
        <v/>
      </c>
      <c r="P9" s="209" t="str">
        <f t="shared" si="1"/>
        <v/>
      </c>
      <c r="U9" s="209">
        <f t="shared" si="2"/>
        <v>9</v>
      </c>
    </row>
    <row r="10" spans="2:21" ht="17">
      <c r="B10" s="206" t="s">
        <v>43</v>
      </c>
      <c r="C10" s="207" t="s">
        <v>44</v>
      </c>
      <c r="D10" s="207" t="s">
        <v>35</v>
      </c>
      <c r="E10" s="210" t="s">
        <v>45</v>
      </c>
      <c r="F10" s="102" t="str">
        <f t="shared" si="3"/>
        <v>MKN</v>
      </c>
      <c r="O10" s="209" t="str">
        <f t="shared" si="0"/>
        <v/>
      </c>
      <c r="P10" s="209" t="str">
        <f t="shared" si="1"/>
        <v/>
      </c>
      <c r="U10" s="209">
        <f t="shared" si="2"/>
        <v>10</v>
      </c>
    </row>
    <row r="11" spans="2:21" ht="17">
      <c r="B11" s="206" t="s">
        <v>47</v>
      </c>
      <c r="C11" s="207" t="s">
        <v>38</v>
      </c>
      <c r="D11" s="207" t="s">
        <v>216</v>
      </c>
      <c r="E11" s="210" t="s">
        <v>1543</v>
      </c>
      <c r="F11" s="102" t="str">
        <f t="shared" si="3"/>
        <v>IC</v>
      </c>
      <c r="G11" s="208" t="s">
        <v>1542</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t="str">
        <f t="shared" si="0"/>
        <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f t="shared" si="0"/>
        <v>25</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1616</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t="str">
        <f t="shared" si="0"/>
        <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29" si="6">IF(MOD($N$1,ROW())=0,ROW(),"")</f>
        <v/>
      </c>
      <c r="P66" s="209" t="str">
        <f t="shared" si="5"/>
        <v/>
      </c>
      <c r="U66" s="209">
        <f t="shared" ref="U66:U129"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1770</v>
      </c>
      <c r="O100" s="209" t="str">
        <f t="shared" si="6"/>
        <v/>
      </c>
      <c r="P100" s="209" t="str">
        <f t="shared" si="9"/>
        <v/>
      </c>
      <c r="U100" s="209">
        <f t="shared" si="7"/>
        <v>100</v>
      </c>
    </row>
    <row r="101" spans="2:21" ht="17">
      <c r="B101" s="206" t="s">
        <v>252</v>
      </c>
      <c r="C101" s="207" t="s">
        <v>35</v>
      </c>
      <c r="D101" s="207" t="s">
        <v>35</v>
      </c>
      <c r="E101" s="210" t="s">
        <v>253</v>
      </c>
      <c r="F101" s="102" t="str">
        <f t="shared" si="8"/>
        <v>NGF2</v>
      </c>
      <c r="O101" s="209" t="str">
        <f t="shared" si="6"/>
        <v/>
      </c>
      <c r="P101" s="209" t="str">
        <f t="shared" ref="P101:P164" si="10">IFERROR(LARGE(O$1:O$100, ROW()), "")</f>
        <v/>
      </c>
      <c r="U101" s="209">
        <f t="shared" si="7"/>
        <v>101</v>
      </c>
    </row>
    <row r="102" spans="2:21" ht="17">
      <c r="B102" s="206" t="s">
        <v>767</v>
      </c>
      <c r="C102" s="207" t="s">
        <v>35</v>
      </c>
      <c r="D102" s="207" t="s">
        <v>35</v>
      </c>
      <c r="E102" s="210" t="s">
        <v>253</v>
      </c>
      <c r="F102" s="102" t="str">
        <f t="shared" si="8"/>
        <v>NGF4</v>
      </c>
      <c r="O102" s="209" t="str">
        <f t="shared" si="6"/>
        <v/>
      </c>
      <c r="P102" s="209" t="str">
        <f t="shared" si="10"/>
        <v/>
      </c>
      <c r="U102" s="209">
        <f t="shared" si="7"/>
        <v>102</v>
      </c>
    </row>
    <row r="103" spans="2:21" ht="17">
      <c r="B103" s="206" t="s">
        <v>254</v>
      </c>
      <c r="C103" s="207" t="s">
        <v>35</v>
      </c>
      <c r="D103" s="207" t="s">
        <v>35</v>
      </c>
      <c r="E103" s="210" t="s">
        <v>253</v>
      </c>
      <c r="F103" s="102" t="str">
        <f t="shared" si="8"/>
        <v>NG2(</v>
      </c>
      <c r="O103" s="209" t="str">
        <f t="shared" si="6"/>
        <v/>
      </c>
      <c r="P103" s="209" t="str">
        <f t="shared" si="10"/>
        <v/>
      </c>
      <c r="U103" s="209">
        <f t="shared" si="7"/>
        <v>103</v>
      </c>
    </row>
    <row r="104" spans="2:21" ht="17">
      <c r="B104" s="206" t="s">
        <v>255</v>
      </c>
      <c r="C104" s="207" t="s">
        <v>35</v>
      </c>
      <c r="D104" s="207" t="s">
        <v>35</v>
      </c>
      <c r="E104" s="210" t="s">
        <v>256</v>
      </c>
      <c r="F104" s="102" t="str">
        <f t="shared" si="8"/>
        <v>NG2(</v>
      </c>
      <c r="O104" s="209" t="str">
        <f t="shared" si="6"/>
        <v/>
      </c>
      <c r="P104" s="209" t="str">
        <f t="shared" si="10"/>
        <v/>
      </c>
      <c r="U104" s="209">
        <f t="shared" si="7"/>
        <v>104</v>
      </c>
    </row>
    <row r="105" spans="2:21" ht="17">
      <c r="B105" s="206" t="s">
        <v>841</v>
      </c>
      <c r="C105" s="207" t="s">
        <v>35</v>
      </c>
      <c r="D105" s="207" t="s">
        <v>35</v>
      </c>
      <c r="E105" s="210"/>
      <c r="F105" s="102" t="str">
        <f t="shared" si="8"/>
        <v>NG/E</v>
      </c>
      <c r="O105" s="209" t="str">
        <f t="shared" si="6"/>
        <v/>
      </c>
      <c r="P105" s="209" t="str">
        <f t="shared" si="10"/>
        <v/>
      </c>
      <c r="U105" s="209">
        <f t="shared" si="7"/>
        <v>105</v>
      </c>
    </row>
    <row r="106" spans="2:21" ht="17">
      <c r="B106" s="206" t="s">
        <v>257</v>
      </c>
      <c r="C106" s="207" t="s">
        <v>35</v>
      </c>
      <c r="D106" s="207" t="s">
        <v>35</v>
      </c>
      <c r="E106" s="210" t="s">
        <v>256</v>
      </c>
      <c r="F106" s="102" t="str">
        <f t="shared" si="8"/>
        <v>NG4(</v>
      </c>
      <c r="O106" s="209" t="str">
        <f t="shared" si="6"/>
        <v/>
      </c>
      <c r="P106" s="209" t="str">
        <f t="shared" si="10"/>
        <v/>
      </c>
      <c r="U106" s="209">
        <f t="shared" si="7"/>
        <v>106</v>
      </c>
    </row>
    <row r="107" spans="2:21" ht="17">
      <c r="B107" s="206" t="s">
        <v>258</v>
      </c>
      <c r="C107" s="207" t="s">
        <v>35</v>
      </c>
      <c r="D107" s="207" t="s">
        <v>35</v>
      </c>
      <c r="E107" s="210" t="s">
        <v>256</v>
      </c>
      <c r="F107" s="102" t="str">
        <f t="shared" si="8"/>
        <v>NG4(</v>
      </c>
      <c r="O107" s="209" t="str">
        <f t="shared" si="6"/>
        <v/>
      </c>
      <c r="P107" s="209" t="str">
        <f t="shared" si="10"/>
        <v/>
      </c>
      <c r="U107" s="209">
        <f t="shared" si="7"/>
        <v>107</v>
      </c>
    </row>
    <row r="108" spans="2:21" ht="17">
      <c r="B108" s="206" t="s">
        <v>1865</v>
      </c>
      <c r="C108" s="207" t="s">
        <v>35</v>
      </c>
      <c r="D108" s="207" t="s">
        <v>35</v>
      </c>
      <c r="E108" s="210" t="s">
        <v>260</v>
      </c>
      <c r="F108" s="102" t="str">
        <f t="shared" si="8"/>
        <v>NG4L</v>
      </c>
      <c r="O108" s="209" t="str">
        <f t="shared" si="6"/>
        <v/>
      </c>
      <c r="P108" s="209" t="str">
        <f t="shared" si="10"/>
        <v/>
      </c>
      <c r="U108" s="209">
        <f t="shared" si="7"/>
        <v>108</v>
      </c>
    </row>
    <row r="109" spans="2:21" ht="17">
      <c r="B109" s="206" t="s">
        <v>259</v>
      </c>
      <c r="C109" s="207" t="s">
        <v>72</v>
      </c>
      <c r="D109" s="207" t="s">
        <v>216</v>
      </c>
      <c r="E109" s="210" t="s">
        <v>260</v>
      </c>
      <c r="F109" s="102" t="str">
        <f t="shared" si="8"/>
        <v>NGLH</v>
      </c>
      <c r="O109" s="209" t="str">
        <f t="shared" si="6"/>
        <v/>
      </c>
      <c r="P109" s="209" t="str">
        <f t="shared" si="10"/>
        <v/>
      </c>
      <c r="U109" s="209">
        <f t="shared" si="7"/>
        <v>109</v>
      </c>
    </row>
    <row r="110" spans="2:21" ht="17">
      <c r="B110" s="206" t="s">
        <v>261</v>
      </c>
      <c r="C110" s="207" t="s">
        <v>72</v>
      </c>
      <c r="D110" s="207" t="s">
        <v>216</v>
      </c>
      <c r="E110" s="210" t="s">
        <v>260</v>
      </c>
      <c r="F110" s="102" t="str">
        <f t="shared" si="8"/>
        <v>NGLH</v>
      </c>
      <c r="O110" s="209" t="str">
        <f t="shared" si="6"/>
        <v/>
      </c>
      <c r="P110" s="209" t="str">
        <f t="shared" si="10"/>
        <v/>
      </c>
      <c r="U110" s="209">
        <f t="shared" si="7"/>
        <v>110</v>
      </c>
    </row>
    <row r="111" spans="2:21" ht="34">
      <c r="B111" s="206" t="s">
        <v>262</v>
      </c>
      <c r="C111" s="207" t="s">
        <v>72</v>
      </c>
      <c r="D111" s="207" t="s">
        <v>216</v>
      </c>
      <c r="E111" s="210" t="s">
        <v>260</v>
      </c>
      <c r="F111" s="102" t="str">
        <f t="shared" si="8"/>
        <v>NGLH</v>
      </c>
      <c r="O111" s="209" t="str">
        <f t="shared" si="6"/>
        <v/>
      </c>
      <c r="P111" s="209" t="str">
        <f t="shared" si="10"/>
        <v/>
      </c>
      <c r="U111" s="209">
        <f t="shared" si="7"/>
        <v>111</v>
      </c>
    </row>
    <row r="112" spans="2:21" ht="17">
      <c r="B112" s="206" t="s">
        <v>263</v>
      </c>
      <c r="C112" s="207" t="s">
        <v>207</v>
      </c>
      <c r="D112" s="207" t="s">
        <v>216</v>
      </c>
      <c r="E112" s="210" t="s">
        <v>264</v>
      </c>
      <c r="F112" s="102" t="str">
        <f t="shared" si="8"/>
        <v>DBST</v>
      </c>
      <c r="O112" s="209" t="str">
        <f t="shared" si="6"/>
        <v/>
      </c>
      <c r="P112" s="209" t="str">
        <f t="shared" si="10"/>
        <v/>
      </c>
      <c r="U112" s="209">
        <f t="shared" si="7"/>
        <v>112</v>
      </c>
    </row>
    <row r="113" spans="2:21" ht="17">
      <c r="B113" s="206" t="s">
        <v>265</v>
      </c>
      <c r="C113" s="207" t="s">
        <v>114</v>
      </c>
      <c r="D113" s="207" t="s">
        <v>35</v>
      </c>
      <c r="E113" s="210" t="s">
        <v>266</v>
      </c>
      <c r="F113" s="102" t="str">
        <f t="shared" si="8"/>
        <v>LTA</v>
      </c>
      <c r="O113" s="209" t="str">
        <f t="shared" si="6"/>
        <v/>
      </c>
      <c r="P113" s="209" t="str">
        <f t="shared" si="10"/>
        <v/>
      </c>
      <c r="U113" s="209">
        <f t="shared" si="7"/>
        <v>113</v>
      </c>
    </row>
    <row r="114" spans="2:21" ht="17">
      <c r="B114" s="206" t="s">
        <v>267</v>
      </c>
      <c r="C114" s="207" t="s">
        <v>268</v>
      </c>
      <c r="D114" s="207" t="s">
        <v>216</v>
      </c>
      <c r="E114" s="210" t="s">
        <v>269</v>
      </c>
      <c r="F114" s="102" t="str">
        <f t="shared" si="8"/>
        <v>EY</v>
      </c>
      <c r="O114" s="209" t="str">
        <f t="shared" si="6"/>
        <v/>
      </c>
      <c r="P114" s="209" t="str">
        <f t="shared" si="10"/>
        <v/>
      </c>
      <c r="U114" s="209">
        <f t="shared" si="7"/>
        <v>114</v>
      </c>
    </row>
    <row r="115" spans="2:21" ht="17">
      <c r="B115" s="206" t="s">
        <v>2405</v>
      </c>
      <c r="C115" s="207" t="s">
        <v>1872</v>
      </c>
      <c r="D115" s="207" t="s">
        <v>35</v>
      </c>
      <c r="E115" s="210" t="s">
        <v>2352</v>
      </c>
      <c r="F115" s="102" t="str">
        <f t="shared" si="8"/>
        <v>EY-A</v>
      </c>
      <c r="O115" s="209" t="str">
        <f t="shared" si="6"/>
        <v/>
      </c>
      <c r="P115" s="209" t="str">
        <f t="shared" si="10"/>
        <v/>
      </c>
      <c r="U115" s="209">
        <f t="shared" si="7"/>
        <v>115</v>
      </c>
    </row>
    <row r="116" spans="2:21" ht="17">
      <c r="B116" s="206" t="s">
        <v>270</v>
      </c>
      <c r="C116" s="207" t="s">
        <v>271</v>
      </c>
      <c r="D116" s="207" t="s">
        <v>216</v>
      </c>
      <c r="E116" s="210" t="s">
        <v>272</v>
      </c>
      <c r="F116" s="102" t="str">
        <f t="shared" si="8"/>
        <v>DT</v>
      </c>
      <c r="O116" s="209" t="str">
        <f t="shared" si="6"/>
        <v/>
      </c>
      <c r="P116" s="209" t="str">
        <f t="shared" si="10"/>
        <v/>
      </c>
      <c r="U116" s="209">
        <f t="shared" si="7"/>
        <v>116</v>
      </c>
    </row>
    <row r="117" spans="2:21" ht="17">
      <c r="B117" s="206" t="s">
        <v>273</v>
      </c>
      <c r="C117" s="207" t="s">
        <v>274</v>
      </c>
      <c r="D117" s="207" t="s">
        <v>216</v>
      </c>
      <c r="E117" s="210" t="s">
        <v>275</v>
      </c>
      <c r="F117" s="102" t="str">
        <f t="shared" si="8"/>
        <v>NA</v>
      </c>
      <c r="O117" s="209" t="str">
        <f t="shared" si="6"/>
        <v/>
      </c>
      <c r="P117" s="209" t="str">
        <f t="shared" si="10"/>
        <v/>
      </c>
      <c r="U117" s="209">
        <f t="shared" si="7"/>
        <v>117</v>
      </c>
    </row>
    <row r="118" spans="2:21" ht="17">
      <c r="B118" s="206" t="s">
        <v>276</v>
      </c>
      <c r="C118" s="207" t="s">
        <v>277</v>
      </c>
      <c r="D118" s="207" t="s">
        <v>216</v>
      </c>
      <c r="E118" s="210" t="s">
        <v>278</v>
      </c>
      <c r="F118" s="102" t="str">
        <f t="shared" si="8"/>
        <v>AB</v>
      </c>
      <c r="O118" s="209" t="str">
        <f t="shared" si="6"/>
        <v/>
      </c>
      <c r="P118" s="209" t="str">
        <f t="shared" si="10"/>
        <v/>
      </c>
      <c r="U118" s="209">
        <f t="shared" si="7"/>
        <v>118</v>
      </c>
    </row>
    <row r="119" spans="2:21" ht="17">
      <c r="B119" s="206" t="s">
        <v>279</v>
      </c>
      <c r="C119" s="207" t="s">
        <v>280</v>
      </c>
      <c r="D119" s="207" t="s">
        <v>216</v>
      </c>
      <c r="E119" s="210" t="s">
        <v>281</v>
      </c>
      <c r="F119" s="102" t="str">
        <f t="shared" si="8"/>
        <v>AB</v>
      </c>
      <c r="O119" s="209" t="str">
        <f t="shared" si="6"/>
        <v/>
      </c>
      <c r="P119" s="209" t="str">
        <f t="shared" si="10"/>
        <v/>
      </c>
      <c r="U119" s="209">
        <f t="shared" si="7"/>
        <v>119</v>
      </c>
    </row>
    <row r="120" spans="2:21" ht="17">
      <c r="B120" s="206" t="s">
        <v>282</v>
      </c>
      <c r="C120" s="207" t="s">
        <v>283</v>
      </c>
      <c r="D120" s="207" t="s">
        <v>216</v>
      </c>
      <c r="E120" s="210" t="s">
        <v>284</v>
      </c>
      <c r="F120" s="102" t="str">
        <f t="shared" si="8"/>
        <v>Z</v>
      </c>
      <c r="O120" s="209" t="str">
        <f t="shared" si="6"/>
        <v/>
      </c>
      <c r="P120" s="209" t="str">
        <f t="shared" si="10"/>
        <v/>
      </c>
      <c r="U120" s="209">
        <f t="shared" si="7"/>
        <v>120</v>
      </c>
    </row>
    <row r="121" spans="2:21" ht="17">
      <c r="B121" s="206" t="s">
        <v>285</v>
      </c>
      <c r="C121" s="207" t="s">
        <v>202</v>
      </c>
      <c r="D121" s="207" t="s">
        <v>216</v>
      </c>
      <c r="E121" s="210" t="s">
        <v>286</v>
      </c>
      <c r="F121" s="102" t="str">
        <f t="shared" si="8"/>
        <v>LML</v>
      </c>
      <c r="O121" s="209" t="str">
        <f t="shared" si="6"/>
        <v/>
      </c>
      <c r="P121" s="209" t="str">
        <f t="shared" si="10"/>
        <v/>
      </c>
      <c r="U121" s="209">
        <f t="shared" si="7"/>
        <v>121</v>
      </c>
    </row>
    <row r="122" spans="2:21" ht="17">
      <c r="B122" s="206" t="s">
        <v>287</v>
      </c>
      <c r="C122" s="207" t="s">
        <v>241</v>
      </c>
      <c r="D122" s="207" t="s">
        <v>216</v>
      </c>
      <c r="E122" s="210" t="s">
        <v>288</v>
      </c>
      <c r="F122" s="102" t="str">
        <f t="shared" si="8"/>
        <v>KD</v>
      </c>
      <c r="O122" s="209" t="str">
        <f t="shared" si="6"/>
        <v/>
      </c>
      <c r="P122" s="209" t="str">
        <f t="shared" si="10"/>
        <v/>
      </c>
      <c r="U122" s="209">
        <f t="shared" si="7"/>
        <v>122</v>
      </c>
    </row>
    <row r="123" spans="2:21" ht="17">
      <c r="B123" s="206" t="s">
        <v>289</v>
      </c>
      <c r="C123" s="207" t="s">
        <v>271</v>
      </c>
      <c r="D123" s="207" t="s">
        <v>216</v>
      </c>
      <c r="E123" s="210" t="s">
        <v>290</v>
      </c>
      <c r="F123" s="102" t="str">
        <f t="shared" si="8"/>
        <v>MR</v>
      </c>
      <c r="O123" s="209" t="str">
        <f t="shared" si="6"/>
        <v/>
      </c>
      <c r="P123" s="209" t="str">
        <f t="shared" si="10"/>
        <v/>
      </c>
      <c r="U123" s="209">
        <f t="shared" si="7"/>
        <v>123</v>
      </c>
    </row>
    <row r="124" spans="2:21" ht="17">
      <c r="B124" s="206" t="s">
        <v>291</v>
      </c>
      <c r="C124" s="207" t="s">
        <v>292</v>
      </c>
      <c r="D124" s="207" t="s">
        <v>216</v>
      </c>
      <c r="E124" s="210" t="s">
        <v>293</v>
      </c>
      <c r="F124" s="102" t="str">
        <f t="shared" si="8"/>
        <v>AT</v>
      </c>
      <c r="O124" s="209" t="str">
        <f t="shared" si="6"/>
        <v/>
      </c>
      <c r="P124" s="209" t="str">
        <f t="shared" si="10"/>
        <v/>
      </c>
      <c r="U124" s="209">
        <f t="shared" si="7"/>
        <v>124</v>
      </c>
    </row>
    <row r="125" spans="2:21" ht="17">
      <c r="B125" s="206" t="s">
        <v>294</v>
      </c>
      <c r="C125" s="207" t="s">
        <v>295</v>
      </c>
      <c r="D125" s="207" t="s">
        <v>295</v>
      </c>
      <c r="E125" s="210">
        <v>0</v>
      </c>
      <c r="F125" s="102" t="str">
        <f t="shared" si="8"/>
        <v>ET</v>
      </c>
      <c r="O125" s="209" t="str">
        <f t="shared" si="6"/>
        <v/>
      </c>
      <c r="P125" s="209" t="str">
        <f t="shared" si="10"/>
        <v/>
      </c>
      <c r="U125" s="209">
        <f t="shared" si="7"/>
        <v>125</v>
      </c>
    </row>
    <row r="126" spans="2:21" ht="17">
      <c r="B126" s="206" t="s">
        <v>296</v>
      </c>
      <c r="C126" s="207" t="s">
        <v>297</v>
      </c>
      <c r="D126" s="207" t="s">
        <v>216</v>
      </c>
      <c r="E126" s="210" t="s">
        <v>298</v>
      </c>
      <c r="F126" s="102" t="str">
        <f t="shared" si="8"/>
        <v>FA</v>
      </c>
      <c r="O126" s="209" t="str">
        <f t="shared" si="6"/>
        <v/>
      </c>
      <c r="P126" s="209" t="str">
        <f t="shared" si="10"/>
        <v/>
      </c>
      <c r="U126" s="209">
        <f t="shared" si="7"/>
        <v>126</v>
      </c>
    </row>
    <row r="127" spans="2:21" ht="34">
      <c r="B127" s="206" t="s">
        <v>299</v>
      </c>
      <c r="C127" s="207" t="s">
        <v>300</v>
      </c>
      <c r="D127" s="207" t="s">
        <v>216</v>
      </c>
      <c r="E127" s="210" t="s">
        <v>1508</v>
      </c>
      <c r="F127" s="102" t="str">
        <f t="shared" si="8"/>
        <v>KA</v>
      </c>
      <c r="O127" s="209" t="str">
        <f t="shared" si="6"/>
        <v/>
      </c>
      <c r="P127" s="209" t="str">
        <f t="shared" si="10"/>
        <v/>
      </c>
      <c r="U127" s="209">
        <f t="shared" si="7"/>
        <v>127</v>
      </c>
    </row>
    <row r="128" spans="2:21" ht="17">
      <c r="B128" s="206" t="s">
        <v>301</v>
      </c>
      <c r="C128" s="207" t="s">
        <v>62</v>
      </c>
      <c r="D128" s="207" t="s">
        <v>216</v>
      </c>
      <c r="E128" s="210" t="s">
        <v>302</v>
      </c>
      <c r="F128" s="102" t="str">
        <f t="shared" si="8"/>
        <v>MFE</v>
      </c>
      <c r="O128" s="209" t="str">
        <f t="shared" si="6"/>
        <v/>
      </c>
      <c r="P128" s="209" t="str">
        <f t="shared" si="10"/>
        <v/>
      </c>
      <c r="U128" s="209">
        <f t="shared" si="7"/>
        <v>128</v>
      </c>
    </row>
    <row r="129" spans="2:21" ht="17">
      <c r="B129" s="206" t="s">
        <v>303</v>
      </c>
      <c r="C129" s="207" t="s">
        <v>72</v>
      </c>
      <c r="D129" s="207" t="s">
        <v>216</v>
      </c>
      <c r="E129" s="210">
        <v>0</v>
      </c>
      <c r="F129" s="102" t="str">
        <f t="shared" si="8"/>
        <v>DSAL</v>
      </c>
      <c r="O129" s="209" t="str">
        <f t="shared" si="6"/>
        <v/>
      </c>
      <c r="P129" s="209" t="str">
        <f t="shared" si="10"/>
        <v/>
      </c>
      <c r="U129" s="209">
        <f t="shared" si="7"/>
        <v>129</v>
      </c>
    </row>
    <row r="130" spans="2:21" ht="17">
      <c r="B130" s="206" t="s">
        <v>304</v>
      </c>
      <c r="C130" s="207" t="s">
        <v>305</v>
      </c>
      <c r="D130" s="207" t="s">
        <v>305</v>
      </c>
      <c r="E130" s="210" t="s">
        <v>306</v>
      </c>
      <c r="F130" s="102" t="str">
        <f t="shared" si="8"/>
        <v>PA</v>
      </c>
      <c r="O130" s="209" t="str">
        <f t="shared" ref="O130:O193" si="11">IF(MOD($N$1,ROW())=0,ROW(),"")</f>
        <v/>
      </c>
      <c r="P130" s="209" t="str">
        <f t="shared" si="10"/>
        <v/>
      </c>
      <c r="U130" s="209">
        <f t="shared" ref="U130:U193" si="12">IF(MOD($T$500,ROW())=0,ROW(),"")</f>
        <v>130</v>
      </c>
    </row>
    <row r="131" spans="2:21" ht="17">
      <c r="B131" s="206" t="s">
        <v>307</v>
      </c>
      <c r="C131" s="207" t="s">
        <v>308</v>
      </c>
      <c r="D131" s="207" t="s">
        <v>35</v>
      </c>
      <c r="E131" s="210" t="s">
        <v>309</v>
      </c>
      <c r="F131" s="102" t="str">
        <f t="shared" ref="F131:F194" si="13">UPPER(LEFT(B131,1)) &amp; IFERROR(UPPER(LEFT(MID(B131,FIND(" ",B131)+1,LEN(B131)),1)),"") &amp; IFERROR(UPPER(LEFT(MID(B131,FIND(" ",B131,FIND(" ",B131)+1)+1,LEN(B131)),1)),"") &amp; IFERROR(UPPER(LEFT(MID(B131,FIND(" ",B131,FIND(" ",B131,FIND(" ",B131)+1)+1)+1,LEN(B131)),1)),"")</f>
        <v>DVES</v>
      </c>
      <c r="O131" s="209" t="str">
        <f t="shared" si="11"/>
        <v/>
      </c>
      <c r="P131" s="209" t="str">
        <f t="shared" si="10"/>
        <v/>
      </c>
      <c r="U131" s="209">
        <f t="shared" si="12"/>
        <v>131</v>
      </c>
    </row>
    <row r="132" spans="2:21" ht="17">
      <c r="B132" s="206" t="s">
        <v>310</v>
      </c>
      <c r="C132" s="207" t="s">
        <v>32</v>
      </c>
      <c r="D132" s="207" t="s">
        <v>216</v>
      </c>
      <c r="E132" s="210" t="s">
        <v>311</v>
      </c>
      <c r="F132" s="102" t="str">
        <f t="shared" si="13"/>
        <v>MAT</v>
      </c>
      <c r="O132" s="209" t="str">
        <f t="shared" si="11"/>
        <v/>
      </c>
      <c r="P132" s="209" t="str">
        <f t="shared" si="10"/>
        <v/>
      </c>
      <c r="U132" s="209">
        <f t="shared" si="12"/>
        <v>132</v>
      </c>
    </row>
    <row r="133" spans="2:21" ht="17">
      <c r="B133" s="206" t="s">
        <v>312</v>
      </c>
      <c r="C133" s="207" t="s">
        <v>313</v>
      </c>
      <c r="D133" s="207" t="s">
        <v>216</v>
      </c>
      <c r="E133" s="210" t="s">
        <v>314</v>
      </c>
      <c r="F133" s="102" t="str">
        <f t="shared" si="13"/>
        <v>SAF</v>
      </c>
      <c r="O133" s="209" t="str">
        <f t="shared" si="11"/>
        <v/>
      </c>
      <c r="P133" s="209" t="str">
        <f t="shared" si="10"/>
        <v/>
      </c>
      <c r="U133" s="209">
        <f t="shared" si="12"/>
        <v>133</v>
      </c>
    </row>
    <row r="134" spans="2:21" ht="17">
      <c r="B134" s="206" t="s">
        <v>315</v>
      </c>
      <c r="C134" s="207" t="s">
        <v>316</v>
      </c>
      <c r="D134" s="207" t="s">
        <v>216</v>
      </c>
      <c r="E134" s="210" t="s">
        <v>65</v>
      </c>
      <c r="F134" s="102" t="str">
        <f t="shared" si="13"/>
        <v>KH</v>
      </c>
      <c r="O134" s="209" t="str">
        <f t="shared" si="11"/>
        <v/>
      </c>
      <c r="P134" s="209" t="str">
        <f t="shared" si="10"/>
        <v/>
      </c>
      <c r="U134" s="209">
        <f t="shared" si="12"/>
        <v>134</v>
      </c>
    </row>
    <row r="135" spans="2:21" ht="17">
      <c r="B135" s="206" t="s">
        <v>317</v>
      </c>
      <c r="C135" s="207" t="s">
        <v>80</v>
      </c>
      <c r="D135" s="207" t="s">
        <v>216</v>
      </c>
      <c r="E135" s="210" t="s">
        <v>81</v>
      </c>
      <c r="F135" s="102" t="str">
        <f t="shared" si="13"/>
        <v>TS</v>
      </c>
      <c r="O135" s="209" t="str">
        <f t="shared" si="11"/>
        <v/>
      </c>
      <c r="P135" s="209" t="str">
        <f t="shared" si="10"/>
        <v/>
      </c>
      <c r="U135" s="209">
        <f t="shared" si="12"/>
        <v>135</v>
      </c>
    </row>
    <row r="136" spans="2:21" ht="17">
      <c r="B136" s="206" t="s">
        <v>318</v>
      </c>
      <c r="C136" s="207" t="s">
        <v>300</v>
      </c>
      <c r="D136" s="207" t="s">
        <v>216</v>
      </c>
      <c r="E136" s="210" t="s">
        <v>319</v>
      </c>
      <c r="F136" s="102" t="str">
        <f t="shared" si="13"/>
        <v>AKA</v>
      </c>
      <c r="O136" s="209" t="str">
        <f t="shared" si="11"/>
        <v/>
      </c>
      <c r="P136" s="209" t="str">
        <f t="shared" si="10"/>
        <v/>
      </c>
      <c r="U136" s="209">
        <f t="shared" si="12"/>
        <v>136</v>
      </c>
    </row>
    <row r="137" spans="2:21" ht="17">
      <c r="B137" s="206" t="s">
        <v>320</v>
      </c>
      <c r="C137" s="207" t="s">
        <v>321</v>
      </c>
      <c r="D137" s="207" t="s">
        <v>216</v>
      </c>
      <c r="E137" s="210" t="s">
        <v>322</v>
      </c>
      <c r="F137" s="102" t="str">
        <f t="shared" si="13"/>
        <v>S</v>
      </c>
      <c r="O137" s="209" t="str">
        <f t="shared" si="11"/>
        <v/>
      </c>
      <c r="P137" s="209" t="str">
        <f t="shared" si="10"/>
        <v/>
      </c>
      <c r="U137" s="209">
        <f t="shared" si="12"/>
        <v>137</v>
      </c>
    </row>
    <row r="138" spans="2:21" ht="17">
      <c r="B138" s="206" t="s">
        <v>323</v>
      </c>
      <c r="C138" s="207" t="s">
        <v>324</v>
      </c>
      <c r="D138" s="207" t="s">
        <v>216</v>
      </c>
      <c r="E138" s="210" t="s">
        <v>325</v>
      </c>
      <c r="F138" s="102" t="str">
        <f t="shared" si="13"/>
        <v>YF</v>
      </c>
      <c r="O138" s="209" t="str">
        <f t="shared" si="11"/>
        <v/>
      </c>
      <c r="P138" s="209" t="str">
        <f t="shared" si="10"/>
        <v/>
      </c>
      <c r="U138" s="209">
        <f t="shared" si="12"/>
        <v>138</v>
      </c>
    </row>
    <row r="139" spans="2:21" ht="17">
      <c r="B139" s="206" t="s">
        <v>326</v>
      </c>
      <c r="C139" s="207" t="s">
        <v>327</v>
      </c>
      <c r="D139" s="207" t="s">
        <v>216</v>
      </c>
      <c r="E139" s="210" t="s">
        <v>328</v>
      </c>
      <c r="F139" s="102" t="str">
        <f t="shared" si="13"/>
        <v>SA</v>
      </c>
      <c r="O139" s="209" t="str">
        <f t="shared" si="11"/>
        <v/>
      </c>
      <c r="P139" s="209" t="str">
        <f t="shared" si="10"/>
        <v/>
      </c>
      <c r="U139" s="209">
        <f t="shared" si="12"/>
        <v>139</v>
      </c>
    </row>
    <row r="140" spans="2:21" ht="17">
      <c r="B140" s="206" t="s">
        <v>329</v>
      </c>
      <c r="C140" s="207" t="s">
        <v>330</v>
      </c>
      <c r="D140" s="207" t="s">
        <v>35</v>
      </c>
      <c r="E140" s="210"/>
      <c r="F140" s="102" t="str">
        <f t="shared" si="13"/>
        <v>ETC1</v>
      </c>
      <c r="O140" s="209" t="str">
        <f t="shared" si="11"/>
        <v/>
      </c>
      <c r="P140" s="209" t="str">
        <f t="shared" si="10"/>
        <v/>
      </c>
      <c r="U140" s="209">
        <f t="shared" si="12"/>
        <v>140</v>
      </c>
    </row>
    <row r="141" spans="2:21" ht="17">
      <c r="B141" s="206" t="s">
        <v>331</v>
      </c>
      <c r="C141" s="207" t="s">
        <v>332</v>
      </c>
      <c r="D141" s="207" t="s">
        <v>216</v>
      </c>
      <c r="E141" s="210" t="s">
        <v>333</v>
      </c>
      <c r="F141" s="102" t="str">
        <f t="shared" si="13"/>
        <v>D</v>
      </c>
      <c r="O141" s="209" t="str">
        <f t="shared" si="11"/>
        <v/>
      </c>
      <c r="P141" s="209" t="str">
        <f t="shared" si="10"/>
        <v/>
      </c>
      <c r="U141" s="209">
        <f t="shared" si="12"/>
        <v>141</v>
      </c>
    </row>
    <row r="142" spans="2:21" ht="17">
      <c r="B142" s="206" t="s">
        <v>334</v>
      </c>
      <c r="C142" s="207" t="s">
        <v>37</v>
      </c>
      <c r="D142" s="207" t="s">
        <v>216</v>
      </c>
      <c r="E142" s="210" t="s">
        <v>335</v>
      </c>
      <c r="F142" s="102" t="str">
        <f t="shared" si="13"/>
        <v>MF</v>
      </c>
      <c r="O142" s="209" t="str">
        <f t="shared" si="11"/>
        <v/>
      </c>
      <c r="P142" s="209" t="str">
        <f t="shared" si="10"/>
        <v/>
      </c>
      <c r="U142" s="209">
        <f t="shared" si="12"/>
        <v>142</v>
      </c>
    </row>
    <row r="143" spans="2:21" ht="17">
      <c r="B143" s="206" t="s">
        <v>336</v>
      </c>
      <c r="C143" s="207" t="s">
        <v>337</v>
      </c>
      <c r="D143" s="207" t="s">
        <v>216</v>
      </c>
      <c r="E143" s="210">
        <v>0</v>
      </c>
      <c r="F143" s="102" t="str">
        <f t="shared" si="13"/>
        <v>DSAL</v>
      </c>
      <c r="O143" s="209" t="str">
        <f t="shared" si="11"/>
        <v/>
      </c>
      <c r="P143" s="209" t="str">
        <f t="shared" si="10"/>
        <v/>
      </c>
      <c r="U143" s="209">
        <f t="shared" si="12"/>
        <v>143</v>
      </c>
    </row>
    <row r="144" spans="2:21" ht="17">
      <c r="B144" s="206" t="s">
        <v>338</v>
      </c>
      <c r="C144" s="207" t="s">
        <v>339</v>
      </c>
      <c r="D144" s="207" t="s">
        <v>216</v>
      </c>
      <c r="E144" s="210" t="s">
        <v>340</v>
      </c>
      <c r="F144" s="102" t="str">
        <f t="shared" si="13"/>
        <v>ACRJ</v>
      </c>
      <c r="O144" s="209" t="str">
        <f t="shared" si="11"/>
        <v/>
      </c>
      <c r="P144" s="209" t="str">
        <f t="shared" si="10"/>
        <v/>
      </c>
      <c r="U144" s="209">
        <f t="shared" si="12"/>
        <v>144</v>
      </c>
    </row>
    <row r="145" spans="2:21" ht="17">
      <c r="B145" s="206" t="s">
        <v>341</v>
      </c>
      <c r="C145" s="207" t="s">
        <v>342</v>
      </c>
      <c r="D145" s="207" t="s">
        <v>342</v>
      </c>
      <c r="E145" s="210" t="s">
        <v>340</v>
      </c>
      <c r="F145" s="102" t="str">
        <f t="shared" si="13"/>
        <v>MZ</v>
      </c>
      <c r="O145" s="209" t="str">
        <f t="shared" si="11"/>
        <v/>
      </c>
      <c r="P145" s="209" t="str">
        <f t="shared" si="10"/>
        <v/>
      </c>
      <c r="U145" s="209">
        <f t="shared" si="12"/>
        <v>145</v>
      </c>
    </row>
    <row r="146" spans="2:21" ht="17">
      <c r="B146" s="206" t="s">
        <v>343</v>
      </c>
      <c r="C146" s="207" t="s">
        <v>207</v>
      </c>
      <c r="D146" s="207" t="s">
        <v>216</v>
      </c>
      <c r="E146" s="210"/>
      <c r="F146" s="102" t="str">
        <f t="shared" si="13"/>
        <v>TI</v>
      </c>
      <c r="O146" s="209" t="str">
        <f t="shared" si="11"/>
        <v/>
      </c>
      <c r="P146" s="209" t="str">
        <f t="shared" si="10"/>
        <v/>
      </c>
      <c r="U146" s="209">
        <f t="shared" si="12"/>
        <v>146</v>
      </c>
    </row>
    <row r="147" spans="2:21" ht="17">
      <c r="B147" s="206" t="s">
        <v>344</v>
      </c>
      <c r="C147" s="207" t="s">
        <v>345</v>
      </c>
      <c r="D147" s="207" t="s">
        <v>35</v>
      </c>
      <c r="E147" s="210"/>
      <c r="F147" s="102" t="str">
        <f t="shared" si="13"/>
        <v>BIC</v>
      </c>
      <c r="O147" s="209" t="str">
        <f t="shared" si="11"/>
        <v/>
      </c>
      <c r="P147" s="209" t="str">
        <f t="shared" si="10"/>
        <v/>
      </c>
      <c r="U147" s="209">
        <f t="shared" si="12"/>
        <v>147</v>
      </c>
    </row>
    <row r="148" spans="2:21" ht="17">
      <c r="B148" s="206" t="s">
        <v>346</v>
      </c>
      <c r="C148" s="207" t="s">
        <v>347</v>
      </c>
      <c r="D148" s="207" t="s">
        <v>35</v>
      </c>
      <c r="E148" s="210"/>
      <c r="F148" s="102" t="str">
        <f t="shared" si="13"/>
        <v>PRBS</v>
      </c>
      <c r="O148" s="209" t="str">
        <f t="shared" si="11"/>
        <v/>
      </c>
      <c r="P148" s="209" t="str">
        <f t="shared" si="10"/>
        <v/>
      </c>
      <c r="U148" s="209">
        <f t="shared" si="12"/>
        <v>148</v>
      </c>
    </row>
    <row r="149" spans="2:21" ht="34">
      <c r="B149" s="206" t="s">
        <v>348</v>
      </c>
      <c r="C149" s="207" t="s">
        <v>349</v>
      </c>
      <c r="D149" s="207" t="s">
        <v>216</v>
      </c>
      <c r="E149" s="210" t="s">
        <v>350</v>
      </c>
      <c r="F149" s="102" t="str">
        <f t="shared" si="13"/>
        <v>BGL</v>
      </c>
      <c r="O149" s="209" t="str">
        <f t="shared" si="11"/>
        <v/>
      </c>
      <c r="P149" s="209" t="str">
        <f t="shared" si="10"/>
        <v/>
      </c>
      <c r="U149" s="209">
        <f t="shared" si="12"/>
        <v>149</v>
      </c>
    </row>
    <row r="150" spans="2:21" ht="17">
      <c r="B150" s="206" t="s">
        <v>351</v>
      </c>
      <c r="C150" s="207" t="s">
        <v>352</v>
      </c>
      <c r="D150" s="207" t="s">
        <v>216</v>
      </c>
      <c r="E150" s="210" t="s">
        <v>353</v>
      </c>
      <c r="F150" s="102" t="str">
        <f t="shared" si="13"/>
        <v>SA</v>
      </c>
      <c r="O150" s="209" t="str">
        <f t="shared" si="11"/>
        <v/>
      </c>
      <c r="P150" s="209" t="str">
        <f t="shared" si="10"/>
        <v/>
      </c>
      <c r="U150" s="209">
        <f t="shared" si="12"/>
        <v>150</v>
      </c>
    </row>
    <row r="151" spans="2:21" ht="34">
      <c r="B151" s="206" t="s">
        <v>354</v>
      </c>
      <c r="C151" s="207" t="s">
        <v>355</v>
      </c>
      <c r="D151" s="207" t="s">
        <v>216</v>
      </c>
      <c r="E151" s="210" t="s">
        <v>356</v>
      </c>
      <c r="F151" s="102" t="str">
        <f t="shared" si="13"/>
        <v>VNB</v>
      </c>
      <c r="O151" s="209" t="str">
        <f t="shared" si="11"/>
        <v/>
      </c>
      <c r="P151" s="209" t="str">
        <f t="shared" si="10"/>
        <v/>
      </c>
      <c r="U151" s="209">
        <f t="shared" si="12"/>
        <v>151</v>
      </c>
    </row>
    <row r="152" spans="2:21" ht="17">
      <c r="B152" s="206" t="s">
        <v>2401</v>
      </c>
      <c r="C152" s="207" t="s">
        <v>216</v>
      </c>
      <c r="D152" s="207" t="s">
        <v>216</v>
      </c>
      <c r="E152" s="210" t="s">
        <v>357</v>
      </c>
      <c r="F152" s="102" t="str">
        <f t="shared" si="13"/>
        <v>MAP</v>
      </c>
      <c r="O152" s="209" t="str">
        <f t="shared" si="11"/>
        <v/>
      </c>
      <c r="P152" s="209" t="str">
        <f t="shared" si="10"/>
        <v/>
      </c>
      <c r="U152" s="209">
        <f t="shared" si="12"/>
        <v>152</v>
      </c>
    </row>
    <row r="153" spans="2:21" ht="17">
      <c r="B153" s="206" t="s">
        <v>358</v>
      </c>
      <c r="E153" s="210" t="s">
        <v>359</v>
      </c>
      <c r="F153" s="102" t="str">
        <f t="shared" si="13"/>
        <v>TTS</v>
      </c>
      <c r="O153" s="209" t="str">
        <f t="shared" si="11"/>
        <v/>
      </c>
      <c r="P153" s="209" t="str">
        <f t="shared" si="10"/>
        <v/>
      </c>
      <c r="U153" s="209">
        <f t="shared" si="12"/>
        <v>153</v>
      </c>
    </row>
    <row r="154" spans="2:21" ht="17">
      <c r="B154" s="206" t="s">
        <v>360</v>
      </c>
      <c r="C154" s="207" t="s">
        <v>241</v>
      </c>
      <c r="D154" s="207" t="s">
        <v>216</v>
      </c>
      <c r="E154" s="210" t="s">
        <v>359</v>
      </c>
      <c r="F154" s="102" t="str">
        <f t="shared" si="13"/>
        <v>CL</v>
      </c>
      <c r="O154" s="209" t="str">
        <f t="shared" si="11"/>
        <v/>
      </c>
      <c r="P154" s="209" t="str">
        <f t="shared" si="10"/>
        <v/>
      </c>
      <c r="U154" s="209">
        <f t="shared" si="12"/>
        <v>154</v>
      </c>
    </row>
    <row r="155" spans="2:21" ht="17">
      <c r="B155" s="206" t="s">
        <v>361</v>
      </c>
      <c r="C155" s="207" t="s">
        <v>362</v>
      </c>
      <c r="D155" s="207" t="s">
        <v>35</v>
      </c>
      <c r="E155" s="210" t="s">
        <v>363</v>
      </c>
      <c r="F155" s="102" t="str">
        <f t="shared" si="13"/>
        <v>DAA</v>
      </c>
      <c r="O155" s="209" t="str">
        <f t="shared" si="11"/>
        <v/>
      </c>
      <c r="P155" s="209" t="str">
        <f t="shared" si="10"/>
        <v/>
      </c>
      <c r="U155" s="209">
        <f t="shared" si="12"/>
        <v>155</v>
      </c>
    </row>
    <row r="156" spans="2:21" ht="17">
      <c r="B156" s="206" t="s">
        <v>364</v>
      </c>
      <c r="C156" s="207" t="s">
        <v>365</v>
      </c>
      <c r="D156" s="207" t="s">
        <v>216</v>
      </c>
      <c r="E156" s="210" t="s">
        <v>366</v>
      </c>
      <c r="F156" s="102" t="str">
        <f t="shared" si="13"/>
        <v>CCA</v>
      </c>
      <c r="O156" s="209" t="str">
        <f t="shared" si="11"/>
        <v/>
      </c>
      <c r="P156" s="209" t="str">
        <f t="shared" si="10"/>
        <v/>
      </c>
      <c r="U156" s="209">
        <f t="shared" si="12"/>
        <v>156</v>
      </c>
    </row>
    <row r="157" spans="2:21" ht="17">
      <c r="B157" s="206" t="s">
        <v>367</v>
      </c>
      <c r="E157" s="210">
        <v>0</v>
      </c>
      <c r="F157" s="102" t="str">
        <f t="shared" si="13"/>
        <v>NRL</v>
      </c>
      <c r="O157" s="209" t="str">
        <f t="shared" si="11"/>
        <v/>
      </c>
      <c r="P157" s="209" t="str">
        <f t="shared" si="10"/>
        <v/>
      </c>
      <c r="U157" s="209">
        <f t="shared" si="12"/>
        <v>157</v>
      </c>
    </row>
    <row r="158" spans="2:21" ht="17">
      <c r="B158" s="206" t="s">
        <v>368</v>
      </c>
      <c r="C158" s="207" t="s">
        <v>369</v>
      </c>
      <c r="D158" s="207" t="s">
        <v>216</v>
      </c>
      <c r="E158" s="210" t="s">
        <v>370</v>
      </c>
      <c r="F158" s="102" t="str">
        <f t="shared" si="13"/>
        <v>DB</v>
      </c>
      <c r="O158" s="209" t="str">
        <f t="shared" si="11"/>
        <v/>
      </c>
      <c r="P158" s="209" t="str">
        <f t="shared" si="10"/>
        <v/>
      </c>
      <c r="U158" s="209">
        <f t="shared" si="12"/>
        <v>158</v>
      </c>
    </row>
    <row r="159" spans="2:21" ht="51">
      <c r="B159" s="206" t="s">
        <v>371</v>
      </c>
      <c r="C159" s="207" t="s">
        <v>355</v>
      </c>
      <c r="D159" s="207" t="s">
        <v>216</v>
      </c>
      <c r="E159" s="210" t="s">
        <v>372</v>
      </c>
      <c r="F159" s="102" t="str">
        <f t="shared" si="13"/>
        <v>MEE-</v>
      </c>
      <c r="O159" s="209" t="str">
        <f t="shared" si="11"/>
        <v/>
      </c>
      <c r="P159" s="209" t="str">
        <f t="shared" si="10"/>
        <v/>
      </c>
      <c r="U159" s="209">
        <f t="shared" si="12"/>
        <v>159</v>
      </c>
    </row>
    <row r="160" spans="2:21" ht="17">
      <c r="B160" s="206" t="s">
        <v>373</v>
      </c>
      <c r="C160" s="207" t="s">
        <v>93</v>
      </c>
      <c r="D160" s="207" t="s">
        <v>216</v>
      </c>
      <c r="E160" s="210" t="s">
        <v>374</v>
      </c>
      <c r="F160" s="102" t="str">
        <f t="shared" si="13"/>
        <v>PAD</v>
      </c>
      <c r="O160" s="209" t="str">
        <f t="shared" si="11"/>
        <v/>
      </c>
      <c r="P160" s="209" t="str">
        <f t="shared" si="10"/>
        <v/>
      </c>
      <c r="U160" s="209">
        <f t="shared" si="12"/>
        <v>160</v>
      </c>
    </row>
    <row r="161" spans="2:21" ht="17">
      <c r="B161" s="206" t="s">
        <v>375</v>
      </c>
      <c r="C161" s="207" t="s">
        <v>376</v>
      </c>
      <c r="D161" s="207" t="s">
        <v>51</v>
      </c>
      <c r="E161" s="210" t="s">
        <v>377</v>
      </c>
      <c r="F161" s="102" t="str">
        <f t="shared" si="13"/>
        <v>JFS</v>
      </c>
      <c r="O161" s="209" t="str">
        <f t="shared" si="11"/>
        <v/>
      </c>
      <c r="P161" s="209" t="str">
        <f t="shared" si="10"/>
        <v/>
      </c>
      <c r="U161" s="209">
        <f t="shared" si="12"/>
        <v>161</v>
      </c>
    </row>
    <row r="162" spans="2:21" ht="17">
      <c r="B162" s="206" t="s">
        <v>378</v>
      </c>
      <c r="C162" s="207" t="s">
        <v>337</v>
      </c>
      <c r="D162" s="207" t="s">
        <v>216</v>
      </c>
      <c r="E162" s="210" t="s">
        <v>328</v>
      </c>
      <c r="F162" s="102" t="str">
        <f t="shared" si="13"/>
        <v>DF</v>
      </c>
      <c r="O162" s="209" t="str">
        <f t="shared" si="11"/>
        <v/>
      </c>
      <c r="P162" s="209" t="str">
        <f t="shared" si="10"/>
        <v/>
      </c>
      <c r="U162" s="209">
        <f t="shared" si="12"/>
        <v>162</v>
      </c>
    </row>
    <row r="163" spans="2:21" ht="17">
      <c r="B163" s="206" t="s">
        <v>379</v>
      </c>
      <c r="C163" s="207" t="s">
        <v>380</v>
      </c>
      <c r="D163" s="207" t="s">
        <v>216</v>
      </c>
      <c r="E163" s="210" t="s">
        <v>381</v>
      </c>
      <c r="F163" s="102" t="str">
        <f t="shared" si="13"/>
        <v>JIC</v>
      </c>
      <c r="O163" s="209" t="str">
        <f t="shared" si="11"/>
        <v/>
      </c>
      <c r="P163" s="209" t="str">
        <f t="shared" si="10"/>
        <v/>
      </c>
      <c r="U163" s="209">
        <f t="shared" si="12"/>
        <v>163</v>
      </c>
    </row>
    <row r="164" spans="2:21" ht="17">
      <c r="B164" s="206" t="s">
        <v>382</v>
      </c>
      <c r="C164" s="207" t="s">
        <v>35</v>
      </c>
      <c r="D164" s="207" t="s">
        <v>35</v>
      </c>
      <c r="E164" s="210" t="s">
        <v>383</v>
      </c>
      <c r="F164" s="102" t="str">
        <f t="shared" si="13"/>
        <v>TL</v>
      </c>
      <c r="O164" s="209" t="str">
        <f t="shared" si="11"/>
        <v/>
      </c>
      <c r="P164" s="209" t="str">
        <f t="shared" si="10"/>
        <v/>
      </c>
      <c r="U164" s="209">
        <f t="shared" si="12"/>
        <v>164</v>
      </c>
    </row>
    <row r="165" spans="2:21" ht="17">
      <c r="B165" s="206" t="s">
        <v>384</v>
      </c>
      <c r="C165" s="207" t="s">
        <v>385</v>
      </c>
      <c r="D165" s="207" t="s">
        <v>216</v>
      </c>
      <c r="E165" s="210" t="s">
        <v>386</v>
      </c>
      <c r="F165" s="102" t="str">
        <f t="shared" si="13"/>
        <v>AOVO</v>
      </c>
      <c r="O165" s="209" t="str">
        <f t="shared" si="11"/>
        <v/>
      </c>
      <c r="P165" s="209" t="str">
        <f t="shared" ref="P165:P200" si="14">IFERROR(LARGE(O$1:O$100, ROW()), "")</f>
        <v/>
      </c>
      <c r="U165" s="209">
        <f t="shared" si="12"/>
        <v>165</v>
      </c>
    </row>
    <row r="166" spans="2:21" ht="17">
      <c r="B166" s="206" t="s">
        <v>387</v>
      </c>
      <c r="C166" s="207" t="s">
        <v>32</v>
      </c>
      <c r="D166" s="207" t="s">
        <v>216</v>
      </c>
      <c r="E166" s="210">
        <v>0</v>
      </c>
      <c r="F166" s="102" t="str">
        <f t="shared" si="13"/>
        <v>GO</v>
      </c>
      <c r="O166" s="209" t="str">
        <f t="shared" si="11"/>
        <v/>
      </c>
      <c r="P166" s="209" t="str">
        <f t="shared" si="14"/>
        <v/>
      </c>
      <c r="U166" s="209">
        <f t="shared" si="12"/>
        <v>166</v>
      </c>
    </row>
    <row r="167" spans="2:21" ht="17">
      <c r="B167" s="206" t="s">
        <v>388</v>
      </c>
      <c r="C167" s="207" t="s">
        <v>389</v>
      </c>
      <c r="D167" s="207" t="s">
        <v>389</v>
      </c>
      <c r="E167" s="210">
        <v>0</v>
      </c>
      <c r="F167" s="102" t="str">
        <f t="shared" si="13"/>
        <v>CVHR</v>
      </c>
      <c r="O167" s="209" t="str">
        <f t="shared" si="11"/>
        <v/>
      </c>
      <c r="P167" s="209" t="str">
        <f t="shared" si="14"/>
        <v/>
      </c>
      <c r="U167" s="209">
        <f t="shared" si="12"/>
        <v>167</v>
      </c>
    </row>
    <row r="168" spans="2:21" ht="17">
      <c r="B168" s="206" t="s">
        <v>390</v>
      </c>
      <c r="C168" s="207" t="s">
        <v>389</v>
      </c>
      <c r="D168" s="207" t="s">
        <v>389</v>
      </c>
      <c r="E168" s="210">
        <v>0</v>
      </c>
      <c r="F168" s="102" t="str">
        <f t="shared" si="13"/>
        <v>CVHK</v>
      </c>
      <c r="O168" s="209" t="str">
        <f t="shared" si="11"/>
        <v/>
      </c>
      <c r="P168" s="209" t="str">
        <f t="shared" si="14"/>
        <v/>
      </c>
      <c r="U168" s="209">
        <f t="shared" si="12"/>
        <v>168</v>
      </c>
    </row>
    <row r="169" spans="2:21" ht="34">
      <c r="B169" s="206" t="s">
        <v>391</v>
      </c>
      <c r="C169" s="207" t="s">
        <v>392</v>
      </c>
      <c r="D169" s="207" t="s">
        <v>216</v>
      </c>
      <c r="E169" s="210" t="s">
        <v>393</v>
      </c>
      <c r="F169" s="102" t="str">
        <f t="shared" si="13"/>
        <v>KAAJ</v>
      </c>
      <c r="O169" s="209" t="str">
        <f t="shared" si="11"/>
        <v/>
      </c>
      <c r="P169" s="209" t="str">
        <f t="shared" si="14"/>
        <v/>
      </c>
      <c r="U169" s="209">
        <f t="shared" si="12"/>
        <v>169</v>
      </c>
    </row>
    <row r="170" spans="2:21" ht="17">
      <c r="B170" s="206" t="s">
        <v>840</v>
      </c>
      <c r="C170" s="207" t="s">
        <v>839</v>
      </c>
      <c r="D170" s="207" t="s">
        <v>35</v>
      </c>
      <c r="E170" s="210" t="s">
        <v>838</v>
      </c>
      <c r="F170" s="102" t="str">
        <f t="shared" si="13"/>
        <v>ALAK</v>
      </c>
      <c r="O170" s="209" t="str">
        <f t="shared" si="11"/>
        <v/>
      </c>
      <c r="P170" s="209" t="str">
        <f t="shared" si="14"/>
        <v/>
      </c>
      <c r="U170" s="209">
        <f t="shared" si="12"/>
        <v>170</v>
      </c>
    </row>
    <row r="171" spans="2:21" ht="17">
      <c r="B171" s="206" t="s">
        <v>837</v>
      </c>
      <c r="C171" s="207" t="s">
        <v>337</v>
      </c>
      <c r="D171" s="207" t="s">
        <v>216</v>
      </c>
      <c r="E171" s="210" t="s">
        <v>430</v>
      </c>
      <c r="F171" s="102" t="str">
        <f t="shared" si="13"/>
        <v>TSL</v>
      </c>
      <c r="O171" s="209" t="str">
        <f t="shared" si="11"/>
        <v/>
      </c>
      <c r="P171" s="209" t="str">
        <f t="shared" si="14"/>
        <v/>
      </c>
      <c r="U171" s="209">
        <f t="shared" si="12"/>
        <v>171</v>
      </c>
    </row>
    <row r="172" spans="2:21" ht="17">
      <c r="B172" s="206" t="s">
        <v>836</v>
      </c>
      <c r="C172" s="207" t="s">
        <v>51</v>
      </c>
      <c r="D172" s="207" t="s">
        <v>51</v>
      </c>
      <c r="E172" s="210" t="s">
        <v>430</v>
      </c>
      <c r="F172" s="102" t="str">
        <f t="shared" si="13"/>
        <v>TSLK</v>
      </c>
      <c r="O172" s="209" t="str">
        <f t="shared" si="11"/>
        <v/>
      </c>
      <c r="P172" s="209" t="str">
        <f t="shared" si="14"/>
        <v/>
      </c>
      <c r="U172" s="209">
        <f t="shared" si="12"/>
        <v>172</v>
      </c>
    </row>
    <row r="173" spans="2:21" ht="17">
      <c r="B173" s="206" t="s">
        <v>394</v>
      </c>
      <c r="C173" s="207" t="s">
        <v>51</v>
      </c>
      <c r="D173" s="207" t="s">
        <v>51</v>
      </c>
      <c r="E173" s="210">
        <v>0</v>
      </c>
      <c r="F173" s="102" t="str">
        <f t="shared" si="13"/>
        <v>AEP</v>
      </c>
      <c r="O173" s="209" t="str">
        <f t="shared" si="11"/>
        <v/>
      </c>
      <c r="P173" s="209" t="str">
        <f t="shared" si="14"/>
        <v/>
      </c>
      <c r="U173" s="209">
        <f t="shared" si="12"/>
        <v>173</v>
      </c>
    </row>
    <row r="174" spans="2:21" ht="17">
      <c r="B174" s="206" t="s">
        <v>395</v>
      </c>
      <c r="C174" s="207" t="s">
        <v>396</v>
      </c>
      <c r="D174" s="207" t="s">
        <v>216</v>
      </c>
      <c r="E174" s="210" t="s">
        <v>397</v>
      </c>
      <c r="F174" s="102" t="str">
        <f t="shared" si="13"/>
        <v>OS</v>
      </c>
      <c r="O174" s="209" t="str">
        <f t="shared" si="11"/>
        <v/>
      </c>
      <c r="P174" s="209" t="str">
        <f t="shared" si="14"/>
        <v/>
      </c>
      <c r="U174" s="209">
        <f t="shared" si="12"/>
        <v>174</v>
      </c>
    </row>
    <row r="175" spans="2:21" ht="17">
      <c r="B175" s="206" t="s">
        <v>398</v>
      </c>
      <c r="C175" s="207" t="s">
        <v>355</v>
      </c>
      <c r="D175" s="207" t="s">
        <v>216</v>
      </c>
      <c r="E175" s="210" t="s">
        <v>399</v>
      </c>
      <c r="F175" s="102" t="str">
        <f t="shared" si="13"/>
        <v>RB</v>
      </c>
      <c r="O175" s="209" t="str">
        <f t="shared" si="11"/>
        <v/>
      </c>
      <c r="P175" s="209" t="str">
        <f t="shared" si="14"/>
        <v/>
      </c>
      <c r="U175" s="209">
        <f t="shared" si="12"/>
        <v>175</v>
      </c>
    </row>
    <row r="176" spans="2:21" ht="17">
      <c r="B176" s="206" t="s">
        <v>400</v>
      </c>
      <c r="C176" s="207" t="s">
        <v>401</v>
      </c>
      <c r="D176" s="207" t="s">
        <v>216</v>
      </c>
      <c r="E176" s="210">
        <v>0</v>
      </c>
      <c r="F176" s="102" t="str">
        <f t="shared" si="13"/>
        <v>RW</v>
      </c>
      <c r="O176" s="209" t="str">
        <f t="shared" si="11"/>
        <v/>
      </c>
      <c r="P176" s="209" t="str">
        <f t="shared" si="14"/>
        <v/>
      </c>
      <c r="U176" s="209">
        <f t="shared" si="12"/>
        <v>176</v>
      </c>
    </row>
    <row r="177" spans="2:21" ht="17">
      <c r="B177" s="206" t="s">
        <v>403</v>
      </c>
      <c r="C177" s="207" t="s">
        <v>46</v>
      </c>
      <c r="D177" s="207" t="s">
        <v>216</v>
      </c>
      <c r="E177" s="210">
        <v>0</v>
      </c>
      <c r="F177" s="102" t="str">
        <f t="shared" si="13"/>
        <v>LK</v>
      </c>
      <c r="O177" s="209" t="str">
        <f t="shared" si="11"/>
        <v/>
      </c>
      <c r="P177" s="209" t="str">
        <f t="shared" si="14"/>
        <v/>
      </c>
      <c r="U177" s="209">
        <f t="shared" si="12"/>
        <v>177</v>
      </c>
    </row>
    <row r="178" spans="2:21" ht="17">
      <c r="B178" s="206" t="s">
        <v>404</v>
      </c>
      <c r="C178" s="207" t="s">
        <v>46</v>
      </c>
      <c r="D178" s="207" t="s">
        <v>216</v>
      </c>
      <c r="E178" s="210" t="s">
        <v>405</v>
      </c>
      <c r="F178" s="102" t="str">
        <f t="shared" si="13"/>
        <v>MA</v>
      </c>
      <c r="O178" s="209" t="str">
        <f t="shared" si="11"/>
        <v/>
      </c>
      <c r="P178" s="209" t="str">
        <f t="shared" si="14"/>
        <v/>
      </c>
      <c r="U178" s="209">
        <f t="shared" si="12"/>
        <v>178</v>
      </c>
    </row>
    <row r="179" spans="2:21" ht="17">
      <c r="B179" s="206" t="s">
        <v>406</v>
      </c>
      <c r="C179" s="207" t="s">
        <v>342</v>
      </c>
      <c r="D179" s="207" t="s">
        <v>216</v>
      </c>
      <c r="E179" s="210">
        <v>0</v>
      </c>
      <c r="F179" s="102" t="str">
        <f t="shared" si="13"/>
        <v>GRCL</v>
      </c>
      <c r="O179" s="209" t="str">
        <f t="shared" si="11"/>
        <v/>
      </c>
      <c r="P179" s="209" t="str">
        <f t="shared" si="14"/>
        <v/>
      </c>
      <c r="U179" s="209">
        <f t="shared" si="12"/>
        <v>179</v>
      </c>
    </row>
    <row r="180" spans="2:21" ht="17">
      <c r="B180" s="206" t="s">
        <v>407</v>
      </c>
      <c r="C180" s="207" t="s">
        <v>46</v>
      </c>
      <c r="D180" s="207" t="s">
        <v>216</v>
      </c>
      <c r="E180" s="210">
        <v>0</v>
      </c>
      <c r="F180" s="102" t="str">
        <f t="shared" si="13"/>
        <v>LT</v>
      </c>
      <c r="O180" s="209" t="str">
        <f t="shared" si="11"/>
        <v/>
      </c>
      <c r="P180" s="209" t="str">
        <f t="shared" si="14"/>
        <v/>
      </c>
      <c r="U180" s="209">
        <f t="shared" si="12"/>
        <v>180</v>
      </c>
    </row>
    <row r="181" spans="2:21" ht="17">
      <c r="B181" s="206" t="s">
        <v>408</v>
      </c>
      <c r="C181" s="207" t="s">
        <v>409</v>
      </c>
      <c r="D181" s="207" t="s">
        <v>216</v>
      </c>
      <c r="E181" s="210" t="s">
        <v>410</v>
      </c>
      <c r="F181" s="102" t="str">
        <f t="shared" si="13"/>
        <v>FD</v>
      </c>
      <c r="O181" s="209" t="str">
        <f t="shared" si="11"/>
        <v/>
      </c>
      <c r="P181" s="209" t="str">
        <f t="shared" si="14"/>
        <v/>
      </c>
      <c r="U181" s="209">
        <f t="shared" si="12"/>
        <v>181</v>
      </c>
    </row>
    <row r="182" spans="2:21" ht="17">
      <c r="B182" s="206" t="s">
        <v>1566</v>
      </c>
      <c r="C182" s="207" t="s">
        <v>1559</v>
      </c>
      <c r="D182" s="207" t="s">
        <v>216</v>
      </c>
      <c r="E182" s="210" t="s">
        <v>1560</v>
      </c>
      <c r="F182" s="102" t="str">
        <f t="shared" si="13"/>
        <v>TPGL</v>
      </c>
      <c r="G182" s="208" t="s">
        <v>1194</v>
      </c>
      <c r="O182" s="209" t="str">
        <f t="shared" si="11"/>
        <v/>
      </c>
      <c r="P182" s="209" t="str">
        <f t="shared" si="14"/>
        <v/>
      </c>
      <c r="U182" s="209">
        <f t="shared" si="12"/>
        <v>182</v>
      </c>
    </row>
    <row r="183" spans="2:21" ht="17">
      <c r="B183" s="206" t="s">
        <v>1565</v>
      </c>
      <c r="C183" s="207" t="s">
        <v>1561</v>
      </c>
      <c r="D183" s="207" t="s">
        <v>1092</v>
      </c>
      <c r="E183" s="210" t="s">
        <v>1560</v>
      </c>
      <c r="F183" s="102" t="str">
        <f t="shared" si="13"/>
        <v>TPGL</v>
      </c>
      <c r="G183" s="208" t="s">
        <v>1194</v>
      </c>
      <c r="O183" s="209" t="str">
        <f t="shared" si="11"/>
        <v/>
      </c>
      <c r="P183" s="209" t="str">
        <f t="shared" si="14"/>
        <v/>
      </c>
      <c r="U183" s="209">
        <f t="shared" si="12"/>
        <v>183</v>
      </c>
    </row>
    <row r="184" spans="2:21" ht="17">
      <c r="B184" s="206" t="s">
        <v>1564</v>
      </c>
      <c r="C184" s="207" t="s">
        <v>1563</v>
      </c>
      <c r="D184" s="207" t="s">
        <v>1092</v>
      </c>
      <c r="E184" s="210" t="s">
        <v>1562</v>
      </c>
      <c r="F184" s="102" t="str">
        <f t="shared" si="13"/>
        <v>TPGL</v>
      </c>
      <c r="G184" s="208" t="s">
        <v>1194</v>
      </c>
      <c r="O184" s="209" t="str">
        <f t="shared" si="11"/>
        <v/>
      </c>
      <c r="P184" s="209" t="str">
        <f t="shared" si="14"/>
        <v/>
      </c>
      <c r="U184" s="209">
        <f t="shared" si="12"/>
        <v>184</v>
      </c>
    </row>
    <row r="185" spans="2:21" ht="17">
      <c r="B185" s="206" t="s">
        <v>411</v>
      </c>
      <c r="C185" s="207" t="s">
        <v>412</v>
      </c>
      <c r="D185" s="207" t="s">
        <v>856</v>
      </c>
      <c r="E185" s="210" t="s">
        <v>1195</v>
      </c>
      <c r="F185" s="102" t="str">
        <f t="shared" si="13"/>
        <v>TPGL</v>
      </c>
      <c r="G185" s="208" t="s">
        <v>1194</v>
      </c>
      <c r="O185" s="209" t="str">
        <f t="shared" si="11"/>
        <v/>
      </c>
      <c r="P185" s="209" t="str">
        <f t="shared" si="14"/>
        <v/>
      </c>
      <c r="U185" s="209">
        <f t="shared" si="12"/>
        <v>185</v>
      </c>
    </row>
    <row r="186" spans="2:21" ht="17">
      <c r="B186" s="206" t="s">
        <v>630</v>
      </c>
      <c r="C186" s="207" t="s">
        <v>631</v>
      </c>
      <c r="D186" s="207" t="s">
        <v>342</v>
      </c>
      <c r="E186" s="210" t="s">
        <v>1271</v>
      </c>
      <c r="F186" s="102" t="str">
        <f t="shared" si="13"/>
        <v>TPGL</v>
      </c>
      <c r="G186" s="208" t="s">
        <v>1272</v>
      </c>
      <c r="O186" s="209" t="str">
        <f t="shared" si="11"/>
        <v/>
      </c>
      <c r="P186" s="209" t="str">
        <f t="shared" si="14"/>
        <v/>
      </c>
      <c r="U186" s="209">
        <f t="shared" si="12"/>
        <v>186</v>
      </c>
    </row>
    <row r="187" spans="2:21" ht="17">
      <c r="B187" s="206" t="s">
        <v>795</v>
      </c>
      <c r="C187" s="207" t="s">
        <v>796</v>
      </c>
      <c r="D187" s="207" t="s">
        <v>35</v>
      </c>
      <c r="E187" s="210" t="s">
        <v>1271</v>
      </c>
      <c r="F187" s="102" t="str">
        <f t="shared" si="13"/>
        <v>TPGL</v>
      </c>
      <c r="G187" s="208" t="s">
        <v>1272</v>
      </c>
      <c r="O187" s="209" t="str">
        <f t="shared" si="11"/>
        <v/>
      </c>
      <c r="P187" s="209" t="str">
        <f t="shared" si="14"/>
        <v/>
      </c>
      <c r="U187" s="209">
        <f t="shared" si="12"/>
        <v>187</v>
      </c>
    </row>
    <row r="188" spans="2:21" ht="17">
      <c r="B188" s="206" t="s">
        <v>1259</v>
      </c>
      <c r="C188" s="207" t="s">
        <v>1260</v>
      </c>
      <c r="D188" s="207" t="s">
        <v>51</v>
      </c>
      <c r="E188" s="210" t="s">
        <v>1271</v>
      </c>
      <c r="F188" s="102" t="str">
        <f t="shared" si="13"/>
        <v>TPGL</v>
      </c>
      <c r="G188" s="208" t="s">
        <v>1272</v>
      </c>
      <c r="O188" s="209" t="str">
        <f t="shared" si="11"/>
        <v/>
      </c>
      <c r="P188" s="209" t="str">
        <f t="shared" si="14"/>
        <v/>
      </c>
      <c r="U188" s="209">
        <f t="shared" si="12"/>
        <v>188</v>
      </c>
    </row>
    <row r="189" spans="2:21" ht="17">
      <c r="B189" s="206" t="s">
        <v>1261</v>
      </c>
      <c r="C189" s="207" t="s">
        <v>1262</v>
      </c>
      <c r="D189" s="207" t="s">
        <v>51</v>
      </c>
      <c r="E189" s="210" t="s">
        <v>1271</v>
      </c>
      <c r="F189" s="102" t="str">
        <f t="shared" si="13"/>
        <v>TPGL</v>
      </c>
      <c r="G189" s="208" t="s">
        <v>1272</v>
      </c>
      <c r="O189" s="209" t="str">
        <f t="shared" si="11"/>
        <v/>
      </c>
      <c r="P189" s="209" t="str">
        <f t="shared" si="14"/>
        <v/>
      </c>
      <c r="U189" s="209">
        <f t="shared" si="12"/>
        <v>189</v>
      </c>
    </row>
    <row r="190" spans="2:21" ht="17">
      <c r="B190" s="206" t="s">
        <v>1263</v>
      </c>
      <c r="C190" s="207" t="s">
        <v>1264</v>
      </c>
      <c r="D190" s="207" t="s">
        <v>216</v>
      </c>
      <c r="E190" s="210" t="s">
        <v>1271</v>
      </c>
      <c r="F190" s="102" t="str">
        <f t="shared" si="13"/>
        <v>TPGL</v>
      </c>
      <c r="G190" s="208" t="s">
        <v>1272</v>
      </c>
      <c r="O190" s="209" t="str">
        <f t="shared" si="11"/>
        <v/>
      </c>
      <c r="P190" s="209" t="str">
        <f t="shared" si="14"/>
        <v/>
      </c>
      <c r="U190" s="209">
        <f t="shared" si="12"/>
        <v>190</v>
      </c>
    </row>
    <row r="191" spans="2:21" ht="17">
      <c r="B191" s="206" t="s">
        <v>1278</v>
      </c>
      <c r="C191" s="207" t="s">
        <v>564</v>
      </c>
      <c r="D191" s="207" t="s">
        <v>216</v>
      </c>
      <c r="E191" s="210" t="s">
        <v>1271</v>
      </c>
      <c r="F191" s="102" t="str">
        <f t="shared" si="13"/>
        <v>TPGL</v>
      </c>
      <c r="G191" s="208" t="s">
        <v>1272</v>
      </c>
      <c r="O191" s="209" t="str">
        <f t="shared" si="11"/>
        <v/>
      </c>
      <c r="P191" s="209" t="str">
        <f t="shared" si="14"/>
        <v/>
      </c>
      <c r="U191" s="209">
        <f t="shared" si="12"/>
        <v>191</v>
      </c>
    </row>
    <row r="192" spans="2:21" ht="17">
      <c r="B192" s="206" t="s">
        <v>413</v>
      </c>
      <c r="C192" s="207" t="s">
        <v>414</v>
      </c>
      <c r="D192" s="207" t="s">
        <v>216</v>
      </c>
      <c r="E192" s="210" t="s">
        <v>415</v>
      </c>
      <c r="F192" s="102" t="str">
        <f t="shared" si="13"/>
        <v>SN</v>
      </c>
      <c r="O192" s="209" t="str">
        <f t="shared" si="11"/>
        <v/>
      </c>
      <c r="P192" s="209" t="str">
        <f t="shared" si="14"/>
        <v/>
      </c>
      <c r="U192" s="209">
        <f t="shared" si="12"/>
        <v>192</v>
      </c>
    </row>
    <row r="193" spans="2:21" ht="17">
      <c r="B193" s="206" t="s">
        <v>416</v>
      </c>
      <c r="C193" s="207" t="s">
        <v>355</v>
      </c>
      <c r="D193" s="207" t="s">
        <v>216</v>
      </c>
      <c r="E193" s="210" t="s">
        <v>417</v>
      </c>
      <c r="F193" s="102" t="str">
        <f t="shared" si="13"/>
        <v>GKK</v>
      </c>
      <c r="O193" s="209" t="str">
        <f t="shared" si="11"/>
        <v/>
      </c>
      <c r="P193" s="209" t="str">
        <f t="shared" si="14"/>
        <v/>
      </c>
      <c r="U193" s="209">
        <f t="shared" si="12"/>
        <v>193</v>
      </c>
    </row>
    <row r="194" spans="2:21" ht="17">
      <c r="B194" s="206" t="s">
        <v>418</v>
      </c>
      <c r="C194" s="207" t="s">
        <v>419</v>
      </c>
      <c r="D194" s="207" t="s">
        <v>216</v>
      </c>
      <c r="E194" s="210" t="s">
        <v>420</v>
      </c>
      <c r="F194" s="102" t="str">
        <f t="shared" si="13"/>
        <v>BK</v>
      </c>
      <c r="O194" s="209" t="str">
        <f t="shared" ref="O194:O200" si="15">IF(MOD($N$1,ROW())=0,ROW(),"")</f>
        <v/>
      </c>
      <c r="P194" s="209" t="str">
        <f t="shared" si="14"/>
        <v/>
      </c>
      <c r="U194" s="209">
        <f t="shared" ref="U194:U200" si="16">IF(MOD($T$500,ROW())=0,ROW(),"")</f>
        <v>194</v>
      </c>
    </row>
    <row r="195" spans="2:21" ht="17">
      <c r="B195" s="206" t="s">
        <v>421</v>
      </c>
      <c r="C195" s="207" t="s">
        <v>35</v>
      </c>
      <c r="D195" s="207" t="s">
        <v>35</v>
      </c>
      <c r="E195" s="210" t="s">
        <v>422</v>
      </c>
      <c r="F195" s="102" t="str">
        <f t="shared" ref="F195:F258" si="17">UPPER(LEFT(B195,1)) &amp; IFERROR(UPPER(LEFT(MID(B195,FIND(" ",B195)+1,LEN(B195)),1)),"") &amp; IFERROR(UPPER(LEFT(MID(B195,FIND(" ",B195,FIND(" ",B195)+1)+1,LEN(B195)),1)),"") &amp; IFERROR(UPPER(LEFT(MID(B195,FIND(" ",B195,FIND(" ",B195,FIND(" ",B195)+1)+1)+1,LEN(B195)),1)),"")</f>
        <v>GA</v>
      </c>
      <c r="O195" s="209" t="str">
        <f t="shared" si="15"/>
        <v/>
      </c>
      <c r="P195" s="209" t="str">
        <f t="shared" si="14"/>
        <v/>
      </c>
      <c r="U195" s="209">
        <f t="shared" si="16"/>
        <v>195</v>
      </c>
    </row>
    <row r="196" spans="2:21" ht="34">
      <c r="B196" s="206" t="s">
        <v>423</v>
      </c>
      <c r="C196" s="207" t="s">
        <v>424</v>
      </c>
      <c r="D196" s="207" t="s">
        <v>35</v>
      </c>
      <c r="E196" s="210" t="s">
        <v>425</v>
      </c>
      <c r="F196" s="102" t="str">
        <f t="shared" si="17"/>
        <v>MN</v>
      </c>
      <c r="O196" s="209" t="str">
        <f t="shared" si="15"/>
        <v/>
      </c>
      <c r="P196" s="209" t="str">
        <f t="shared" si="14"/>
        <v/>
      </c>
      <c r="U196" s="209">
        <f t="shared" si="16"/>
        <v>196</v>
      </c>
    </row>
    <row r="197" spans="2:21" ht="17">
      <c r="B197" s="206" t="s">
        <v>1768</v>
      </c>
      <c r="C197" s="207" t="s">
        <v>35</v>
      </c>
      <c r="D197" s="207" t="s">
        <v>956</v>
      </c>
      <c r="E197" s="210" t="s">
        <v>427</v>
      </c>
      <c r="F197" s="102" t="str">
        <f t="shared" si="17"/>
        <v>DB-D</v>
      </c>
      <c r="O197" s="209" t="str">
        <f t="shared" si="15"/>
        <v/>
      </c>
      <c r="P197" s="209" t="str">
        <f t="shared" si="14"/>
        <v/>
      </c>
      <c r="U197" s="209">
        <f t="shared" si="16"/>
        <v>197</v>
      </c>
    </row>
    <row r="198" spans="2:21" ht="17">
      <c r="B198" s="206" t="s">
        <v>428</v>
      </c>
      <c r="C198" s="207" t="s">
        <v>157</v>
      </c>
      <c r="D198" s="207" t="s">
        <v>216</v>
      </c>
      <c r="E198" s="210">
        <v>0</v>
      </c>
      <c r="F198" s="102" t="str">
        <f t="shared" si="17"/>
        <v>MA</v>
      </c>
      <c r="O198" s="209" t="str">
        <f t="shared" si="15"/>
        <v/>
      </c>
      <c r="P198" s="209" t="str">
        <f t="shared" si="14"/>
        <v/>
      </c>
      <c r="U198" s="209">
        <f t="shared" si="16"/>
        <v>198</v>
      </c>
    </row>
    <row r="199" spans="2:21" ht="17">
      <c r="B199" s="206" t="s">
        <v>429</v>
      </c>
      <c r="C199" s="207" t="s">
        <v>355</v>
      </c>
      <c r="D199" s="207" t="s">
        <v>216</v>
      </c>
      <c r="E199" s="210" t="s">
        <v>430</v>
      </c>
      <c r="F199" s="102" t="str">
        <f t="shared" si="17"/>
        <v>TSLW</v>
      </c>
      <c r="O199" s="209" t="str">
        <f t="shared" si="15"/>
        <v/>
      </c>
      <c r="P199" s="209" t="str">
        <f t="shared" si="14"/>
        <v/>
      </c>
      <c r="U199" s="209">
        <f t="shared" si="16"/>
        <v>199</v>
      </c>
    </row>
    <row r="200" spans="2:21" ht="17">
      <c r="B200" s="206" t="s">
        <v>431</v>
      </c>
      <c r="C200" s="207" t="s">
        <v>42</v>
      </c>
      <c r="D200" s="207" t="s">
        <v>956</v>
      </c>
      <c r="E200" s="210">
        <v>0</v>
      </c>
      <c r="F200" s="102" t="str">
        <f t="shared" si="17"/>
        <v>HFI</v>
      </c>
      <c r="O200" s="209" t="str">
        <f t="shared" si="15"/>
        <v/>
      </c>
      <c r="P200" s="209" t="str">
        <f t="shared" si="14"/>
        <v/>
      </c>
      <c r="U200" s="209">
        <f t="shared" si="16"/>
        <v>200</v>
      </c>
    </row>
    <row r="201" spans="2:21" ht="17">
      <c r="B201" s="206" t="s">
        <v>432</v>
      </c>
      <c r="C201" s="207" t="s">
        <v>241</v>
      </c>
      <c r="D201" s="207" t="s">
        <v>216</v>
      </c>
      <c r="E201" s="210" t="s">
        <v>359</v>
      </c>
      <c r="F201" s="102" t="str">
        <f t="shared" si="17"/>
        <v>ROTT</v>
      </c>
    </row>
    <row r="202" spans="2:21" ht="17">
      <c r="B202" s="206" t="s">
        <v>433</v>
      </c>
      <c r="C202" s="207" t="s">
        <v>46</v>
      </c>
      <c r="D202" s="207" t="s">
        <v>216</v>
      </c>
      <c r="E202" s="210" t="s">
        <v>434</v>
      </c>
      <c r="F202" s="102" t="str">
        <f t="shared" si="17"/>
        <v>KAN</v>
      </c>
    </row>
    <row r="203" spans="2:21" ht="17">
      <c r="B203" s="206" t="s">
        <v>435</v>
      </c>
      <c r="C203" s="207" t="s">
        <v>419</v>
      </c>
      <c r="D203" s="207" t="s">
        <v>216</v>
      </c>
      <c r="E203" s="210" t="s">
        <v>436</v>
      </c>
      <c r="F203" s="102" t="str">
        <f t="shared" si="17"/>
        <v>EA</v>
      </c>
    </row>
    <row r="204" spans="2:21" ht="17">
      <c r="B204" s="206" t="s">
        <v>437</v>
      </c>
      <c r="C204" s="207" t="s">
        <v>438</v>
      </c>
      <c r="D204" s="207" t="s">
        <v>216</v>
      </c>
      <c r="E204" s="210" t="s">
        <v>439</v>
      </c>
      <c r="F204" s="102" t="str">
        <f t="shared" si="17"/>
        <v>CP</v>
      </c>
    </row>
    <row r="205" spans="2:21" ht="17">
      <c r="B205" s="206" t="s">
        <v>440</v>
      </c>
      <c r="C205" s="207" t="s">
        <v>38</v>
      </c>
      <c r="D205" s="207" t="s">
        <v>216</v>
      </c>
      <c r="E205" s="210" t="s">
        <v>441</v>
      </c>
      <c r="F205" s="102" t="str">
        <f t="shared" si="17"/>
        <v>MH</v>
      </c>
    </row>
    <row r="206" spans="2:21" ht="17">
      <c r="B206" s="206" t="s">
        <v>442</v>
      </c>
      <c r="C206" s="207" t="s">
        <v>35</v>
      </c>
      <c r="D206" s="207" t="s">
        <v>35</v>
      </c>
      <c r="E206" s="210">
        <v>0</v>
      </c>
      <c r="F206" s="102" t="str">
        <f t="shared" si="17"/>
        <v>MPM</v>
      </c>
    </row>
    <row r="207" spans="2:21" ht="34">
      <c r="B207" s="206" t="s">
        <v>443</v>
      </c>
      <c r="C207" s="207" t="s">
        <v>424</v>
      </c>
      <c r="D207" s="207" t="s">
        <v>35</v>
      </c>
      <c r="E207" s="210" t="s">
        <v>444</v>
      </c>
      <c r="F207" s="102" t="str">
        <f t="shared" si="17"/>
        <v>MB</v>
      </c>
    </row>
    <row r="208" spans="2:21" ht="17">
      <c r="B208" s="206" t="s">
        <v>445</v>
      </c>
      <c r="C208" s="207" t="s">
        <v>446</v>
      </c>
      <c r="D208" s="207" t="s">
        <v>35</v>
      </c>
      <c r="E208" s="210" t="s">
        <v>447</v>
      </c>
      <c r="F208" s="102" t="str">
        <f t="shared" si="17"/>
        <v>ME</v>
      </c>
    </row>
    <row r="209" spans="2:6" ht="17">
      <c r="B209" s="206" t="s">
        <v>448</v>
      </c>
      <c r="C209" s="207" t="s">
        <v>241</v>
      </c>
      <c r="D209" s="207" t="s">
        <v>216</v>
      </c>
      <c r="E209" s="210" t="s">
        <v>449</v>
      </c>
      <c r="F209" s="102" t="str">
        <f t="shared" si="17"/>
        <v>JN</v>
      </c>
    </row>
    <row r="210" spans="2:6" ht="17">
      <c r="B210" s="206" t="s">
        <v>450</v>
      </c>
      <c r="C210" s="207" t="s">
        <v>409</v>
      </c>
      <c r="D210" s="207" t="s">
        <v>216</v>
      </c>
      <c r="E210" s="210" t="s">
        <v>451</v>
      </c>
      <c r="F210" s="102" t="str">
        <f t="shared" si="17"/>
        <v>GA</v>
      </c>
    </row>
    <row r="211" spans="2:6" ht="34">
      <c r="B211" s="206" t="s">
        <v>452</v>
      </c>
      <c r="C211" s="207" t="s">
        <v>453</v>
      </c>
      <c r="D211" s="207" t="s">
        <v>35</v>
      </c>
      <c r="E211" s="210" t="s">
        <v>1324</v>
      </c>
      <c r="F211" s="102" t="str">
        <f t="shared" si="17"/>
        <v>M&amp;MA</v>
      </c>
    </row>
    <row r="212" spans="2:6" ht="17">
      <c r="B212" s="206" t="s">
        <v>454</v>
      </c>
      <c r="C212" s="207" t="s">
        <v>455</v>
      </c>
      <c r="D212" s="207" t="s">
        <v>35</v>
      </c>
      <c r="E212" s="210" t="s">
        <v>456</v>
      </c>
      <c r="F212" s="102" t="str">
        <f t="shared" si="17"/>
        <v>JL</v>
      </c>
    </row>
    <row r="213" spans="2:6" ht="17">
      <c r="B213" s="206" t="s">
        <v>457</v>
      </c>
      <c r="C213" s="207" t="s">
        <v>419</v>
      </c>
      <c r="D213" s="207" t="s">
        <v>216</v>
      </c>
      <c r="E213" s="210" t="s">
        <v>458</v>
      </c>
      <c r="F213" s="102" t="str">
        <f t="shared" si="17"/>
        <v>EC</v>
      </c>
    </row>
    <row r="214" spans="2:6" ht="17">
      <c r="B214" s="206" t="s">
        <v>459</v>
      </c>
      <c r="C214" s="207" t="s">
        <v>369</v>
      </c>
      <c r="D214" s="207" t="s">
        <v>216</v>
      </c>
      <c r="E214" s="210" t="s">
        <v>460</v>
      </c>
      <c r="F214" s="102" t="str">
        <f t="shared" si="17"/>
        <v>EAT</v>
      </c>
    </row>
    <row r="215" spans="2:6" ht="17">
      <c r="B215" s="206" t="s">
        <v>461</v>
      </c>
      <c r="C215" s="207" t="s">
        <v>462</v>
      </c>
      <c r="D215" s="207" t="s">
        <v>216</v>
      </c>
      <c r="E215" s="210" t="s">
        <v>383</v>
      </c>
      <c r="F215" s="102" t="str">
        <f t="shared" si="17"/>
        <v>MB-T</v>
      </c>
    </row>
    <row r="216" spans="2:6" ht="17">
      <c r="B216" s="206" t="s">
        <v>463</v>
      </c>
      <c r="C216" s="207" t="s">
        <v>464</v>
      </c>
      <c r="D216" s="207" t="s">
        <v>216</v>
      </c>
      <c r="E216" s="210" t="s">
        <v>465</v>
      </c>
      <c r="F216" s="102" t="str">
        <f t="shared" si="17"/>
        <v>FD</v>
      </c>
    </row>
    <row r="217" spans="2:6" ht="17">
      <c r="B217" s="206" t="s">
        <v>1299</v>
      </c>
      <c r="C217" s="207" t="s">
        <v>466</v>
      </c>
      <c r="D217" s="207" t="s">
        <v>216</v>
      </c>
      <c r="E217" s="210" t="s">
        <v>467</v>
      </c>
      <c r="F217" s="102" t="str">
        <f t="shared" si="17"/>
        <v>SO-A</v>
      </c>
    </row>
    <row r="218" spans="2:6" ht="17">
      <c r="B218" s="206" t="s">
        <v>1298</v>
      </c>
      <c r="C218" s="207" t="s">
        <v>1300</v>
      </c>
      <c r="D218" s="207" t="s">
        <v>955</v>
      </c>
      <c r="E218" s="210" t="s">
        <v>467</v>
      </c>
      <c r="F218" s="102" t="str">
        <f t="shared" si="17"/>
        <v>SO-A</v>
      </c>
    </row>
    <row r="219" spans="2:6" ht="17">
      <c r="B219" s="206" t="s">
        <v>468</v>
      </c>
      <c r="C219" s="207" t="s">
        <v>339</v>
      </c>
      <c r="D219" s="207" t="s">
        <v>216</v>
      </c>
      <c r="E219" s="210" t="s">
        <v>467</v>
      </c>
      <c r="F219" s="102" t="str">
        <f t="shared" si="17"/>
        <v>OES-</v>
      </c>
    </row>
    <row r="220" spans="2:6" ht="17">
      <c r="B220" s="206" t="s">
        <v>469</v>
      </c>
      <c r="C220" s="207" t="s">
        <v>959</v>
      </c>
      <c r="D220" s="207" t="s">
        <v>216</v>
      </c>
      <c r="E220" s="210" t="s">
        <v>470</v>
      </c>
      <c r="F220" s="102" t="str">
        <f t="shared" si="17"/>
        <v>JKK</v>
      </c>
    </row>
    <row r="221" spans="2:6" ht="17">
      <c r="B221" s="206" t="s">
        <v>471</v>
      </c>
      <c r="C221" s="207" t="s">
        <v>464</v>
      </c>
      <c r="D221" s="207" t="s">
        <v>216</v>
      </c>
      <c r="E221" s="210" t="s">
        <v>472</v>
      </c>
      <c r="F221" s="102" t="str">
        <f t="shared" si="17"/>
        <v>DYA</v>
      </c>
    </row>
    <row r="222" spans="2:6" ht="17">
      <c r="B222" s="206" t="s">
        <v>473</v>
      </c>
      <c r="C222" s="207" t="s">
        <v>32</v>
      </c>
      <c r="D222" s="207" t="s">
        <v>216</v>
      </c>
      <c r="E222" s="210" t="s">
        <v>474</v>
      </c>
      <c r="F222" s="102" t="str">
        <f t="shared" si="17"/>
        <v>PJA</v>
      </c>
    </row>
    <row r="223" spans="2:6" ht="17">
      <c r="B223" s="206" t="s">
        <v>475</v>
      </c>
      <c r="C223" s="207" t="s">
        <v>476</v>
      </c>
      <c r="D223" s="207" t="s">
        <v>216</v>
      </c>
      <c r="E223" s="210">
        <v>0</v>
      </c>
      <c r="F223" s="102" t="str">
        <f t="shared" si="17"/>
        <v>MWJ</v>
      </c>
    </row>
    <row r="224" spans="2:6" ht="17">
      <c r="B224" s="206" t="s">
        <v>477</v>
      </c>
      <c r="C224" s="207" t="s">
        <v>478</v>
      </c>
      <c r="D224" s="207" t="s">
        <v>958</v>
      </c>
      <c r="E224" s="210">
        <v>0</v>
      </c>
      <c r="F224" s="102" t="str">
        <f t="shared" si="17"/>
        <v>C3OA</v>
      </c>
    </row>
    <row r="225" spans="2:7" ht="17">
      <c r="B225" s="206" t="s">
        <v>479</v>
      </c>
      <c r="C225" s="207" t="s">
        <v>120</v>
      </c>
      <c r="D225" s="207" t="s">
        <v>216</v>
      </c>
      <c r="E225" s="210" t="s">
        <v>480</v>
      </c>
      <c r="F225" s="102" t="str">
        <f t="shared" si="17"/>
        <v>KB</v>
      </c>
    </row>
    <row r="226" spans="2:7" ht="17">
      <c r="B226" s="206" t="s">
        <v>481</v>
      </c>
      <c r="C226" s="207" t="s">
        <v>482</v>
      </c>
      <c r="D226" s="207" t="s">
        <v>35</v>
      </c>
      <c r="E226" s="210" t="s">
        <v>483</v>
      </c>
      <c r="F226" s="102" t="str">
        <f t="shared" si="17"/>
        <v>DA</v>
      </c>
    </row>
    <row r="227" spans="2:7" ht="17">
      <c r="B227" s="206" t="s">
        <v>484</v>
      </c>
      <c r="C227" s="207" t="s">
        <v>69</v>
      </c>
      <c r="D227" s="207" t="s">
        <v>216</v>
      </c>
      <c r="E227" s="210" t="s">
        <v>485</v>
      </c>
      <c r="F227" s="102" t="str">
        <f t="shared" si="17"/>
        <v>MV</v>
      </c>
    </row>
    <row r="228" spans="2:7" ht="17">
      <c r="B228" s="206" t="s">
        <v>486</v>
      </c>
      <c r="C228" s="207" t="s">
        <v>487</v>
      </c>
      <c r="D228" s="207" t="s">
        <v>954</v>
      </c>
      <c r="E228" s="210" t="s">
        <v>488</v>
      </c>
      <c r="F228" s="102" t="str">
        <f t="shared" si="17"/>
        <v>P</v>
      </c>
    </row>
    <row r="229" spans="2:7" ht="17">
      <c r="B229" s="206" t="s">
        <v>489</v>
      </c>
      <c r="C229" s="207" t="s">
        <v>490</v>
      </c>
      <c r="D229" s="207" t="s">
        <v>35</v>
      </c>
      <c r="E229" s="210" t="s">
        <v>491</v>
      </c>
      <c r="F229" s="102" t="str">
        <f t="shared" si="17"/>
        <v>MSA</v>
      </c>
    </row>
    <row r="230" spans="2:7" ht="17">
      <c r="B230" s="206" t="s">
        <v>492</v>
      </c>
      <c r="C230" s="207" t="s">
        <v>493</v>
      </c>
      <c r="D230" s="207" t="s">
        <v>35</v>
      </c>
      <c r="E230" s="210" t="s">
        <v>494</v>
      </c>
      <c r="F230" s="102" t="str">
        <f t="shared" si="17"/>
        <v>MAF</v>
      </c>
    </row>
    <row r="231" spans="2:7" ht="17">
      <c r="B231" s="206" t="s">
        <v>495</v>
      </c>
      <c r="C231" s="207" t="s">
        <v>496</v>
      </c>
      <c r="D231" s="207" t="s">
        <v>216</v>
      </c>
      <c r="E231" s="210" t="s">
        <v>497</v>
      </c>
      <c r="F231" s="102" t="str">
        <f t="shared" si="17"/>
        <v>PCA</v>
      </c>
    </row>
    <row r="232" spans="2:7" ht="17">
      <c r="B232" s="206" t="s">
        <v>498</v>
      </c>
      <c r="C232" s="207" t="s">
        <v>105</v>
      </c>
      <c r="D232" s="207" t="s">
        <v>216</v>
      </c>
      <c r="E232" s="210" t="s">
        <v>499</v>
      </c>
      <c r="F232" s="102" t="str">
        <f t="shared" si="17"/>
        <v>VD</v>
      </c>
    </row>
    <row r="233" spans="2:7" ht="17">
      <c r="B233" s="206" t="s">
        <v>500</v>
      </c>
      <c r="C233" s="207" t="s">
        <v>501</v>
      </c>
      <c r="D233" s="207" t="s">
        <v>35</v>
      </c>
      <c r="E233" s="210" t="s">
        <v>502</v>
      </c>
      <c r="F233" s="102" t="str">
        <f t="shared" si="17"/>
        <v>T</v>
      </c>
    </row>
    <row r="234" spans="2:7" ht="34">
      <c r="B234" s="206" t="s">
        <v>964</v>
      </c>
      <c r="C234" s="207" t="s">
        <v>965</v>
      </c>
      <c r="D234" s="207" t="s">
        <v>216</v>
      </c>
      <c r="E234" s="210" t="s">
        <v>2687</v>
      </c>
      <c r="F234" s="102" t="str">
        <f t="shared" si="17"/>
        <v>DPGL</v>
      </c>
      <c r="G234" s="208" t="s">
        <v>2688</v>
      </c>
    </row>
    <row r="235" spans="2:7" ht="34">
      <c r="B235" s="206" t="s">
        <v>964</v>
      </c>
      <c r="C235" s="207" t="s">
        <v>965</v>
      </c>
      <c r="D235" s="207" t="s">
        <v>216</v>
      </c>
      <c r="E235" s="210" t="s">
        <v>503</v>
      </c>
      <c r="F235" s="102" t="str">
        <f t="shared" si="17"/>
        <v>DPGL</v>
      </c>
      <c r="G235" s="208" t="s">
        <v>1556</v>
      </c>
    </row>
    <row r="236" spans="2:7" ht="34">
      <c r="B236" s="206" t="s">
        <v>964</v>
      </c>
      <c r="C236" s="207" t="s">
        <v>965</v>
      </c>
      <c r="D236" s="207" t="s">
        <v>216</v>
      </c>
      <c r="E236" s="210" t="s">
        <v>1586</v>
      </c>
      <c r="F236" s="102" t="str">
        <f t="shared" si="17"/>
        <v>DPGL</v>
      </c>
      <c r="G236" s="208" t="s">
        <v>1585</v>
      </c>
    </row>
    <row r="237" spans="2:7" ht="17">
      <c r="B237" s="206" t="s">
        <v>504</v>
      </c>
      <c r="C237" s="207" t="s">
        <v>505</v>
      </c>
      <c r="D237" s="207" t="s">
        <v>216</v>
      </c>
      <c r="E237" s="210" t="s">
        <v>506</v>
      </c>
      <c r="F237" s="102" t="str">
        <f t="shared" si="17"/>
        <v>MDA</v>
      </c>
    </row>
    <row r="238" spans="2:7" ht="17">
      <c r="B238" s="206" t="s">
        <v>507</v>
      </c>
      <c r="C238" s="207" t="s">
        <v>111</v>
      </c>
      <c r="D238" s="207" t="s">
        <v>216</v>
      </c>
      <c r="E238" s="210" t="s">
        <v>508</v>
      </c>
      <c r="F238" s="102" t="str">
        <f t="shared" si="17"/>
        <v>SFR</v>
      </c>
    </row>
    <row r="239" spans="2:7" ht="17">
      <c r="B239" s="206" t="s">
        <v>509</v>
      </c>
      <c r="C239" s="207" t="s">
        <v>111</v>
      </c>
      <c r="D239" s="207" t="s">
        <v>216</v>
      </c>
      <c r="E239" s="210" t="s">
        <v>508</v>
      </c>
      <c r="F239" s="102" t="str">
        <f t="shared" si="17"/>
        <v>SFSB</v>
      </c>
    </row>
    <row r="240" spans="2:7" ht="17">
      <c r="B240" s="206" t="s">
        <v>510</v>
      </c>
      <c r="C240" s="207" t="s">
        <v>111</v>
      </c>
      <c r="D240" s="207" t="s">
        <v>216</v>
      </c>
      <c r="E240" s="210" t="s">
        <v>508</v>
      </c>
      <c r="F240" s="102" t="str">
        <f t="shared" si="17"/>
        <v>SFSB</v>
      </c>
    </row>
    <row r="241" spans="2:6" ht="17">
      <c r="B241" s="206" t="s">
        <v>511</v>
      </c>
      <c r="C241" s="207" t="s">
        <v>512</v>
      </c>
      <c r="D241" s="207" t="s">
        <v>956</v>
      </c>
      <c r="E241" s="210" t="s">
        <v>513</v>
      </c>
      <c r="F241" s="102" t="str">
        <f t="shared" si="17"/>
        <v>TIBA</v>
      </c>
    </row>
    <row r="242" spans="2:6" ht="17">
      <c r="B242" s="206" t="s">
        <v>514</v>
      </c>
      <c r="C242" s="207" t="s">
        <v>515</v>
      </c>
      <c r="D242" s="207" t="s">
        <v>216</v>
      </c>
      <c r="E242" s="210" t="s">
        <v>516</v>
      </c>
      <c r="F242" s="102" t="str">
        <f t="shared" si="17"/>
        <v>DGKO</v>
      </c>
    </row>
    <row r="243" spans="2:6" ht="17">
      <c r="B243" s="206" t="s">
        <v>517</v>
      </c>
      <c r="C243" s="207" t="s">
        <v>518</v>
      </c>
      <c r="D243" s="207" t="s">
        <v>954</v>
      </c>
      <c r="E243" s="210">
        <v>0</v>
      </c>
      <c r="F243" s="102" t="str">
        <f t="shared" si="17"/>
        <v>V</v>
      </c>
    </row>
    <row r="244" spans="2:6" ht="17">
      <c r="B244" s="206" t="s">
        <v>1366</v>
      </c>
      <c r="C244" s="207" t="s">
        <v>519</v>
      </c>
      <c r="D244" s="207" t="s">
        <v>216</v>
      </c>
      <c r="E244" s="210" t="s">
        <v>520</v>
      </c>
      <c r="F244" s="102" t="str">
        <f t="shared" si="17"/>
        <v>OC-R</v>
      </c>
    </row>
    <row r="245" spans="2:6" ht="17">
      <c r="B245" s="206" t="s">
        <v>521</v>
      </c>
      <c r="C245" s="207" t="s">
        <v>522</v>
      </c>
      <c r="D245" s="207" t="s">
        <v>216</v>
      </c>
      <c r="E245" s="210" t="s">
        <v>523</v>
      </c>
      <c r="F245" s="102" t="str">
        <f t="shared" si="17"/>
        <v>VA</v>
      </c>
    </row>
    <row r="246" spans="2:6" ht="17">
      <c r="B246" s="206" t="s">
        <v>524</v>
      </c>
      <c r="C246" s="207" t="s">
        <v>466</v>
      </c>
      <c r="D246" s="207" t="s">
        <v>954</v>
      </c>
      <c r="E246" s="210" t="s">
        <v>525</v>
      </c>
      <c r="F246" s="102" t="str">
        <f t="shared" si="17"/>
        <v>MPT</v>
      </c>
    </row>
    <row r="247" spans="2:6" ht="17">
      <c r="B247" s="206" t="s">
        <v>526</v>
      </c>
      <c r="C247" s="207" t="s">
        <v>35</v>
      </c>
      <c r="D247" s="207" t="s">
        <v>35</v>
      </c>
      <c r="E247" s="210">
        <v>0</v>
      </c>
      <c r="F247" s="102" t="str">
        <f t="shared" si="17"/>
        <v>SOF</v>
      </c>
    </row>
    <row r="248" spans="2:6" ht="17">
      <c r="B248" s="206" t="s">
        <v>527</v>
      </c>
      <c r="C248" s="207" t="s">
        <v>528</v>
      </c>
      <c r="D248" s="207" t="s">
        <v>35</v>
      </c>
      <c r="E248" s="210" t="s">
        <v>458</v>
      </c>
      <c r="F248" s="102" t="str">
        <f t="shared" si="17"/>
        <v>AD-W</v>
      </c>
    </row>
    <row r="249" spans="2:6" ht="17">
      <c r="B249" s="206" t="s">
        <v>529</v>
      </c>
      <c r="C249" s="207" t="s">
        <v>337</v>
      </c>
      <c r="D249" s="207" t="s">
        <v>216</v>
      </c>
      <c r="E249" s="210" t="s">
        <v>530</v>
      </c>
      <c r="F249" s="102" t="str">
        <f t="shared" si="17"/>
        <v>VT</v>
      </c>
    </row>
    <row r="250" spans="2:6" ht="17">
      <c r="B250" s="206" t="s">
        <v>531</v>
      </c>
      <c r="C250" s="207" t="s">
        <v>532</v>
      </c>
      <c r="D250" s="207" t="s">
        <v>216</v>
      </c>
      <c r="E250" s="210" t="s">
        <v>533</v>
      </c>
      <c r="F250" s="102" t="str">
        <f t="shared" si="17"/>
        <v>DG</v>
      </c>
    </row>
    <row r="251" spans="2:6" ht="17">
      <c r="B251" s="206" t="s">
        <v>534</v>
      </c>
      <c r="C251" s="207" t="s">
        <v>46</v>
      </c>
      <c r="D251" s="207" t="s">
        <v>216</v>
      </c>
      <c r="E251" s="210" t="s">
        <v>535</v>
      </c>
      <c r="F251" s="102" t="str">
        <f t="shared" si="17"/>
        <v xml:space="preserve"> MND</v>
      </c>
    </row>
    <row r="252" spans="2:6" ht="17">
      <c r="B252" s="206" t="s">
        <v>536</v>
      </c>
      <c r="C252" s="207" t="s">
        <v>537</v>
      </c>
      <c r="D252" s="207" t="s">
        <v>216</v>
      </c>
      <c r="E252" s="210" t="s">
        <v>538</v>
      </c>
      <c r="F252" s="102" t="str">
        <f t="shared" si="17"/>
        <v>MA</v>
      </c>
    </row>
    <row r="253" spans="2:6" ht="17">
      <c r="B253" s="206" t="s">
        <v>539</v>
      </c>
      <c r="C253" s="207" t="s">
        <v>182</v>
      </c>
      <c r="D253" s="207" t="s">
        <v>216</v>
      </c>
      <c r="E253" s="210">
        <v>0</v>
      </c>
      <c r="F253" s="102" t="str">
        <f t="shared" si="17"/>
        <v>MAY</v>
      </c>
    </row>
    <row r="254" spans="2:6" ht="17">
      <c r="B254" s="206" t="s">
        <v>540</v>
      </c>
      <c r="C254" s="207" t="s">
        <v>102</v>
      </c>
      <c r="D254" s="207" t="s">
        <v>216</v>
      </c>
      <c r="E254" s="210" t="s">
        <v>541</v>
      </c>
      <c r="F254" s="102" t="str">
        <f t="shared" si="17"/>
        <v>EA</v>
      </c>
    </row>
    <row r="255" spans="2:6" ht="17">
      <c r="B255" s="206" t="s">
        <v>542</v>
      </c>
      <c r="C255" s="207" t="s">
        <v>543</v>
      </c>
      <c r="D255" s="207" t="s">
        <v>216</v>
      </c>
      <c r="E255" s="210" t="s">
        <v>544</v>
      </c>
      <c r="F255" s="102" t="str">
        <f t="shared" si="17"/>
        <v>KB</v>
      </c>
    </row>
    <row r="256" spans="2:6" ht="17">
      <c r="B256" s="206" t="s">
        <v>545</v>
      </c>
      <c r="C256" s="207" t="s">
        <v>546</v>
      </c>
      <c r="D256" s="207" t="s">
        <v>216</v>
      </c>
      <c r="E256" s="210" t="s">
        <v>547</v>
      </c>
      <c r="F256" s="102" t="str">
        <f t="shared" si="17"/>
        <v>JA</v>
      </c>
    </row>
    <row r="257" spans="2:6" ht="17">
      <c r="B257" s="206" t="s">
        <v>548</v>
      </c>
      <c r="C257" s="207" t="s">
        <v>549</v>
      </c>
      <c r="D257" s="207" t="s">
        <v>216</v>
      </c>
      <c r="E257" s="210" t="s">
        <v>550</v>
      </c>
      <c r="F257" s="102" t="str">
        <f t="shared" si="17"/>
        <v>ND</v>
      </c>
    </row>
    <row r="258" spans="2:6" ht="17">
      <c r="B258" s="206" t="s">
        <v>551</v>
      </c>
      <c r="C258" s="207" t="s">
        <v>32</v>
      </c>
      <c r="D258" s="207" t="s">
        <v>216</v>
      </c>
      <c r="E258" s="210" t="s">
        <v>552</v>
      </c>
      <c r="F258" s="102" t="str">
        <f t="shared" si="17"/>
        <v>NS</v>
      </c>
    </row>
    <row r="259" spans="2:6" ht="17">
      <c r="B259" s="206" t="s">
        <v>553</v>
      </c>
      <c r="C259" s="207" t="s">
        <v>554</v>
      </c>
      <c r="D259" s="207" t="s">
        <v>216</v>
      </c>
      <c r="E259" s="210" t="s">
        <v>555</v>
      </c>
      <c r="F259" s="102" t="str">
        <f t="shared" ref="F259:F322" si="18">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8"/>
        <v>SBA</v>
      </c>
    </row>
    <row r="261" spans="2:6" ht="17">
      <c r="B261" s="206" t="s">
        <v>559</v>
      </c>
      <c r="C261" s="207" t="s">
        <v>560</v>
      </c>
      <c r="D261" s="207" t="s">
        <v>954</v>
      </c>
      <c r="E261" s="210" t="s">
        <v>561</v>
      </c>
      <c r="F261" s="102" t="str">
        <f t="shared" si="18"/>
        <v>AMC</v>
      </c>
    </row>
    <row r="262" spans="2:6" ht="17">
      <c r="B262" s="206" t="s">
        <v>562</v>
      </c>
      <c r="C262" s="207" t="s">
        <v>26</v>
      </c>
      <c r="D262" s="207" t="s">
        <v>855</v>
      </c>
      <c r="E262" s="210">
        <v>0</v>
      </c>
      <c r="F262" s="102" t="str">
        <f t="shared" si="18"/>
        <v>MBR</v>
      </c>
    </row>
    <row r="263" spans="2:6" ht="17">
      <c r="B263" s="206" t="s">
        <v>563</v>
      </c>
      <c r="C263" s="207" t="s">
        <v>564</v>
      </c>
      <c r="D263" s="207" t="s">
        <v>216</v>
      </c>
      <c r="E263" s="210">
        <v>0</v>
      </c>
      <c r="F263" s="102" t="str">
        <f t="shared" si="18"/>
        <v>T-TF</v>
      </c>
    </row>
    <row r="264" spans="2:6" ht="17">
      <c r="B264" s="206" t="s">
        <v>565</v>
      </c>
      <c r="C264" s="207" t="s">
        <v>566</v>
      </c>
      <c r="D264" s="207" t="s">
        <v>216</v>
      </c>
      <c r="E264" s="210" t="s">
        <v>567</v>
      </c>
      <c r="F264" s="102" t="str">
        <f t="shared" si="18"/>
        <v>FM</v>
      </c>
    </row>
    <row r="265" spans="2:6" ht="17">
      <c r="B265" s="206" t="s">
        <v>568</v>
      </c>
      <c r="C265" s="207" t="s">
        <v>274</v>
      </c>
      <c r="D265" s="207" t="s">
        <v>216</v>
      </c>
      <c r="E265" s="210">
        <v>0</v>
      </c>
      <c r="F265" s="102" t="str">
        <f t="shared" si="18"/>
        <v>SGL</v>
      </c>
    </row>
    <row r="266" spans="2:6" ht="17">
      <c r="B266" s="206" t="s">
        <v>569</v>
      </c>
      <c r="C266" s="207" t="s">
        <v>570</v>
      </c>
      <c r="D266" s="207" t="s">
        <v>960</v>
      </c>
      <c r="E266" s="210" t="s">
        <v>571</v>
      </c>
      <c r="F266" s="102" t="str">
        <f t="shared" si="18"/>
        <v>ILBA</v>
      </c>
    </row>
    <row r="267" spans="2:6" ht="17">
      <c r="B267" s="206" t="s">
        <v>572</v>
      </c>
      <c r="C267" s="207" t="s">
        <v>46</v>
      </c>
      <c r="D267" s="207" t="s">
        <v>46</v>
      </c>
      <c r="E267" s="210" t="s">
        <v>573</v>
      </c>
      <c r="F267" s="102" t="str">
        <f t="shared" si="18"/>
        <v>MN</v>
      </c>
    </row>
    <row r="268" spans="2:6" ht="17">
      <c r="B268" s="206" t="s">
        <v>574</v>
      </c>
      <c r="C268" s="207" t="s">
        <v>72</v>
      </c>
      <c r="D268" s="207" t="s">
        <v>216</v>
      </c>
      <c r="E268" s="210">
        <v>0</v>
      </c>
      <c r="F268" s="102" t="str">
        <f t="shared" si="18"/>
        <v>PT</v>
      </c>
    </row>
    <row r="269" spans="2:6" ht="17">
      <c r="B269" s="206" t="s">
        <v>575</v>
      </c>
      <c r="C269" s="207" t="s">
        <v>576</v>
      </c>
      <c r="D269" s="207" t="s">
        <v>576</v>
      </c>
      <c r="E269" s="210" t="s">
        <v>577</v>
      </c>
      <c r="F269" s="102" t="str">
        <f t="shared" si="18"/>
        <v>FPK</v>
      </c>
    </row>
    <row r="270" spans="2:6" ht="17">
      <c r="B270" s="206" t="s">
        <v>578</v>
      </c>
      <c r="C270" s="207" t="s">
        <v>337</v>
      </c>
      <c r="D270" s="207" t="s">
        <v>216</v>
      </c>
      <c r="E270" s="210" t="s">
        <v>579</v>
      </c>
      <c r="F270" s="102" t="str">
        <f t="shared" si="18"/>
        <v>MB</v>
      </c>
    </row>
    <row r="271" spans="2:6" ht="17">
      <c r="B271" s="206" t="s">
        <v>580</v>
      </c>
      <c r="C271" s="207" t="s">
        <v>581</v>
      </c>
      <c r="D271" s="207" t="s">
        <v>581</v>
      </c>
      <c r="E271" s="210" t="s">
        <v>582</v>
      </c>
      <c r="F271" s="102" t="str">
        <f t="shared" si="18"/>
        <v>ASAL</v>
      </c>
    </row>
    <row r="272" spans="2:6" ht="17">
      <c r="B272" s="206" t="s">
        <v>583</v>
      </c>
      <c r="C272" s="207" t="s">
        <v>42</v>
      </c>
      <c r="D272" s="207" t="s">
        <v>42</v>
      </c>
      <c r="E272" s="210" t="s">
        <v>561</v>
      </c>
      <c r="F272" s="102" t="str">
        <f t="shared" si="18"/>
        <v>T</v>
      </c>
    </row>
    <row r="273" spans="2:7" ht="17">
      <c r="B273" s="206" t="s">
        <v>584</v>
      </c>
      <c r="C273" s="207" t="s">
        <v>102</v>
      </c>
      <c r="D273" s="207" t="s">
        <v>102</v>
      </c>
      <c r="E273" s="210" t="s">
        <v>585</v>
      </c>
      <c r="F273" s="102" t="str">
        <f t="shared" si="18"/>
        <v>BAT</v>
      </c>
    </row>
    <row r="274" spans="2:7" ht="17">
      <c r="B274" s="206" t="s">
        <v>586</v>
      </c>
      <c r="C274" s="207" t="s">
        <v>295</v>
      </c>
      <c r="D274" s="207" t="s">
        <v>295</v>
      </c>
      <c r="E274" s="210" t="s">
        <v>587</v>
      </c>
      <c r="F274" s="102" t="str">
        <f t="shared" si="18"/>
        <v>JA</v>
      </c>
    </row>
    <row r="275" spans="2:7" ht="17">
      <c r="B275" s="206" t="s">
        <v>589</v>
      </c>
      <c r="C275" s="207" t="s">
        <v>120</v>
      </c>
      <c r="D275" s="207" t="s">
        <v>120</v>
      </c>
      <c r="E275" s="210" t="s">
        <v>590</v>
      </c>
      <c r="F275" s="102" t="str">
        <f t="shared" si="18"/>
        <v>MMD</v>
      </c>
    </row>
    <row r="276" spans="2:7" ht="17">
      <c r="B276" s="206" t="s">
        <v>591</v>
      </c>
      <c r="C276" s="207" t="s">
        <v>120</v>
      </c>
      <c r="D276" s="207" t="s">
        <v>120</v>
      </c>
      <c r="E276" s="210" t="s">
        <v>590</v>
      </c>
      <c r="F276" s="102" t="str">
        <f t="shared" si="18"/>
        <v>MMD</v>
      </c>
    </row>
    <row r="277" spans="2:7" ht="17">
      <c r="B277" s="206" t="s">
        <v>592</v>
      </c>
      <c r="C277" s="207" t="s">
        <v>593</v>
      </c>
      <c r="D277" s="207" t="s">
        <v>593</v>
      </c>
      <c r="E277" s="210">
        <v>0</v>
      </c>
      <c r="F277" s="102" t="str">
        <f t="shared" si="18"/>
        <v>CH2</v>
      </c>
    </row>
    <row r="278" spans="2:7" ht="17">
      <c r="B278" s="206" t="s">
        <v>594</v>
      </c>
      <c r="C278" s="207" t="s">
        <v>595</v>
      </c>
      <c r="D278" s="207" t="s">
        <v>595</v>
      </c>
      <c r="E278" s="210" t="s">
        <v>596</v>
      </c>
      <c r="F278" s="102" t="str">
        <f t="shared" si="18"/>
        <v>B</v>
      </c>
    </row>
    <row r="279" spans="2:7" ht="17">
      <c r="B279" s="206" t="s">
        <v>597</v>
      </c>
      <c r="C279" s="207" t="s">
        <v>598</v>
      </c>
      <c r="D279" s="207" t="s">
        <v>598</v>
      </c>
      <c r="E279" s="210" t="s">
        <v>599</v>
      </c>
      <c r="F279" s="102" t="str">
        <f t="shared" si="18"/>
        <v>MSA</v>
      </c>
    </row>
    <row r="280" spans="2:7" ht="17">
      <c r="B280" s="206" t="s">
        <v>600</v>
      </c>
      <c r="C280" s="207" t="s">
        <v>601</v>
      </c>
      <c r="D280" s="207" t="s">
        <v>601</v>
      </c>
      <c r="E280" s="210" t="s">
        <v>602</v>
      </c>
      <c r="F280" s="102" t="str">
        <f t="shared" si="18"/>
        <v>EM</v>
      </c>
    </row>
    <row r="281" spans="2:7" ht="17">
      <c r="B281" s="206" t="s">
        <v>603</v>
      </c>
      <c r="C281" s="207" t="s">
        <v>604</v>
      </c>
      <c r="D281" s="207" t="s">
        <v>604</v>
      </c>
      <c r="E281" s="210" t="s">
        <v>605</v>
      </c>
      <c r="F281" s="102" t="str">
        <f t="shared" si="18"/>
        <v>MA</v>
      </c>
    </row>
    <row r="282" spans="2:7" ht="17">
      <c r="B282" s="206" t="s">
        <v>606</v>
      </c>
      <c r="C282" s="207" t="s">
        <v>607</v>
      </c>
      <c r="D282" s="207" t="s">
        <v>607</v>
      </c>
      <c r="E282" s="210" t="s">
        <v>608</v>
      </c>
      <c r="F282" s="102" t="str">
        <f t="shared" si="18"/>
        <v>N</v>
      </c>
    </row>
    <row r="283" spans="2:7" ht="17">
      <c r="B283" s="206" t="s">
        <v>609</v>
      </c>
      <c r="C283" s="207" t="s">
        <v>607</v>
      </c>
      <c r="D283" s="207" t="s">
        <v>607</v>
      </c>
      <c r="E283" s="210" t="s">
        <v>608</v>
      </c>
      <c r="F283" s="102" t="str">
        <f t="shared" si="18"/>
        <v>N</v>
      </c>
    </row>
    <row r="284" spans="2:7" ht="17">
      <c r="B284" s="206" t="s">
        <v>610</v>
      </c>
      <c r="C284" s="207" t="s">
        <v>337</v>
      </c>
      <c r="D284" s="207" t="s">
        <v>216</v>
      </c>
      <c r="E284" s="210" t="s">
        <v>608</v>
      </c>
      <c r="F284" s="102" t="str">
        <f t="shared" si="18"/>
        <v>GM</v>
      </c>
    </row>
    <row r="285" spans="2:7" ht="17">
      <c r="B285" s="206" t="s">
        <v>611</v>
      </c>
      <c r="C285" s="207" t="s">
        <v>612</v>
      </c>
      <c r="D285" s="207" t="s">
        <v>612</v>
      </c>
      <c r="E285" s="210" t="s">
        <v>613</v>
      </c>
      <c r="F285" s="102" t="str">
        <f t="shared" si="18"/>
        <v>MK</v>
      </c>
    </row>
    <row r="286" spans="2:7" ht="17">
      <c r="B286" s="206" t="s">
        <v>614</v>
      </c>
      <c r="C286" s="207" t="s">
        <v>105</v>
      </c>
      <c r="D286" s="207" t="s">
        <v>105</v>
      </c>
      <c r="E286" s="210" t="s">
        <v>615</v>
      </c>
      <c r="F286" s="102" t="str">
        <f t="shared" si="18"/>
        <v>FP E</v>
      </c>
    </row>
    <row r="287" spans="2:7" ht="17">
      <c r="B287" s="206" t="s">
        <v>616</v>
      </c>
      <c r="C287" s="207" t="s">
        <v>617</v>
      </c>
      <c r="D287" s="207" t="s">
        <v>617</v>
      </c>
      <c r="E287" s="210" t="s">
        <v>618</v>
      </c>
      <c r="F287" s="102" t="str">
        <f t="shared" si="18"/>
        <v>HBC</v>
      </c>
      <c r="G287" s="208" t="s">
        <v>1536</v>
      </c>
    </row>
    <row r="288" spans="2:7" ht="17">
      <c r="B288" s="206" t="s">
        <v>619</v>
      </c>
      <c r="C288" s="207" t="s">
        <v>93</v>
      </c>
      <c r="D288" s="207" t="s">
        <v>93</v>
      </c>
      <c r="E288" s="210">
        <v>0</v>
      </c>
      <c r="F288" s="102" t="str">
        <f t="shared" si="18"/>
        <v>OES</v>
      </c>
    </row>
    <row r="289" spans="2:6" ht="17">
      <c r="B289" s="206" t="s">
        <v>620</v>
      </c>
      <c r="C289" s="207" t="s">
        <v>38</v>
      </c>
      <c r="D289" s="207" t="s">
        <v>38</v>
      </c>
      <c r="E289" s="210" t="s">
        <v>621</v>
      </c>
      <c r="F289" s="102" t="str">
        <f t="shared" si="18"/>
        <v>BE</v>
      </c>
    </row>
    <row r="290" spans="2:6" ht="17">
      <c r="B290" s="206" t="s">
        <v>622</v>
      </c>
      <c r="C290" s="207" t="s">
        <v>623</v>
      </c>
      <c r="D290" s="207" t="s">
        <v>623</v>
      </c>
      <c r="E290" s="210" t="s">
        <v>624</v>
      </c>
      <c r="F290" s="102" t="str">
        <f t="shared" si="18"/>
        <v>HP</v>
      </c>
    </row>
    <row r="291" spans="2:6" ht="17">
      <c r="B291" s="206" t="s">
        <v>625</v>
      </c>
      <c r="C291" s="207" t="s">
        <v>409</v>
      </c>
      <c r="D291" s="207" t="s">
        <v>409</v>
      </c>
      <c r="E291" s="210" t="s">
        <v>626</v>
      </c>
      <c r="F291" s="102" t="str">
        <f t="shared" si="18"/>
        <v>MBY</v>
      </c>
    </row>
    <row r="292" spans="2:6" ht="17">
      <c r="B292" s="206" t="s">
        <v>632</v>
      </c>
      <c r="C292" s="207" t="s">
        <v>342</v>
      </c>
      <c r="D292" s="207" t="s">
        <v>342</v>
      </c>
      <c r="E292" s="210" t="s">
        <v>561</v>
      </c>
      <c r="F292" s="102" t="str">
        <f t="shared" si="18"/>
        <v>TF</v>
      </c>
    </row>
    <row r="293" spans="2:6" ht="17">
      <c r="B293" s="206" t="s">
        <v>633</v>
      </c>
      <c r="C293" s="207" t="s">
        <v>634</v>
      </c>
      <c r="D293" s="207" t="s">
        <v>634</v>
      </c>
      <c r="E293" s="210" t="s">
        <v>635</v>
      </c>
      <c r="F293" s="102" t="str">
        <f t="shared" si="18"/>
        <v>T(1</v>
      </c>
    </row>
    <row r="294" spans="2:6" ht="17">
      <c r="B294" s="206" t="s">
        <v>636</v>
      </c>
      <c r="C294" s="207" t="s">
        <v>634</v>
      </c>
      <c r="D294" s="207" t="s">
        <v>634</v>
      </c>
      <c r="E294" s="210" t="s">
        <v>635</v>
      </c>
      <c r="F294" s="102" t="str">
        <f t="shared" si="18"/>
        <v>T(2</v>
      </c>
    </row>
    <row r="295" spans="2:6" ht="17">
      <c r="B295" s="206" t="s">
        <v>637</v>
      </c>
      <c r="C295" s="207" t="s">
        <v>634</v>
      </c>
      <c r="D295" s="207" t="s">
        <v>634</v>
      </c>
      <c r="E295" s="210" t="s">
        <v>635</v>
      </c>
      <c r="F295" s="102" t="str">
        <f t="shared" si="18"/>
        <v>T(3</v>
      </c>
    </row>
    <row r="296" spans="2:6" ht="17">
      <c r="B296" s="206" t="s">
        <v>638</v>
      </c>
      <c r="C296" s="207" t="s">
        <v>634</v>
      </c>
      <c r="D296" s="207" t="s">
        <v>634</v>
      </c>
      <c r="E296" s="210" t="s">
        <v>635</v>
      </c>
      <c r="F296" s="102" t="str">
        <f t="shared" si="18"/>
        <v>T(4</v>
      </c>
    </row>
    <row r="297" spans="2:6" ht="17">
      <c r="B297" s="206" t="s">
        <v>639</v>
      </c>
      <c r="C297" s="207" t="s">
        <v>634</v>
      </c>
      <c r="D297" s="207" t="s">
        <v>634</v>
      </c>
      <c r="E297" s="210" t="s">
        <v>635</v>
      </c>
      <c r="F297" s="102" t="str">
        <f t="shared" si="18"/>
        <v>T(5</v>
      </c>
    </row>
    <row r="298" spans="2:6" ht="17">
      <c r="B298" s="206" t="s">
        <v>640</v>
      </c>
      <c r="C298" s="207" t="s">
        <v>634</v>
      </c>
      <c r="D298" s="207" t="s">
        <v>634</v>
      </c>
      <c r="E298" s="210" t="s">
        <v>635</v>
      </c>
      <c r="F298" s="102" t="str">
        <f t="shared" si="18"/>
        <v>T(6</v>
      </c>
    </row>
    <row r="299" spans="2:6" ht="17">
      <c r="B299" s="206" t="s">
        <v>641</v>
      </c>
      <c r="C299" s="207" t="s">
        <v>634</v>
      </c>
      <c r="D299" s="207" t="s">
        <v>634</v>
      </c>
      <c r="E299" s="210" t="s">
        <v>635</v>
      </c>
      <c r="F299" s="102" t="str">
        <f t="shared" si="18"/>
        <v>T(7</v>
      </c>
    </row>
    <row r="300" spans="2:6" ht="17">
      <c r="B300" s="206" t="s">
        <v>642</v>
      </c>
      <c r="C300" s="207" t="s">
        <v>634</v>
      </c>
      <c r="D300" s="207" t="s">
        <v>634</v>
      </c>
      <c r="E300" s="210" t="s">
        <v>635</v>
      </c>
      <c r="F300" s="102" t="str">
        <f t="shared" si="18"/>
        <v>T(8</v>
      </c>
    </row>
    <row r="301" spans="2:6" ht="17">
      <c r="B301" s="206" t="s">
        <v>643</v>
      </c>
      <c r="C301" s="207" t="s">
        <v>634</v>
      </c>
      <c r="D301" s="207" t="s">
        <v>634</v>
      </c>
      <c r="E301" s="210" t="s">
        <v>635</v>
      </c>
      <c r="F301" s="102" t="str">
        <f t="shared" si="18"/>
        <v>T(9</v>
      </c>
    </row>
    <row r="302" spans="2:6" ht="17">
      <c r="B302" s="206" t="s">
        <v>644</v>
      </c>
      <c r="C302" s="207" t="s">
        <v>634</v>
      </c>
      <c r="D302" s="207" t="s">
        <v>634</v>
      </c>
      <c r="E302" s="210" t="s">
        <v>635</v>
      </c>
      <c r="F302" s="102" t="str">
        <f t="shared" si="18"/>
        <v>T(1</v>
      </c>
    </row>
    <row r="303" spans="2:6" ht="17">
      <c r="B303" s="206" t="s">
        <v>645</v>
      </c>
      <c r="C303" s="207" t="s">
        <v>634</v>
      </c>
      <c r="D303" s="207" t="s">
        <v>634</v>
      </c>
      <c r="E303" s="210" t="s">
        <v>635</v>
      </c>
      <c r="F303" s="102" t="str">
        <f t="shared" si="18"/>
        <v>T(1</v>
      </c>
    </row>
    <row r="304" spans="2:6" ht="17">
      <c r="B304" s="206" t="s">
        <v>646</v>
      </c>
      <c r="C304" s="207" t="s">
        <v>634</v>
      </c>
      <c r="D304" s="207" t="s">
        <v>634</v>
      </c>
      <c r="E304" s="210" t="s">
        <v>635</v>
      </c>
      <c r="F304" s="102" t="str">
        <f t="shared" si="18"/>
        <v>T(1</v>
      </c>
    </row>
    <row r="305" spans="2:6" ht="17">
      <c r="B305" s="206" t="s">
        <v>647</v>
      </c>
      <c r="C305" s="207" t="s">
        <v>634</v>
      </c>
      <c r="D305" s="207" t="s">
        <v>634</v>
      </c>
      <c r="E305" s="210" t="s">
        <v>635</v>
      </c>
      <c r="F305" s="102" t="str">
        <f t="shared" si="18"/>
        <v>T(1</v>
      </c>
    </row>
    <row r="306" spans="2:6" ht="17">
      <c r="B306" s="206" t="s">
        <v>648</v>
      </c>
      <c r="C306" s="207" t="s">
        <v>634</v>
      </c>
      <c r="D306" s="207" t="s">
        <v>634</v>
      </c>
      <c r="E306" s="210" t="s">
        <v>635</v>
      </c>
      <c r="F306" s="102" t="str">
        <f t="shared" si="18"/>
        <v>T(1A</v>
      </c>
    </row>
    <row r="307" spans="2:6" ht="17">
      <c r="B307" s="206" t="s">
        <v>649</v>
      </c>
      <c r="C307" s="207" t="s">
        <v>634</v>
      </c>
      <c r="D307" s="207" t="s">
        <v>634</v>
      </c>
      <c r="E307" s="210" t="s">
        <v>635</v>
      </c>
      <c r="F307" s="102" t="str">
        <f t="shared" si="18"/>
        <v>T(1</v>
      </c>
    </row>
    <row r="308" spans="2:6" ht="17">
      <c r="B308" s="206" t="s">
        <v>650</v>
      </c>
      <c r="C308" s="207" t="s">
        <v>46</v>
      </c>
      <c r="D308" s="207" t="s">
        <v>46</v>
      </c>
      <c r="E308" s="210" t="s">
        <v>651</v>
      </c>
      <c r="F308" s="102" t="str">
        <f t="shared" si="18"/>
        <v>GOA</v>
      </c>
    </row>
    <row r="309" spans="2:6" ht="17">
      <c r="B309" s="206" t="s">
        <v>652</v>
      </c>
      <c r="C309" s="207" t="s">
        <v>653</v>
      </c>
      <c r="D309" s="207" t="s">
        <v>653</v>
      </c>
      <c r="E309" s="210" t="s">
        <v>654</v>
      </c>
      <c r="F309" s="102" t="str">
        <f t="shared" si="18"/>
        <v>PC-B</v>
      </c>
    </row>
    <row r="310" spans="2:6" ht="17">
      <c r="B310" s="206" t="s">
        <v>655</v>
      </c>
      <c r="C310" s="207" t="s">
        <v>49</v>
      </c>
      <c r="D310" s="207" t="s">
        <v>49</v>
      </c>
      <c r="E310" s="210" t="s">
        <v>651</v>
      </c>
      <c r="F310" s="102" t="str">
        <f t="shared" si="18"/>
        <v>CBB</v>
      </c>
    </row>
    <row r="311" spans="2:6" ht="17">
      <c r="B311" s="206" t="s">
        <v>656</v>
      </c>
      <c r="C311" s="207" t="s">
        <v>657</v>
      </c>
      <c r="D311" s="207" t="s">
        <v>657</v>
      </c>
      <c r="E311" s="210">
        <v>0</v>
      </c>
      <c r="F311" s="102" t="str">
        <f t="shared" si="18"/>
        <v>JEA</v>
      </c>
    </row>
    <row r="312" spans="2:6" ht="17">
      <c r="B312" s="206" t="s">
        <v>658</v>
      </c>
      <c r="C312" s="207" t="s">
        <v>120</v>
      </c>
      <c r="D312" s="207" t="s">
        <v>120</v>
      </c>
      <c r="E312" s="210" t="s">
        <v>659</v>
      </c>
      <c r="F312" s="102" t="str">
        <f t="shared" si="18"/>
        <v>AM</v>
      </c>
    </row>
    <row r="313" spans="2:6" ht="17">
      <c r="B313" s="206" t="s">
        <v>660</v>
      </c>
      <c r="C313" s="207" t="s">
        <v>32</v>
      </c>
      <c r="D313" s="207" t="s">
        <v>32</v>
      </c>
      <c r="E313" s="210" t="s">
        <v>661</v>
      </c>
      <c r="F313" s="102" t="str">
        <f t="shared" si="18"/>
        <v>H</v>
      </c>
    </row>
    <row r="314" spans="2:6" ht="17">
      <c r="B314" s="206" t="s">
        <v>662</v>
      </c>
      <c r="C314" s="207" t="s">
        <v>588</v>
      </c>
      <c r="D314" s="207" t="s">
        <v>588</v>
      </c>
      <c r="E314" s="210" t="s">
        <v>663</v>
      </c>
      <c r="F314" s="102" t="str">
        <f t="shared" si="18"/>
        <v>APS</v>
      </c>
    </row>
    <row r="315" spans="2:6" ht="17">
      <c r="B315" s="206" t="s">
        <v>664</v>
      </c>
      <c r="C315" s="207" t="s">
        <v>46</v>
      </c>
      <c r="D315" s="207" t="s">
        <v>46</v>
      </c>
      <c r="E315" s="210">
        <v>0</v>
      </c>
      <c r="F315" s="102" t="str">
        <f t="shared" si="18"/>
        <v>MO</v>
      </c>
    </row>
    <row r="316" spans="2:6" ht="17">
      <c r="B316" s="206" t="s">
        <v>665</v>
      </c>
      <c r="C316" s="207" t="s">
        <v>666</v>
      </c>
      <c r="D316" s="207" t="s">
        <v>666</v>
      </c>
      <c r="E316" s="210" t="s">
        <v>667</v>
      </c>
      <c r="F316" s="102" t="str">
        <f t="shared" si="18"/>
        <v>JA</v>
      </c>
    </row>
    <row r="317" spans="2:6" ht="17">
      <c r="B317" s="206" t="s">
        <v>668</v>
      </c>
      <c r="C317" s="207" t="s">
        <v>669</v>
      </c>
      <c r="D317" s="207" t="s">
        <v>669</v>
      </c>
      <c r="E317" s="210" t="s">
        <v>670</v>
      </c>
      <c r="F317" s="102" t="str">
        <f t="shared" si="18"/>
        <v>MTB</v>
      </c>
    </row>
    <row r="318" spans="2:6" ht="17">
      <c r="B318" s="206" t="s">
        <v>402</v>
      </c>
      <c r="C318" s="207" t="s">
        <v>671</v>
      </c>
      <c r="D318" s="207" t="s">
        <v>671</v>
      </c>
      <c r="E318" s="210" t="s">
        <v>672</v>
      </c>
      <c r="F318" s="102" t="str">
        <f t="shared" si="18"/>
        <v>M</v>
      </c>
    </row>
    <row r="319" spans="2:6" ht="17">
      <c r="B319" s="206" t="s">
        <v>673</v>
      </c>
      <c r="C319" s="207" t="s">
        <v>671</v>
      </c>
      <c r="D319" s="207" t="s">
        <v>671</v>
      </c>
      <c r="E319" s="210" t="s">
        <v>674</v>
      </c>
      <c r="F319" s="102" t="str">
        <f t="shared" si="18"/>
        <v>JA</v>
      </c>
    </row>
    <row r="320" spans="2:6" ht="17">
      <c r="B320" s="206" t="s">
        <v>675</v>
      </c>
      <c r="C320" s="207" t="s">
        <v>671</v>
      </c>
      <c r="D320" s="207" t="s">
        <v>671</v>
      </c>
      <c r="E320" s="210">
        <v>0</v>
      </c>
      <c r="F320" s="102" t="str">
        <f t="shared" si="18"/>
        <v>EB</v>
      </c>
    </row>
    <row r="321" spans="2:6" ht="17">
      <c r="B321" s="206" t="s">
        <v>676</v>
      </c>
      <c r="C321" s="207" t="s">
        <v>69</v>
      </c>
      <c r="D321" s="207" t="s">
        <v>69</v>
      </c>
      <c r="E321" s="210">
        <v>0</v>
      </c>
      <c r="F321" s="102" t="str">
        <f t="shared" si="18"/>
        <v>KNF</v>
      </c>
    </row>
    <row r="322" spans="2:6" ht="17">
      <c r="B322" s="206" t="s">
        <v>677</v>
      </c>
      <c r="C322" s="207" t="s">
        <v>51</v>
      </c>
      <c r="D322" s="207" t="s">
        <v>51</v>
      </c>
      <c r="E322" s="210">
        <v>0</v>
      </c>
      <c r="F322" s="102" t="str">
        <f t="shared" si="18"/>
        <v>MV</v>
      </c>
    </row>
    <row r="323" spans="2:6" ht="17">
      <c r="B323" s="206" t="s">
        <v>678</v>
      </c>
      <c r="C323" s="207" t="s">
        <v>32</v>
      </c>
      <c r="D323" s="207" t="s">
        <v>32</v>
      </c>
      <c r="E323" s="210">
        <v>0</v>
      </c>
      <c r="F323" s="102" t="str">
        <f t="shared" ref="F323:F386" si="19">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9"/>
        <v>BICL</v>
      </c>
    </row>
    <row r="325" spans="2:6" ht="17">
      <c r="B325" s="206" t="s">
        <v>681</v>
      </c>
      <c r="C325" s="207" t="s">
        <v>170</v>
      </c>
      <c r="D325" s="207" t="s">
        <v>170</v>
      </c>
      <c r="E325" s="210">
        <v>0</v>
      </c>
      <c r="F325" s="102" t="str">
        <f t="shared" si="19"/>
        <v>TP</v>
      </c>
    </row>
    <row r="326" spans="2:6" ht="17">
      <c r="B326" s="206" t="s">
        <v>682</v>
      </c>
      <c r="C326" s="207" t="s">
        <v>683</v>
      </c>
      <c r="D326" s="207" t="s">
        <v>683</v>
      </c>
      <c r="E326" s="210">
        <v>0</v>
      </c>
      <c r="F326" s="102" t="str">
        <f t="shared" si="19"/>
        <v>MP(</v>
      </c>
    </row>
    <row r="327" spans="2:6" ht="17">
      <c r="B327" s="206" t="s">
        <v>685</v>
      </c>
      <c r="C327" s="207" t="s">
        <v>170</v>
      </c>
      <c r="D327" s="207" t="s">
        <v>170</v>
      </c>
      <c r="E327" s="210">
        <v>0</v>
      </c>
      <c r="F327" s="102" t="str">
        <f t="shared" si="19"/>
        <v>MP(</v>
      </c>
    </row>
    <row r="328" spans="2:6" ht="17">
      <c r="B328" s="206" t="s">
        <v>686</v>
      </c>
      <c r="C328" s="207" t="s">
        <v>120</v>
      </c>
      <c r="D328" s="207" t="s">
        <v>120</v>
      </c>
      <c r="E328" s="210" t="s">
        <v>687</v>
      </c>
      <c r="F328" s="102" t="str">
        <f t="shared" si="19"/>
        <v>JT</v>
      </c>
    </row>
    <row r="329" spans="2:6" ht="17">
      <c r="B329" s="206" t="s">
        <v>688</v>
      </c>
      <c r="C329" s="207" t="s">
        <v>337</v>
      </c>
      <c r="D329" s="207" t="s">
        <v>337</v>
      </c>
      <c r="E329" s="210" t="s">
        <v>689</v>
      </c>
      <c r="F329" s="102" t="str">
        <f t="shared" si="19"/>
        <v>GC</v>
      </c>
    </row>
    <row r="330" spans="2:6" ht="17">
      <c r="B330" s="206" t="s">
        <v>690</v>
      </c>
      <c r="C330" s="207" t="s">
        <v>691</v>
      </c>
      <c r="D330" s="207" t="s">
        <v>691</v>
      </c>
      <c r="E330" s="210">
        <v>0</v>
      </c>
      <c r="F330" s="102" t="str">
        <f t="shared" si="19"/>
        <v>JSS</v>
      </c>
    </row>
    <row r="331" spans="2:6" ht="34">
      <c r="B331" s="206" t="s">
        <v>692</v>
      </c>
      <c r="C331" s="207" t="s">
        <v>693</v>
      </c>
      <c r="D331" s="207" t="s">
        <v>693</v>
      </c>
      <c r="E331" s="210" t="s">
        <v>694</v>
      </c>
      <c r="F331" s="102" t="str">
        <f t="shared" si="19"/>
        <v>EZ</v>
      </c>
    </row>
    <row r="332" spans="2:6" ht="17">
      <c r="B332" s="206" t="s">
        <v>695</v>
      </c>
      <c r="C332" s="207" t="s">
        <v>696</v>
      </c>
      <c r="D332" s="207" t="s">
        <v>696</v>
      </c>
      <c r="E332" s="210" t="s">
        <v>697</v>
      </c>
      <c r="F332" s="102" t="str">
        <f t="shared" si="19"/>
        <v>BLBA</v>
      </c>
    </row>
    <row r="333" spans="2:6" ht="17">
      <c r="B333" s="206" t="s">
        <v>698</v>
      </c>
      <c r="C333" s="207" t="s">
        <v>46</v>
      </c>
      <c r="D333" s="207" t="s">
        <v>46</v>
      </c>
      <c r="E333" s="210" t="s">
        <v>699</v>
      </c>
      <c r="F333" s="102" t="str">
        <f t="shared" si="19"/>
        <v>DHBA</v>
      </c>
    </row>
    <row r="334" spans="2:6" ht="17">
      <c r="B334" s="206" t="s">
        <v>700</v>
      </c>
      <c r="C334" s="207" t="s">
        <v>701</v>
      </c>
      <c r="D334" s="207" t="s">
        <v>701</v>
      </c>
      <c r="E334" s="210" t="s">
        <v>702</v>
      </c>
      <c r="F334" s="102" t="str">
        <f t="shared" si="19"/>
        <v>KD</v>
      </c>
    </row>
    <row r="335" spans="2:6" ht="17">
      <c r="B335" s="206" t="s">
        <v>703</v>
      </c>
      <c r="C335" s="207" t="s">
        <v>704</v>
      </c>
      <c r="D335" s="207" t="s">
        <v>704</v>
      </c>
      <c r="E335" s="210" t="s">
        <v>680</v>
      </c>
      <c r="F335" s="102" t="str">
        <f t="shared" si="19"/>
        <v>BIR1</v>
      </c>
    </row>
    <row r="336" spans="2:6" ht="17">
      <c r="B336" s="206" t="s">
        <v>705</v>
      </c>
      <c r="C336" s="207" t="s">
        <v>704</v>
      </c>
      <c r="D336" s="207" t="s">
        <v>704</v>
      </c>
      <c r="E336" s="210" t="s">
        <v>680</v>
      </c>
      <c r="F336" s="102" t="str">
        <f t="shared" si="19"/>
        <v>BIR2</v>
      </c>
    </row>
    <row r="337" spans="2:6" ht="17">
      <c r="B337" s="206" t="s">
        <v>706</v>
      </c>
      <c r="C337" s="207" t="s">
        <v>707</v>
      </c>
      <c r="D337" s="207" t="s">
        <v>707</v>
      </c>
      <c r="E337" s="210" t="s">
        <v>708</v>
      </c>
      <c r="F337" s="102" t="str">
        <f t="shared" si="19"/>
        <v>R</v>
      </c>
    </row>
    <row r="338" spans="2:6" ht="34">
      <c r="B338" s="206" t="s">
        <v>709</v>
      </c>
      <c r="C338" s="207" t="s">
        <v>710</v>
      </c>
      <c r="D338" s="207" t="s">
        <v>710</v>
      </c>
      <c r="E338" s="210" t="s">
        <v>711</v>
      </c>
      <c r="F338" s="102" t="str">
        <f t="shared" si="19"/>
        <v>MSC</v>
      </c>
    </row>
    <row r="339" spans="2:6" ht="17">
      <c r="B339" s="206" t="s">
        <v>712</v>
      </c>
      <c r="C339" s="207" t="s">
        <v>295</v>
      </c>
      <c r="D339" s="207" t="s">
        <v>295</v>
      </c>
      <c r="E339" s="210">
        <v>0</v>
      </c>
      <c r="F339" s="102" t="str">
        <f t="shared" si="19"/>
        <v>D</v>
      </c>
    </row>
    <row r="340" spans="2:6" ht="17">
      <c r="B340" s="206" t="s">
        <v>713</v>
      </c>
      <c r="C340" s="207" t="s">
        <v>389</v>
      </c>
      <c r="D340" s="207" t="s">
        <v>389</v>
      </c>
      <c r="E340" s="210" t="s">
        <v>714</v>
      </c>
      <c r="F340" s="102" t="str">
        <f t="shared" si="19"/>
        <v>SL</v>
      </c>
    </row>
    <row r="341" spans="2:6" ht="17">
      <c r="B341" s="206" t="s">
        <v>715</v>
      </c>
      <c r="C341" s="207" t="s">
        <v>716</v>
      </c>
      <c r="D341" s="207" t="s">
        <v>716</v>
      </c>
      <c r="E341" s="210" t="s">
        <v>717</v>
      </c>
      <c r="F341" s="102" t="str">
        <f t="shared" si="19"/>
        <v>MGD</v>
      </c>
    </row>
    <row r="342" spans="2:6" ht="17">
      <c r="B342" s="206" t="s">
        <v>718</v>
      </c>
      <c r="C342" s="207" t="s">
        <v>46</v>
      </c>
      <c r="D342" s="207" t="s">
        <v>46</v>
      </c>
      <c r="E342" s="210">
        <v>0</v>
      </c>
      <c r="F342" s="102" t="str">
        <f t="shared" si="19"/>
        <v>DB</v>
      </c>
    </row>
    <row r="343" spans="2:6" ht="17">
      <c r="B343" s="206" t="s">
        <v>719</v>
      </c>
      <c r="C343" s="207" t="s">
        <v>32</v>
      </c>
      <c r="D343" s="207" t="s">
        <v>32</v>
      </c>
      <c r="E343" s="210" t="s">
        <v>720</v>
      </c>
      <c r="F343" s="102" t="str">
        <f t="shared" si="19"/>
        <v>PA</v>
      </c>
    </row>
    <row r="344" spans="2:6" ht="17">
      <c r="B344" s="206" t="s">
        <v>721</v>
      </c>
      <c r="C344" s="207" t="s">
        <v>93</v>
      </c>
      <c r="D344" s="207" t="s">
        <v>93</v>
      </c>
      <c r="E344" s="210">
        <v>0</v>
      </c>
      <c r="F344" s="102" t="str">
        <f t="shared" si="19"/>
        <v>TSNW</v>
      </c>
    </row>
    <row r="345" spans="2:6" ht="17">
      <c r="B345" s="206" t="s">
        <v>722</v>
      </c>
      <c r="C345" s="207" t="s">
        <v>332</v>
      </c>
      <c r="D345" s="207" t="s">
        <v>332</v>
      </c>
      <c r="E345" s="210">
        <v>0</v>
      </c>
      <c r="F345" s="102" t="str">
        <f t="shared" si="19"/>
        <v>FADA</v>
      </c>
    </row>
    <row r="346" spans="2:6" ht="17">
      <c r="B346" s="206" t="s">
        <v>723</v>
      </c>
      <c r="C346" s="207" t="s">
        <v>724</v>
      </c>
      <c r="D346" s="207" t="s">
        <v>724</v>
      </c>
      <c r="E346" s="210" t="s">
        <v>725</v>
      </c>
      <c r="F346" s="102" t="str">
        <f t="shared" si="19"/>
        <v>SH</v>
      </c>
    </row>
    <row r="347" spans="2:6" ht="17">
      <c r="B347" s="206" t="s">
        <v>726</v>
      </c>
      <c r="C347" s="207" t="s">
        <v>835</v>
      </c>
      <c r="D347" s="207" t="s">
        <v>835</v>
      </c>
      <c r="E347" s="210">
        <v>0</v>
      </c>
      <c r="F347" s="102" t="str">
        <f t="shared" si="19"/>
        <v>BO</v>
      </c>
    </row>
    <row r="348" spans="2:6" ht="17">
      <c r="B348" s="206" t="s">
        <v>727</v>
      </c>
      <c r="C348" s="207" t="s">
        <v>684</v>
      </c>
      <c r="D348" s="207" t="s">
        <v>684</v>
      </c>
      <c r="E348" s="210" t="s">
        <v>728</v>
      </c>
      <c r="F348" s="102" t="str">
        <f t="shared" si="19"/>
        <v>FE</v>
      </c>
    </row>
    <row r="349" spans="2:6" ht="17">
      <c r="B349" s="206" t="s">
        <v>729</v>
      </c>
      <c r="C349" s="207" t="s">
        <v>730</v>
      </c>
      <c r="D349" s="207" t="s">
        <v>730</v>
      </c>
      <c r="E349" s="210" t="s">
        <v>731</v>
      </c>
      <c r="F349" s="102" t="str">
        <f t="shared" si="19"/>
        <v>E-IC</v>
      </c>
    </row>
    <row r="350" spans="2:6" ht="17">
      <c r="B350" s="206" t="s">
        <v>732</v>
      </c>
      <c r="C350" s="207" t="s">
        <v>170</v>
      </c>
      <c r="D350" s="207" t="s">
        <v>170</v>
      </c>
      <c r="E350" s="210" t="s">
        <v>733</v>
      </c>
      <c r="F350" s="102" t="str">
        <f t="shared" si="19"/>
        <v>MTA</v>
      </c>
    </row>
    <row r="351" spans="2:6" ht="17">
      <c r="B351" s="206" t="s">
        <v>734</v>
      </c>
      <c r="C351" s="207" t="s">
        <v>735</v>
      </c>
      <c r="D351" s="207" t="s">
        <v>735</v>
      </c>
      <c r="E351" s="210" t="s">
        <v>736</v>
      </c>
      <c r="F351" s="102" t="str">
        <f t="shared" si="19"/>
        <v>MIT</v>
      </c>
    </row>
    <row r="352" spans="2:6" ht="17">
      <c r="B352" s="206" t="s">
        <v>737</v>
      </c>
      <c r="C352" s="207" t="s">
        <v>60</v>
      </c>
      <c r="D352" s="207" t="s">
        <v>60</v>
      </c>
      <c r="E352" s="210" t="s">
        <v>61</v>
      </c>
      <c r="F352" s="102" t="str">
        <f t="shared" si="19"/>
        <v>NR</v>
      </c>
    </row>
    <row r="353" spans="2:7" ht="17">
      <c r="B353" s="206" t="s">
        <v>738</v>
      </c>
      <c r="C353" s="207" t="s">
        <v>120</v>
      </c>
      <c r="D353" s="207" t="s">
        <v>120</v>
      </c>
      <c r="E353" s="210" t="s">
        <v>739</v>
      </c>
      <c r="F353" s="102" t="str">
        <f t="shared" si="19"/>
        <v>VKK</v>
      </c>
    </row>
    <row r="354" spans="2:7" ht="17">
      <c r="B354" s="206" t="s">
        <v>740</v>
      </c>
      <c r="C354" s="207" t="s">
        <v>438</v>
      </c>
      <c r="D354" s="207" t="s">
        <v>438</v>
      </c>
      <c r="E354" s="210">
        <v>0</v>
      </c>
      <c r="F354" s="102" t="str">
        <f t="shared" si="19"/>
        <v>VL</v>
      </c>
    </row>
    <row r="355" spans="2:7" ht="17">
      <c r="B355" s="206" t="s">
        <v>741</v>
      </c>
      <c r="C355" s="207" t="s">
        <v>742</v>
      </c>
      <c r="D355" s="207" t="s">
        <v>742</v>
      </c>
      <c r="E355" s="210" t="s">
        <v>743</v>
      </c>
      <c r="F355" s="102" t="str">
        <f t="shared" si="19"/>
        <v>FB</v>
      </c>
    </row>
    <row r="356" spans="2:7" ht="17">
      <c r="B356" s="206" t="s">
        <v>744</v>
      </c>
      <c r="C356" s="207" t="s">
        <v>280</v>
      </c>
      <c r="D356" s="207" t="s">
        <v>280</v>
      </c>
      <c r="E356" s="210">
        <v>0</v>
      </c>
      <c r="F356" s="102" t="str">
        <f t="shared" si="19"/>
        <v>LOU</v>
      </c>
    </row>
    <row r="357" spans="2:7" ht="17">
      <c r="B357" s="206" t="s">
        <v>745</v>
      </c>
      <c r="C357" s="207" t="s">
        <v>746</v>
      </c>
      <c r="D357" s="207" t="s">
        <v>746</v>
      </c>
      <c r="E357" s="210" t="s">
        <v>747</v>
      </c>
      <c r="F357" s="102" t="str">
        <f t="shared" si="19"/>
        <v>JT</v>
      </c>
    </row>
    <row r="358" spans="2:7" ht="17">
      <c r="B358" s="206" t="s">
        <v>748</v>
      </c>
      <c r="C358" s="207" t="s">
        <v>72</v>
      </c>
      <c r="D358" s="207" t="s">
        <v>72</v>
      </c>
      <c r="E358" s="210" t="s">
        <v>260</v>
      </c>
      <c r="F358" s="102" t="str">
        <f t="shared" si="19"/>
        <v>NGLH</v>
      </c>
    </row>
    <row r="359" spans="2:7" ht="17">
      <c r="B359" s="206" t="s">
        <v>749</v>
      </c>
      <c r="C359" s="207" t="s">
        <v>750</v>
      </c>
      <c r="D359" s="207" t="s">
        <v>750</v>
      </c>
      <c r="E359" s="210">
        <v>0</v>
      </c>
      <c r="F359" s="102" t="str">
        <f t="shared" si="19"/>
        <v>JAH</v>
      </c>
    </row>
    <row r="360" spans="2:7" ht="17">
      <c r="B360" s="206" t="s">
        <v>751</v>
      </c>
      <c r="C360" s="207" t="s">
        <v>752</v>
      </c>
      <c r="D360" s="207" t="s">
        <v>752</v>
      </c>
      <c r="E360" s="210" t="s">
        <v>753</v>
      </c>
      <c r="F360" s="102" t="str">
        <f t="shared" si="19"/>
        <v>DC</v>
      </c>
    </row>
    <row r="361" spans="2:7" ht="17">
      <c r="B361" s="206" t="s">
        <v>1282</v>
      </c>
      <c r="C361" s="207" t="s">
        <v>216</v>
      </c>
      <c r="D361" s="207" t="s">
        <v>216</v>
      </c>
      <c r="E361" s="210" t="s">
        <v>309</v>
      </c>
      <c r="F361" s="102" t="str">
        <f t="shared" si="19"/>
        <v>SSE</v>
      </c>
      <c r="G361" s="208" t="s">
        <v>1352</v>
      </c>
    </row>
    <row r="362" spans="2:7" ht="17">
      <c r="B362" s="206" t="s">
        <v>754</v>
      </c>
      <c r="C362" s="207" t="s">
        <v>300</v>
      </c>
      <c r="D362" s="207" t="s">
        <v>300</v>
      </c>
      <c r="E362" s="210">
        <v>0</v>
      </c>
      <c r="F362" s="102" t="str">
        <f t="shared" si="19"/>
        <v>D</v>
      </c>
    </row>
    <row r="363" spans="2:7" ht="17">
      <c r="B363" s="206" t="s">
        <v>755</v>
      </c>
      <c r="C363" s="207" t="s">
        <v>752</v>
      </c>
      <c r="D363" s="207" t="s">
        <v>752</v>
      </c>
      <c r="E363" s="210">
        <v>0</v>
      </c>
      <c r="F363" s="102" t="str">
        <f t="shared" si="19"/>
        <v>AMW</v>
      </c>
    </row>
    <row r="364" spans="2:7" ht="17">
      <c r="B364" s="206" t="s">
        <v>756</v>
      </c>
      <c r="C364" s="207" t="s">
        <v>32</v>
      </c>
      <c r="D364" s="207" t="s">
        <v>32</v>
      </c>
      <c r="E364" s="210">
        <v>0</v>
      </c>
      <c r="F364" s="102" t="str">
        <f t="shared" si="19"/>
        <v>VN</v>
      </c>
    </row>
    <row r="365" spans="2:7" ht="17">
      <c r="B365" s="206" t="s">
        <v>757</v>
      </c>
      <c r="C365" s="207" t="s">
        <v>49</v>
      </c>
      <c r="D365" s="207" t="s">
        <v>49</v>
      </c>
      <c r="E365" s="210">
        <v>0</v>
      </c>
      <c r="F365" s="102" t="str">
        <f t="shared" si="19"/>
        <v>RA</v>
      </c>
    </row>
    <row r="366" spans="2:7" ht="17">
      <c r="B366" s="206" t="s">
        <v>758</v>
      </c>
      <c r="C366" s="207" t="s">
        <v>120</v>
      </c>
      <c r="D366" s="207" t="s">
        <v>120</v>
      </c>
      <c r="E366" s="210">
        <v>0</v>
      </c>
      <c r="F366" s="102" t="str">
        <f t="shared" si="19"/>
        <v>MEM</v>
      </c>
    </row>
    <row r="367" spans="2:7" ht="17">
      <c r="B367" s="206" t="s">
        <v>759</v>
      </c>
      <c r="C367" s="207" t="s">
        <v>581</v>
      </c>
      <c r="D367" s="207" t="s">
        <v>581</v>
      </c>
      <c r="E367" s="210">
        <v>0</v>
      </c>
      <c r="F367" s="102" t="str">
        <f t="shared" si="19"/>
        <v>MAG</v>
      </c>
    </row>
    <row r="368" spans="2:7" ht="17">
      <c r="B368" s="206" t="s">
        <v>760</v>
      </c>
      <c r="C368" s="207" t="s">
        <v>761</v>
      </c>
      <c r="D368" s="207" t="s">
        <v>761</v>
      </c>
      <c r="E368" s="210" t="s">
        <v>1545</v>
      </c>
      <c r="F368" s="102" t="str">
        <f t="shared" si="19"/>
        <v>BS</v>
      </c>
      <c r="G368" s="208" t="s">
        <v>1550</v>
      </c>
    </row>
    <row r="369" spans="2:6" ht="17">
      <c r="B369" s="206" t="s">
        <v>762</v>
      </c>
      <c r="C369" s="207" t="s">
        <v>627</v>
      </c>
      <c r="D369" s="207" t="s">
        <v>627</v>
      </c>
      <c r="E369" s="210" t="s">
        <v>763</v>
      </c>
      <c r="F369" s="102" t="str">
        <f t="shared" si="19"/>
        <v>SA-Q</v>
      </c>
    </row>
    <row r="370" spans="2:6" ht="17">
      <c r="B370" s="206" t="s">
        <v>764</v>
      </c>
      <c r="C370" s="207" t="s">
        <v>409</v>
      </c>
      <c r="D370" s="207" t="s">
        <v>409</v>
      </c>
      <c r="E370" s="210">
        <v>0</v>
      </c>
      <c r="F370" s="102" t="str">
        <f t="shared" si="19"/>
        <v>NO</v>
      </c>
    </row>
    <row r="371" spans="2:6" ht="17">
      <c r="B371" s="206" t="s">
        <v>765</v>
      </c>
      <c r="C371" s="207" t="s">
        <v>766</v>
      </c>
      <c r="D371" s="207" t="s">
        <v>766</v>
      </c>
      <c r="E371" s="210">
        <v>0</v>
      </c>
      <c r="F371" s="102" t="str">
        <f t="shared" si="19"/>
        <v>PI</v>
      </c>
    </row>
    <row r="372" spans="2:6" ht="17">
      <c r="B372" s="206" t="s">
        <v>768</v>
      </c>
      <c r="C372" s="207" t="s">
        <v>426</v>
      </c>
      <c r="D372" s="207" t="s">
        <v>426</v>
      </c>
      <c r="E372" s="210" t="s">
        <v>769</v>
      </c>
      <c r="F372" s="102" t="str">
        <f t="shared" si="19"/>
        <v>PG-P</v>
      </c>
    </row>
    <row r="373" spans="2:6" ht="17">
      <c r="B373" s="206" t="s">
        <v>772</v>
      </c>
      <c r="C373" s="207" t="s">
        <v>773</v>
      </c>
      <c r="D373" s="207" t="s">
        <v>773</v>
      </c>
      <c r="E373" s="210">
        <v>0</v>
      </c>
      <c r="F373" s="102" t="str">
        <f t="shared" si="19"/>
        <v>TO</v>
      </c>
    </row>
    <row r="374" spans="2:6" ht="17">
      <c r="B374" s="206" t="s">
        <v>774</v>
      </c>
      <c r="C374" s="207" t="s">
        <v>775</v>
      </c>
      <c r="D374" s="207" t="s">
        <v>775</v>
      </c>
      <c r="E374" s="210">
        <v>0</v>
      </c>
      <c r="F374" s="102" t="str">
        <f t="shared" si="19"/>
        <v>OL</v>
      </c>
    </row>
    <row r="375" spans="2:6" ht="17">
      <c r="B375" s="206" t="s">
        <v>776</v>
      </c>
      <c r="C375" s="207" t="s">
        <v>777</v>
      </c>
      <c r="D375" s="207" t="s">
        <v>777</v>
      </c>
      <c r="E375" s="210">
        <v>0</v>
      </c>
      <c r="F375" s="102" t="str">
        <f t="shared" si="19"/>
        <v>PPF</v>
      </c>
    </row>
    <row r="376" spans="2:6" ht="17">
      <c r="B376" s="206" t="s">
        <v>778</v>
      </c>
      <c r="C376" s="207" t="s">
        <v>779</v>
      </c>
      <c r="D376" s="207" t="s">
        <v>779</v>
      </c>
      <c r="E376" s="210" t="s">
        <v>780</v>
      </c>
      <c r="F376" s="102" t="str">
        <f t="shared" si="19"/>
        <v>SCL</v>
      </c>
    </row>
    <row r="377" spans="2:6" ht="17">
      <c r="B377" s="206" t="s">
        <v>834</v>
      </c>
      <c r="C377" s="207" t="s">
        <v>123</v>
      </c>
      <c r="D377" s="207" t="s">
        <v>123</v>
      </c>
      <c r="E377" s="210">
        <v>0</v>
      </c>
      <c r="F377" s="102" t="str">
        <f t="shared" si="19"/>
        <v>U</v>
      </c>
    </row>
    <row r="378" spans="2:6" ht="17">
      <c r="B378" s="206" t="s">
        <v>781</v>
      </c>
      <c r="C378" s="207" t="s">
        <v>684</v>
      </c>
      <c r="D378" s="207" t="s">
        <v>684</v>
      </c>
      <c r="E378" s="210">
        <v>0</v>
      </c>
      <c r="F378" s="102" t="str">
        <f t="shared" si="19"/>
        <v>MGA</v>
      </c>
    </row>
    <row r="379" spans="2:6" ht="17">
      <c r="B379" s="206" t="s">
        <v>782</v>
      </c>
      <c r="C379" s="207" t="s">
        <v>691</v>
      </c>
      <c r="D379" s="207" t="s">
        <v>691</v>
      </c>
      <c r="E379" s="210">
        <v>0</v>
      </c>
      <c r="F379" s="102" t="str">
        <f t="shared" si="19"/>
        <v>AAL</v>
      </c>
    </row>
    <row r="380" spans="2:6" ht="17">
      <c r="B380" s="206" t="s">
        <v>833</v>
      </c>
      <c r="C380" s="207" t="s">
        <v>784</v>
      </c>
      <c r="D380" s="207" t="s">
        <v>784</v>
      </c>
      <c r="E380" s="210">
        <v>0</v>
      </c>
      <c r="F380" s="102" t="str">
        <f t="shared" si="19"/>
        <v>RHPA</v>
      </c>
    </row>
    <row r="381" spans="2:6" ht="17">
      <c r="B381" s="206" t="s">
        <v>783</v>
      </c>
      <c r="C381" s="207" t="s">
        <v>784</v>
      </c>
      <c r="D381" s="207" t="s">
        <v>784</v>
      </c>
      <c r="E381" s="210">
        <v>0</v>
      </c>
      <c r="F381" s="102" t="str">
        <f t="shared" si="19"/>
        <v>RPAM</v>
      </c>
    </row>
    <row r="382" spans="2:6" ht="17">
      <c r="B382" s="206" t="s">
        <v>785</v>
      </c>
      <c r="C382" s="207" t="s">
        <v>786</v>
      </c>
      <c r="D382" s="207" t="s">
        <v>786</v>
      </c>
      <c r="E382" s="210" t="s">
        <v>787</v>
      </c>
      <c r="F382" s="102" t="str">
        <f t="shared" si="19"/>
        <v>NAC</v>
      </c>
    </row>
    <row r="383" spans="2:6" ht="17">
      <c r="B383" s="206" t="s">
        <v>832</v>
      </c>
      <c r="C383" s="207" t="s">
        <v>786</v>
      </c>
      <c r="D383" s="207" t="s">
        <v>786</v>
      </c>
      <c r="E383" s="210" t="s">
        <v>787</v>
      </c>
      <c r="F383" s="102" t="str">
        <f t="shared" si="19"/>
        <v>NAC</v>
      </c>
    </row>
    <row r="384" spans="2:6" ht="17">
      <c r="B384" s="206" t="s">
        <v>788</v>
      </c>
      <c r="C384" s="207" t="s">
        <v>831</v>
      </c>
      <c r="D384" s="207" t="s">
        <v>831</v>
      </c>
      <c r="E384" s="210">
        <v>0</v>
      </c>
      <c r="F384" s="102" t="str">
        <f t="shared" si="19"/>
        <v>P</v>
      </c>
    </row>
    <row r="385" spans="2:6" ht="17">
      <c r="B385" s="206" t="s">
        <v>789</v>
      </c>
      <c r="C385" s="207" t="s">
        <v>44</v>
      </c>
      <c r="D385" s="207" t="s">
        <v>44</v>
      </c>
      <c r="E385" s="210" t="s">
        <v>790</v>
      </c>
      <c r="F385" s="102" t="str">
        <f t="shared" si="19"/>
        <v>AA</v>
      </c>
    </row>
    <row r="386" spans="2:6" ht="17">
      <c r="B386" s="206" t="s">
        <v>791</v>
      </c>
      <c r="C386" s="207" t="s">
        <v>792</v>
      </c>
      <c r="D386" s="207" t="s">
        <v>792</v>
      </c>
      <c r="E386" s="210">
        <v>0</v>
      </c>
      <c r="F386" s="102" t="str">
        <f t="shared" si="19"/>
        <v>DLPR</v>
      </c>
    </row>
    <row r="387" spans="2:6" ht="17">
      <c r="B387" s="206" t="s">
        <v>793</v>
      </c>
      <c r="C387" s="207" t="s">
        <v>794</v>
      </c>
      <c r="D387" s="207" t="s">
        <v>794</v>
      </c>
      <c r="E387" s="210">
        <v>0</v>
      </c>
      <c r="F387" s="102" t="str">
        <f t="shared" ref="F387:F450" si="20">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20"/>
        <v>BSCL</v>
      </c>
    </row>
    <row r="389" spans="2:6" ht="17">
      <c r="B389" s="206" t="s">
        <v>829</v>
      </c>
      <c r="C389" s="207" t="s">
        <v>828</v>
      </c>
      <c r="D389" s="207" t="s">
        <v>828</v>
      </c>
      <c r="E389" s="210">
        <v>0</v>
      </c>
      <c r="F389" s="102" t="str">
        <f t="shared" si="20"/>
        <v>AS</v>
      </c>
    </row>
    <row r="390" spans="2:6" ht="17">
      <c r="B390" s="206" t="s">
        <v>827</v>
      </c>
      <c r="C390" s="207" t="s">
        <v>826</v>
      </c>
      <c r="D390" s="207" t="s">
        <v>826</v>
      </c>
      <c r="E390" s="210">
        <v>0</v>
      </c>
      <c r="F390" s="102" t="str">
        <f t="shared" si="20"/>
        <v>SF</v>
      </c>
    </row>
    <row r="391" spans="2:6" ht="17">
      <c r="B391" s="206" t="s">
        <v>825</v>
      </c>
      <c r="C391" s="207" t="s">
        <v>771</v>
      </c>
      <c r="D391" s="207" t="s">
        <v>771</v>
      </c>
      <c r="E391" s="210" t="s">
        <v>763</v>
      </c>
      <c r="F391" s="102" t="str">
        <f t="shared" si="20"/>
        <v>SA-R</v>
      </c>
    </row>
    <row r="392" spans="2:6" ht="17">
      <c r="B392" s="206" t="s">
        <v>824</v>
      </c>
      <c r="C392" s="207" t="s">
        <v>823</v>
      </c>
      <c r="D392" s="207" t="s">
        <v>823</v>
      </c>
      <c r="E392" s="210">
        <v>0</v>
      </c>
      <c r="F392" s="102" t="str">
        <f t="shared" si="20"/>
        <v>ME</v>
      </c>
    </row>
    <row r="393" spans="2:6" ht="17">
      <c r="B393" s="206" t="s">
        <v>822</v>
      </c>
      <c r="C393" s="207" t="s">
        <v>35</v>
      </c>
      <c r="D393" s="207" t="s">
        <v>35</v>
      </c>
      <c r="E393" s="210" t="s">
        <v>256</v>
      </c>
      <c r="F393" s="102" t="str">
        <f t="shared" si="20"/>
        <v>NG4C</v>
      </c>
    </row>
    <row r="394" spans="2:6" ht="17">
      <c r="B394" s="206" t="s">
        <v>821</v>
      </c>
      <c r="C394" s="207" t="s">
        <v>35</v>
      </c>
      <c r="D394" s="207" t="s">
        <v>35</v>
      </c>
      <c r="E394" s="210" t="s">
        <v>256</v>
      </c>
      <c r="F394" s="102" t="str">
        <f t="shared" si="20"/>
        <v>NG4B</v>
      </c>
    </row>
    <row r="395" spans="2:6" ht="17">
      <c r="B395" s="206" t="s">
        <v>820</v>
      </c>
      <c r="C395" s="207" t="s">
        <v>35</v>
      </c>
      <c r="D395" s="207" t="s">
        <v>35</v>
      </c>
      <c r="E395" s="210" t="s">
        <v>256</v>
      </c>
      <c r="F395" s="102" t="str">
        <f t="shared" si="20"/>
        <v>NG4D</v>
      </c>
    </row>
    <row r="396" spans="2:6" ht="17">
      <c r="B396" s="206" t="s">
        <v>819</v>
      </c>
      <c r="C396" s="207" t="s">
        <v>35</v>
      </c>
      <c r="D396" s="207" t="s">
        <v>35</v>
      </c>
      <c r="E396" s="210" t="s">
        <v>256</v>
      </c>
      <c r="F396" s="102" t="str">
        <f t="shared" si="20"/>
        <v>NG4I</v>
      </c>
    </row>
    <row r="397" spans="2:6" ht="17">
      <c r="B397" s="206" t="s">
        <v>818</v>
      </c>
      <c r="C397" s="207" t="s">
        <v>120</v>
      </c>
      <c r="D397" s="207" t="s">
        <v>120</v>
      </c>
      <c r="E397" s="210">
        <v>0</v>
      </c>
      <c r="F397" s="102" t="str">
        <f t="shared" si="20"/>
        <v>B-UI</v>
      </c>
    </row>
    <row r="398" spans="2:6" ht="17">
      <c r="B398" s="206" t="s">
        <v>817</v>
      </c>
      <c r="C398" s="207" t="s">
        <v>80</v>
      </c>
      <c r="D398" s="207" t="s">
        <v>80</v>
      </c>
      <c r="E398" s="210">
        <v>0</v>
      </c>
      <c r="F398" s="102" t="str">
        <f t="shared" si="20"/>
        <v>N</v>
      </c>
    </row>
    <row r="399" spans="2:6" ht="17">
      <c r="B399" s="206" t="s">
        <v>816</v>
      </c>
      <c r="C399" s="207" t="s">
        <v>438</v>
      </c>
      <c r="D399" s="207" t="s">
        <v>438</v>
      </c>
      <c r="E399" s="210">
        <v>0</v>
      </c>
      <c r="F399" s="102" t="str">
        <f t="shared" si="20"/>
        <v>I</v>
      </c>
    </row>
    <row r="400" spans="2:6" ht="17">
      <c r="B400" s="206" t="s">
        <v>815</v>
      </c>
      <c r="C400" s="207" t="s">
        <v>324</v>
      </c>
      <c r="D400" s="207" t="s">
        <v>324</v>
      </c>
      <c r="E400" s="210" t="s">
        <v>814</v>
      </c>
      <c r="F400" s="102" t="str">
        <f t="shared" si="20"/>
        <v>EA</v>
      </c>
    </row>
    <row r="401" spans="2:7" ht="17">
      <c r="B401" s="206" t="s">
        <v>813</v>
      </c>
      <c r="C401" s="207" t="s">
        <v>305</v>
      </c>
      <c r="D401" s="207" t="s">
        <v>305</v>
      </c>
      <c r="E401" s="210">
        <v>0</v>
      </c>
      <c r="F401" s="102" t="str">
        <f t="shared" si="20"/>
        <v>MBH</v>
      </c>
    </row>
    <row r="402" spans="2:7" ht="17">
      <c r="B402" s="206" t="s">
        <v>812</v>
      </c>
      <c r="C402" s="207" t="s">
        <v>337</v>
      </c>
      <c r="D402" s="207" t="s">
        <v>337</v>
      </c>
      <c r="E402" s="210" t="s">
        <v>1687</v>
      </c>
      <c r="F402" s="102" t="str">
        <f t="shared" si="20"/>
        <v>SF</v>
      </c>
      <c r="G402" s="208" t="s">
        <v>1686</v>
      </c>
    </row>
    <row r="403" spans="2:7" ht="17">
      <c r="B403" s="206" t="s">
        <v>811</v>
      </c>
      <c r="C403" s="207" t="s">
        <v>809</v>
      </c>
      <c r="D403" s="207" t="s">
        <v>809</v>
      </c>
      <c r="E403" s="210">
        <v>0</v>
      </c>
      <c r="F403" s="102" t="str">
        <f t="shared" si="20"/>
        <v>CH2</v>
      </c>
    </row>
    <row r="404" spans="2:7" ht="17">
      <c r="B404" s="206" t="s">
        <v>810</v>
      </c>
      <c r="C404" s="207" t="s">
        <v>809</v>
      </c>
      <c r="D404" s="207" t="s">
        <v>809</v>
      </c>
      <c r="E404" s="210">
        <v>0</v>
      </c>
      <c r="F404" s="102" t="str">
        <f t="shared" si="20"/>
        <v>CH2</v>
      </c>
    </row>
    <row r="405" spans="2:7" ht="17">
      <c r="B405" s="206" t="s">
        <v>808</v>
      </c>
      <c r="C405" s="207" t="s">
        <v>339</v>
      </c>
      <c r="D405" s="207" t="s">
        <v>339</v>
      </c>
      <c r="E405" s="210">
        <v>0</v>
      </c>
      <c r="F405" s="102" t="str">
        <f t="shared" si="20"/>
        <v>APWF</v>
      </c>
    </row>
    <row r="406" spans="2:7" ht="17">
      <c r="B406" s="206" t="s">
        <v>807</v>
      </c>
      <c r="C406" s="207" t="s">
        <v>29</v>
      </c>
      <c r="D406" s="207" t="s">
        <v>29</v>
      </c>
      <c r="E406" s="210">
        <v>0</v>
      </c>
      <c r="F406" s="102" t="str">
        <f t="shared" si="20"/>
        <v>KA</v>
      </c>
    </row>
    <row r="407" spans="2:7" ht="17">
      <c r="B407" s="206" t="s">
        <v>806</v>
      </c>
      <c r="C407" s="207" t="s">
        <v>805</v>
      </c>
      <c r="D407" s="207" t="s">
        <v>805</v>
      </c>
      <c r="E407" s="210">
        <v>0</v>
      </c>
      <c r="F407" s="102" t="str">
        <f t="shared" si="20"/>
        <v>KBA</v>
      </c>
    </row>
    <row r="408" spans="2:7" ht="17">
      <c r="B408" s="206" t="s">
        <v>804</v>
      </c>
      <c r="C408" s="207" t="s">
        <v>803</v>
      </c>
      <c r="D408" s="207" t="s">
        <v>803</v>
      </c>
      <c r="E408" s="210">
        <v>0</v>
      </c>
      <c r="F408" s="102" t="str">
        <f t="shared" si="20"/>
        <v>RSP</v>
      </c>
    </row>
    <row r="409" spans="2:7" ht="17">
      <c r="B409" s="206" t="s">
        <v>802</v>
      </c>
      <c r="C409" s="207" t="s">
        <v>476</v>
      </c>
      <c r="D409" s="207" t="s">
        <v>476</v>
      </c>
      <c r="E409" s="210">
        <v>0</v>
      </c>
      <c r="F409" s="102" t="str">
        <f t="shared" si="20"/>
        <v>SKK</v>
      </c>
    </row>
    <row r="410" spans="2:7" ht="17">
      <c r="B410" s="206" t="s">
        <v>801</v>
      </c>
      <c r="C410" s="207" t="s">
        <v>801</v>
      </c>
      <c r="D410" s="207" t="s">
        <v>801</v>
      </c>
      <c r="E410" s="210">
        <v>0</v>
      </c>
      <c r="F410" s="102" t="str">
        <f t="shared" si="20"/>
        <v>AP</v>
      </c>
    </row>
    <row r="411" spans="2:7" ht="34">
      <c r="B411" s="206" t="s">
        <v>857</v>
      </c>
      <c r="C411" s="207" t="s">
        <v>858</v>
      </c>
      <c r="D411" s="207" t="s">
        <v>858</v>
      </c>
      <c r="E411" s="207" t="s">
        <v>859</v>
      </c>
      <c r="F411" s="102" t="str">
        <f t="shared" si="20"/>
        <v>LH</v>
      </c>
    </row>
    <row r="412" spans="2:7" ht="17">
      <c r="B412" s="206" t="s">
        <v>1695</v>
      </c>
      <c r="C412" s="207" t="s">
        <v>409</v>
      </c>
      <c r="D412" s="207" t="s">
        <v>216</v>
      </c>
      <c r="E412" s="210" t="s">
        <v>949</v>
      </c>
      <c r="F412" s="102" t="str">
        <f t="shared" si="20"/>
        <v>IA</v>
      </c>
      <c r="G412" s="208" t="s">
        <v>1696</v>
      </c>
    </row>
    <row r="413" spans="2:7" ht="17">
      <c r="B413" s="206" t="s">
        <v>961</v>
      </c>
      <c r="C413" s="207" t="s">
        <v>627</v>
      </c>
      <c r="D413" s="207" t="s">
        <v>216</v>
      </c>
      <c r="E413" s="210" t="s">
        <v>962</v>
      </c>
      <c r="F413" s="102" t="str">
        <f t="shared" si="20"/>
        <v>DNKH</v>
      </c>
      <c r="G413" s="211" t="s">
        <v>963</v>
      </c>
    </row>
    <row r="414" spans="2:7" ht="17">
      <c r="B414" s="206" t="s">
        <v>966</v>
      </c>
      <c r="C414" s="207" t="s">
        <v>216</v>
      </c>
      <c r="D414" s="207" t="s">
        <v>216</v>
      </c>
      <c r="E414" s="210" t="s">
        <v>967</v>
      </c>
      <c r="F414" s="102" t="str">
        <f t="shared" si="20"/>
        <v>MA</v>
      </c>
    </row>
    <row r="415" spans="2:7" ht="17">
      <c r="B415" s="206" t="s">
        <v>970</v>
      </c>
      <c r="C415" s="207" t="s">
        <v>971</v>
      </c>
      <c r="D415" s="207" t="s">
        <v>216</v>
      </c>
      <c r="E415" s="210" t="s">
        <v>972</v>
      </c>
      <c r="F415" s="102" t="str">
        <f t="shared" si="20"/>
        <v>CO</v>
      </c>
    </row>
    <row r="416" spans="2:7" ht="17">
      <c r="B416" s="206" t="s">
        <v>977</v>
      </c>
      <c r="C416" s="207" t="s">
        <v>978</v>
      </c>
      <c r="D416" s="207" t="s">
        <v>216</v>
      </c>
      <c r="E416" s="210" t="s">
        <v>979</v>
      </c>
      <c r="F416" s="102" t="str">
        <f t="shared" si="20"/>
        <v>SA</v>
      </c>
      <c r="G416" s="208" t="str">
        <f ca="1">MID(CELL("filename",B2),FIND("]",CELL("filename",B2))+1,256)</f>
        <v>Client List</v>
      </c>
    </row>
    <row r="417" spans="2:6" ht="17">
      <c r="B417" s="206" t="s">
        <v>980</v>
      </c>
      <c r="C417" s="207" t="s">
        <v>981</v>
      </c>
      <c r="D417" s="207" t="s">
        <v>957</v>
      </c>
      <c r="E417" s="210" t="s">
        <v>982</v>
      </c>
      <c r="F417" s="102" t="str">
        <f t="shared" si="20"/>
        <v>JRB</v>
      </c>
    </row>
    <row r="418" spans="2:6" ht="17">
      <c r="B418" s="206" t="s">
        <v>992</v>
      </c>
      <c r="C418" s="207" t="s">
        <v>993</v>
      </c>
      <c r="D418" s="207" t="s">
        <v>957</v>
      </c>
      <c r="E418" s="210" t="s">
        <v>982</v>
      </c>
      <c r="F418" s="102" t="str">
        <f t="shared" si="20"/>
        <v>JRB-</v>
      </c>
    </row>
    <row r="419" spans="2:6" ht="17">
      <c r="B419" s="206" t="s">
        <v>994</v>
      </c>
      <c r="C419" s="207" t="s">
        <v>995</v>
      </c>
      <c r="D419" s="207" t="s">
        <v>955</v>
      </c>
      <c r="E419" s="210" t="s">
        <v>996</v>
      </c>
      <c r="F419" s="102" t="str">
        <f t="shared" si="20"/>
        <v>PO</v>
      </c>
    </row>
    <row r="420" spans="2:6" ht="17">
      <c r="B420" s="206" t="s">
        <v>1002</v>
      </c>
      <c r="C420" s="207" t="s">
        <v>1003</v>
      </c>
      <c r="D420" s="207" t="s">
        <v>216</v>
      </c>
      <c r="F420" s="102" t="str">
        <f t="shared" si="20"/>
        <v>BGB</v>
      </c>
    </row>
    <row r="421" spans="2:6" ht="17">
      <c r="B421" s="206" t="s">
        <v>1004</v>
      </c>
      <c r="C421" s="207" t="s">
        <v>219</v>
      </c>
      <c r="D421" s="207" t="s">
        <v>216</v>
      </c>
      <c r="E421" s="210" t="s">
        <v>1005</v>
      </c>
      <c r="F421" s="102" t="str">
        <f t="shared" si="20"/>
        <v>RO</v>
      </c>
    </row>
    <row r="422" spans="2:6" ht="17">
      <c r="B422" s="206" t="s">
        <v>1068</v>
      </c>
      <c r="C422" s="207" t="s">
        <v>280</v>
      </c>
      <c r="D422" s="207" t="s">
        <v>216</v>
      </c>
      <c r="E422" s="210" t="s">
        <v>1069</v>
      </c>
      <c r="F422" s="102" t="str">
        <f t="shared" si="20"/>
        <v>ROC</v>
      </c>
    </row>
    <row r="423" spans="2:6" ht="17">
      <c r="B423" s="206" t="s">
        <v>1071</v>
      </c>
      <c r="C423" s="207" t="s">
        <v>216</v>
      </c>
      <c r="D423" s="207" t="s">
        <v>216</v>
      </c>
      <c r="F423" s="102" t="str">
        <f t="shared" si="20"/>
        <v>U-S1</v>
      </c>
    </row>
    <row r="424" spans="2:6" ht="17">
      <c r="B424" s="206" t="s">
        <v>1072</v>
      </c>
      <c r="C424" s="207" t="s">
        <v>216</v>
      </c>
      <c r="D424" s="207" t="s">
        <v>216</v>
      </c>
      <c r="F424" s="102" t="str">
        <f t="shared" si="20"/>
        <v>U-S2</v>
      </c>
    </row>
    <row r="425" spans="2:6" ht="34">
      <c r="B425" s="206" t="s">
        <v>1073</v>
      </c>
      <c r="C425" s="207" t="s">
        <v>1074</v>
      </c>
      <c r="D425" s="207" t="s">
        <v>216</v>
      </c>
      <c r="E425" s="210" t="s">
        <v>1075</v>
      </c>
      <c r="F425" s="102" t="str">
        <f t="shared" si="20"/>
        <v>AP</v>
      </c>
    </row>
    <row r="426" spans="2:6" ht="17">
      <c r="B426" s="206" t="s">
        <v>1077</v>
      </c>
      <c r="C426" s="207" t="s">
        <v>216</v>
      </c>
      <c r="D426" s="207" t="s">
        <v>216</v>
      </c>
      <c r="E426" s="210" t="s">
        <v>1076</v>
      </c>
      <c r="F426" s="102" t="str">
        <f t="shared" si="20"/>
        <v>EA</v>
      </c>
    </row>
    <row r="427" spans="2:6" ht="17">
      <c r="B427" s="206" t="s">
        <v>1337</v>
      </c>
      <c r="C427" s="207" t="s">
        <v>216</v>
      </c>
      <c r="D427" s="207" t="s">
        <v>216</v>
      </c>
      <c r="E427" s="210" t="s">
        <v>1078</v>
      </c>
      <c r="F427" s="102" t="str">
        <f t="shared" si="20"/>
        <v>J-A</v>
      </c>
    </row>
    <row r="428" spans="2:6" ht="17">
      <c r="B428" s="206" t="s">
        <v>1094</v>
      </c>
      <c r="C428" s="207" t="s">
        <v>216</v>
      </c>
      <c r="D428" s="207" t="s">
        <v>216</v>
      </c>
      <c r="E428" s="210" t="s">
        <v>1095</v>
      </c>
      <c r="F428" s="102" t="str">
        <f t="shared" si="20"/>
        <v>RI</v>
      </c>
    </row>
    <row r="429" spans="2:6" ht="17">
      <c r="B429" s="206" t="s">
        <v>1096</v>
      </c>
      <c r="C429" s="207" t="s">
        <v>352</v>
      </c>
      <c r="D429" s="207" t="s">
        <v>216</v>
      </c>
      <c r="E429" s="210" t="s">
        <v>1097</v>
      </c>
      <c r="F429" s="102" t="str">
        <f t="shared" si="20"/>
        <v>AB</v>
      </c>
    </row>
    <row r="430" spans="2:6" ht="17">
      <c r="B430" s="206" t="s">
        <v>1098</v>
      </c>
      <c r="C430" s="207" t="s">
        <v>216</v>
      </c>
      <c r="D430" s="207" t="s">
        <v>216</v>
      </c>
      <c r="E430" s="210" t="s">
        <v>1099</v>
      </c>
      <c r="F430" s="102" t="str">
        <f t="shared" si="20"/>
        <v>DWA</v>
      </c>
    </row>
    <row r="431" spans="2:6" ht="17">
      <c r="B431" s="206" t="s">
        <v>1100</v>
      </c>
      <c r="C431" s="207" t="s">
        <v>44</v>
      </c>
      <c r="D431" s="207" t="s">
        <v>35</v>
      </c>
      <c r="E431" s="210" t="s">
        <v>1101</v>
      </c>
      <c r="F431" s="102" t="str">
        <f t="shared" si="20"/>
        <v>T</v>
      </c>
    </row>
    <row r="432" spans="2:6" ht="17">
      <c r="B432" s="206" t="s">
        <v>1102</v>
      </c>
      <c r="C432" s="207" t="s">
        <v>1103</v>
      </c>
      <c r="D432" s="207" t="s">
        <v>1086</v>
      </c>
      <c r="F432" s="102" t="str">
        <f t="shared" si="20"/>
        <v>RS</v>
      </c>
    </row>
    <row r="433" spans="2:7" ht="17">
      <c r="B433" s="206" t="s">
        <v>1130</v>
      </c>
      <c r="C433" s="207" t="s">
        <v>42</v>
      </c>
      <c r="D433" s="207" t="s">
        <v>956</v>
      </c>
      <c r="E433" s="210" t="s">
        <v>1131</v>
      </c>
      <c r="F433" s="102" t="str">
        <f t="shared" si="20"/>
        <v>P</v>
      </c>
    </row>
    <row r="434" spans="2:7" ht="17">
      <c r="B434" s="206" t="s">
        <v>1132</v>
      </c>
      <c r="C434" s="207" t="s">
        <v>216</v>
      </c>
      <c r="D434" s="207" t="s">
        <v>216</v>
      </c>
      <c r="E434" s="210" t="s">
        <v>1133</v>
      </c>
      <c r="F434" s="102" t="str">
        <f t="shared" si="20"/>
        <v>P</v>
      </c>
    </row>
    <row r="435" spans="2:7" ht="17">
      <c r="B435" s="206" t="s">
        <v>1149</v>
      </c>
      <c r="C435" s="207" t="s">
        <v>1150</v>
      </c>
      <c r="D435" s="207" t="s">
        <v>954</v>
      </c>
      <c r="E435" s="207" t="s">
        <v>1151</v>
      </c>
      <c r="F435" s="102" t="str">
        <f t="shared" si="20"/>
        <v>JA-D</v>
      </c>
    </row>
    <row r="436" spans="2:7" ht="17">
      <c r="B436" s="206" t="s">
        <v>1692</v>
      </c>
      <c r="C436" s="207" t="s">
        <v>362</v>
      </c>
      <c r="D436" s="207" t="s">
        <v>216</v>
      </c>
      <c r="E436" s="210" t="s">
        <v>1151</v>
      </c>
      <c r="F436" s="102" t="str">
        <f t="shared" si="20"/>
        <v>JA</v>
      </c>
    </row>
    <row r="437" spans="2:7" ht="17">
      <c r="B437" s="206" t="s">
        <v>1172</v>
      </c>
      <c r="C437" s="207" t="s">
        <v>426</v>
      </c>
      <c r="D437" s="207" t="s">
        <v>216</v>
      </c>
      <c r="E437" s="207" t="s">
        <v>1151</v>
      </c>
      <c r="F437" s="102" t="str">
        <f t="shared" si="20"/>
        <v>JA-A</v>
      </c>
    </row>
    <row r="438" spans="2:7" ht="17">
      <c r="B438" s="206" t="s">
        <v>1155</v>
      </c>
      <c r="C438" s="207" t="s">
        <v>396</v>
      </c>
      <c r="D438" s="207" t="s">
        <v>216</v>
      </c>
      <c r="E438" s="210" t="s">
        <v>1156</v>
      </c>
      <c r="F438" s="102" t="str">
        <f t="shared" si="20"/>
        <v>FGL</v>
      </c>
    </row>
    <row r="439" spans="2:7" ht="17">
      <c r="B439" s="206" t="s">
        <v>1160</v>
      </c>
      <c r="C439" s="207" t="s">
        <v>396</v>
      </c>
      <c r="D439" s="207" t="s">
        <v>216</v>
      </c>
      <c r="F439" s="102" t="str">
        <f t="shared" si="20"/>
        <v>SGIS</v>
      </c>
    </row>
    <row r="440" spans="2:7" ht="17">
      <c r="B440" s="206" t="s">
        <v>1161</v>
      </c>
      <c r="C440" s="207" t="s">
        <v>396</v>
      </c>
      <c r="D440" s="207" t="s">
        <v>216</v>
      </c>
      <c r="F440" s="102" t="str">
        <f t="shared" si="20"/>
        <v>SGIS</v>
      </c>
    </row>
    <row r="441" spans="2:7" ht="17">
      <c r="B441" s="206" t="s">
        <v>1163</v>
      </c>
      <c r="C441" s="207" t="s">
        <v>120</v>
      </c>
      <c r="D441" s="207" t="s">
        <v>216</v>
      </c>
      <c r="E441" s="210" t="s">
        <v>1162</v>
      </c>
      <c r="F441" s="102" t="str">
        <f t="shared" si="20"/>
        <v>LNT</v>
      </c>
    </row>
    <row r="442" spans="2:7" ht="17">
      <c r="B442" s="206" t="s">
        <v>1166</v>
      </c>
      <c r="C442" s="207" t="s">
        <v>1165</v>
      </c>
      <c r="D442" s="207" t="s">
        <v>954</v>
      </c>
      <c r="E442" s="210" t="s">
        <v>1167</v>
      </c>
      <c r="F442" s="102" t="str">
        <f t="shared" si="20"/>
        <v>YGL-</v>
      </c>
    </row>
    <row r="443" spans="2:7" ht="17">
      <c r="B443" s="206" t="s">
        <v>1175</v>
      </c>
      <c r="C443" s="207" t="s">
        <v>669</v>
      </c>
      <c r="D443" s="207" t="s">
        <v>35</v>
      </c>
      <c r="E443" s="210" t="s">
        <v>1176</v>
      </c>
      <c r="F443" s="102" t="str">
        <f t="shared" si="20"/>
        <v>KL</v>
      </c>
    </row>
    <row r="444" spans="2:7" ht="17">
      <c r="B444" s="206" t="s">
        <v>1177</v>
      </c>
      <c r="C444" s="207" t="s">
        <v>1178</v>
      </c>
      <c r="D444" s="207" t="s">
        <v>216</v>
      </c>
      <c r="E444" s="210" t="s">
        <v>1179</v>
      </c>
      <c r="F444" s="102" t="str">
        <f t="shared" si="20"/>
        <v>BK</v>
      </c>
    </row>
    <row r="445" spans="2:7" s="212" customFormat="1" ht="34">
      <c r="B445" s="206" t="s">
        <v>1180</v>
      </c>
      <c r="C445" s="207" t="s">
        <v>1181</v>
      </c>
      <c r="D445" s="207" t="s">
        <v>1182</v>
      </c>
      <c r="E445" s="210" t="s">
        <v>1183</v>
      </c>
      <c r="F445" s="102" t="str">
        <f t="shared" si="20"/>
        <v>SS1L</v>
      </c>
      <c r="G445" s="208" t="s">
        <v>1184</v>
      </c>
    </row>
    <row r="446" spans="2:7" ht="17">
      <c r="B446" s="206" t="s">
        <v>1192</v>
      </c>
      <c r="C446" s="207" t="s">
        <v>32</v>
      </c>
      <c r="D446" s="207" t="s">
        <v>216</v>
      </c>
      <c r="F446" s="102" t="str">
        <f t="shared" si="20"/>
        <v>EA</v>
      </c>
    </row>
    <row r="447" spans="2:7" ht="17">
      <c r="B447" s="206" t="s">
        <v>1213</v>
      </c>
      <c r="C447" s="207" t="s">
        <v>809</v>
      </c>
      <c r="D447" s="207" t="s">
        <v>216</v>
      </c>
      <c r="E447" s="207" t="s">
        <v>216</v>
      </c>
      <c r="F447" s="102" t="str">
        <f t="shared" si="20"/>
        <v>CH2</v>
      </c>
    </row>
    <row r="448" spans="2:7" ht="34">
      <c r="B448" s="206" t="s">
        <v>1217</v>
      </c>
      <c r="C448" s="207" t="s">
        <v>1218</v>
      </c>
      <c r="D448" s="207" t="s">
        <v>1499</v>
      </c>
      <c r="E448" s="210" t="s">
        <v>1219</v>
      </c>
      <c r="F448" s="102" t="str">
        <f t="shared" si="20"/>
        <v>EEFT</v>
      </c>
    </row>
    <row r="449" spans="2:7" ht="17">
      <c r="B449" s="206" t="s">
        <v>1222</v>
      </c>
      <c r="C449" s="207" t="s">
        <v>120</v>
      </c>
      <c r="D449" s="207" t="s">
        <v>216</v>
      </c>
      <c r="E449" s="210" t="s">
        <v>1223</v>
      </c>
      <c r="F449" s="102" t="str">
        <f t="shared" si="20"/>
        <v>CCBC</v>
      </c>
    </row>
    <row r="450" spans="2:7" ht="17">
      <c r="B450" s="206" t="s">
        <v>1226</v>
      </c>
      <c r="C450" s="207" t="s">
        <v>32</v>
      </c>
      <c r="D450" s="207" t="s">
        <v>216</v>
      </c>
      <c r="E450" s="210" t="s">
        <v>1227</v>
      </c>
      <c r="F450" s="102" t="str">
        <f t="shared" si="20"/>
        <v>DMCL</v>
      </c>
    </row>
    <row r="451" spans="2:7" ht="17">
      <c r="B451" s="206" t="s">
        <v>1231</v>
      </c>
      <c r="C451" s="207" t="s">
        <v>72</v>
      </c>
      <c r="D451" s="207" t="s">
        <v>216</v>
      </c>
      <c r="F451" s="102" t="str">
        <f t="shared" ref="F451:F514" si="21">UPPER(LEFT(B451,1)) &amp; IFERROR(UPPER(LEFT(MID(B451,FIND(" ",B451)+1,LEN(B451)),1)),"") &amp; IFERROR(UPPER(LEFT(MID(B451,FIND(" ",B451,FIND(" ",B451)+1)+1,LEN(B451)),1)),"") &amp; IFERROR(UPPER(LEFT(MID(B451,FIND(" ",B451,FIND(" ",B451,FIND(" ",B451)+1)+1)+1,LEN(B451)),1)),"")</f>
        <v>AS-D</v>
      </c>
    </row>
    <row r="452" spans="2:7" ht="17">
      <c r="B452" s="206" t="s">
        <v>2416</v>
      </c>
      <c r="C452" s="207" t="s">
        <v>72</v>
      </c>
      <c r="D452" s="207" t="s">
        <v>216</v>
      </c>
      <c r="F452" s="102" t="str">
        <f t="shared" si="21"/>
        <v>AS-A</v>
      </c>
    </row>
    <row r="453" spans="2:7" ht="17">
      <c r="B453" s="206" t="s">
        <v>2417</v>
      </c>
      <c r="C453" s="207" t="s">
        <v>72</v>
      </c>
      <c r="D453" s="207" t="s">
        <v>216</v>
      </c>
      <c r="F453" s="102" t="str">
        <f t="shared" si="21"/>
        <v>AS-R</v>
      </c>
    </row>
    <row r="454" spans="2:7" ht="17">
      <c r="B454" s="206" t="s">
        <v>1234</v>
      </c>
      <c r="C454" s="207" t="s">
        <v>57</v>
      </c>
      <c r="D454" s="207" t="s">
        <v>954</v>
      </c>
      <c r="E454" s="210" t="s">
        <v>1235</v>
      </c>
      <c r="F454" s="102" t="str">
        <f t="shared" si="21"/>
        <v>MMG</v>
      </c>
    </row>
    <row r="455" spans="2:7" ht="17">
      <c r="B455" s="206" t="s">
        <v>1236</v>
      </c>
      <c r="C455" s="207" t="s">
        <v>1237</v>
      </c>
      <c r="D455" s="207" t="s">
        <v>216</v>
      </c>
      <c r="E455" s="210" t="s">
        <v>1238</v>
      </c>
      <c r="F455" s="102" t="str">
        <f t="shared" si="21"/>
        <v>DA</v>
      </c>
    </row>
    <row r="456" spans="2:7" ht="17">
      <c r="B456" s="206" t="s">
        <v>1240</v>
      </c>
      <c r="C456" s="207" t="s">
        <v>823</v>
      </c>
      <c r="D456" s="207" t="s">
        <v>216</v>
      </c>
      <c r="E456" s="210" t="s">
        <v>1241</v>
      </c>
      <c r="F456" s="102" t="str">
        <f t="shared" si="21"/>
        <v>HCL</v>
      </c>
    </row>
    <row r="457" spans="2:7" ht="17">
      <c r="B457" s="206" t="s">
        <v>1244</v>
      </c>
      <c r="C457" s="207" t="s">
        <v>216</v>
      </c>
      <c r="D457" s="207" t="s">
        <v>216</v>
      </c>
      <c r="E457" s="210" t="s">
        <v>1245</v>
      </c>
      <c r="F457" s="102" t="str">
        <f t="shared" si="21"/>
        <v>SI</v>
      </c>
      <c r="G457" s="208" t="s">
        <v>1246</v>
      </c>
    </row>
    <row r="458" spans="2:7" ht="34">
      <c r="B458" s="206" t="s">
        <v>1253</v>
      </c>
      <c r="C458" s="207" t="s">
        <v>1254</v>
      </c>
      <c r="D458" s="207" t="s">
        <v>1254</v>
      </c>
      <c r="E458" s="210" t="s">
        <v>1256</v>
      </c>
      <c r="F458" s="102" t="str">
        <f t="shared" si="21"/>
        <v>AAP</v>
      </c>
    </row>
    <row r="459" spans="2:7" ht="17">
      <c r="B459" s="206" t="s">
        <v>1257</v>
      </c>
      <c r="C459" s="207" t="s">
        <v>746</v>
      </c>
      <c r="D459" s="207" t="s">
        <v>35</v>
      </c>
      <c r="E459" s="210" t="s">
        <v>1258</v>
      </c>
      <c r="F459" s="102" t="str">
        <f t="shared" si="21"/>
        <v>EM</v>
      </c>
    </row>
    <row r="460" spans="2:7" ht="17">
      <c r="B460" s="206" t="s">
        <v>1274</v>
      </c>
      <c r="C460" s="207" t="s">
        <v>51</v>
      </c>
      <c r="D460" s="207" t="s">
        <v>51</v>
      </c>
      <c r="E460" s="210" t="s">
        <v>1275</v>
      </c>
      <c r="F460" s="102" t="str">
        <f t="shared" si="21"/>
        <v>CGEC</v>
      </c>
    </row>
    <row r="461" spans="2:7" ht="17">
      <c r="B461" s="206" t="s">
        <v>1281</v>
      </c>
      <c r="C461" s="207" t="s">
        <v>216</v>
      </c>
      <c r="D461" s="207" t="s">
        <v>216</v>
      </c>
      <c r="F461" s="102" t="str">
        <f t="shared" si="21"/>
        <v>NAO</v>
      </c>
    </row>
    <row r="462" spans="2:7" ht="17">
      <c r="B462" s="206" t="s">
        <v>1283</v>
      </c>
      <c r="C462" s="207" t="s">
        <v>86</v>
      </c>
      <c r="D462" s="207" t="s">
        <v>216</v>
      </c>
      <c r="F462" s="102" t="str">
        <f t="shared" si="21"/>
        <v>KO</v>
      </c>
    </row>
    <row r="463" spans="2:7" ht="17">
      <c r="B463" s="206" t="s">
        <v>1284</v>
      </c>
      <c r="C463" s="207" t="s">
        <v>1285</v>
      </c>
      <c r="D463" s="207" t="s">
        <v>216</v>
      </c>
      <c r="E463" s="210" t="s">
        <v>1286</v>
      </c>
      <c r="F463" s="102" t="str">
        <f t="shared" si="21"/>
        <v>SA</v>
      </c>
    </row>
    <row r="464" spans="2:7" ht="17">
      <c r="B464" s="206" t="s">
        <v>1287</v>
      </c>
      <c r="C464" s="207" t="s">
        <v>1289</v>
      </c>
      <c r="D464" s="207" t="s">
        <v>960</v>
      </c>
      <c r="E464" s="210" t="s">
        <v>1288</v>
      </c>
      <c r="F464" s="102" t="str">
        <f t="shared" si="21"/>
        <v>AVTI</v>
      </c>
      <c r="G464" s="208" t="s">
        <v>629</v>
      </c>
    </row>
    <row r="465" spans="2:250" ht="34">
      <c r="B465" s="206" t="s">
        <v>1290</v>
      </c>
      <c r="C465" s="207" t="s">
        <v>352</v>
      </c>
      <c r="D465" s="207" t="s">
        <v>216</v>
      </c>
      <c r="E465" s="210" t="s">
        <v>1291</v>
      </c>
      <c r="F465" s="102" t="str">
        <f t="shared" si="21"/>
        <v>PK</v>
      </c>
    </row>
    <row r="466" spans="2:250" ht="17">
      <c r="B466" s="206" t="s">
        <v>1292</v>
      </c>
      <c r="C466" s="207" t="s">
        <v>216</v>
      </c>
      <c r="D466" s="207" t="s">
        <v>216</v>
      </c>
      <c r="F466" s="102" t="str">
        <f t="shared" si="21"/>
        <v>1SS</v>
      </c>
    </row>
    <row r="467" spans="2:250" ht="17">
      <c r="B467" s="206" t="s">
        <v>1294</v>
      </c>
      <c r="C467" s="207" t="s">
        <v>1295</v>
      </c>
      <c r="D467" s="207" t="s">
        <v>35</v>
      </c>
      <c r="E467" s="210" t="s">
        <v>731</v>
      </c>
      <c r="F467" s="102" t="str">
        <f t="shared" si="21"/>
        <v>E-IC</v>
      </c>
    </row>
    <row r="468" spans="2:250" ht="17">
      <c r="B468" s="206" t="s">
        <v>1587</v>
      </c>
      <c r="C468" s="207" t="s">
        <v>29</v>
      </c>
      <c r="D468" s="207" t="s">
        <v>216</v>
      </c>
      <c r="E468" s="210" t="s">
        <v>1302</v>
      </c>
      <c r="F468" s="102" t="str">
        <f t="shared" si="21"/>
        <v>ES-K</v>
      </c>
    </row>
    <row r="469" spans="2:250" ht="17">
      <c r="B469" s="206" t="s">
        <v>1588</v>
      </c>
      <c r="C469" s="207" t="s">
        <v>32</v>
      </c>
      <c r="D469" s="207" t="s">
        <v>216</v>
      </c>
      <c r="E469" s="210" t="s">
        <v>1302</v>
      </c>
      <c r="F469" s="102" t="str">
        <f t="shared" si="21"/>
        <v>ES-E</v>
      </c>
    </row>
    <row r="470" spans="2:250" ht="17">
      <c r="B470" s="206" t="s">
        <v>1303</v>
      </c>
      <c r="C470" s="207" t="s">
        <v>1304</v>
      </c>
      <c r="D470" s="207" t="s">
        <v>216</v>
      </c>
      <c r="E470" s="210" t="s">
        <v>1305</v>
      </c>
      <c r="F470" s="102" t="str">
        <f t="shared" si="21"/>
        <v>KA</v>
      </c>
    </row>
    <row r="471" spans="2:250" ht="17">
      <c r="B471" s="206" t="s">
        <v>1306</v>
      </c>
      <c r="C471" s="207" t="s">
        <v>69</v>
      </c>
      <c r="D471" s="207" t="s">
        <v>216</v>
      </c>
      <c r="E471" s="210" t="s">
        <v>1307</v>
      </c>
      <c r="F471" s="102" t="str">
        <f t="shared" si="21"/>
        <v>G-GH</v>
      </c>
    </row>
    <row r="472" spans="2:250" ht="17">
      <c r="B472" s="206" t="s">
        <v>1308</v>
      </c>
      <c r="C472" s="207" t="s">
        <v>446</v>
      </c>
      <c r="D472" s="207" t="s">
        <v>216</v>
      </c>
      <c r="E472" s="210" t="s">
        <v>1309</v>
      </c>
      <c r="F472" s="102" t="str">
        <f t="shared" si="21"/>
        <v>ELS</v>
      </c>
    </row>
    <row r="473" spans="2:250" ht="80">
      <c r="B473" s="206" t="s">
        <v>1311</v>
      </c>
      <c r="C473" s="207" t="s">
        <v>42</v>
      </c>
      <c r="D473" s="207" t="s">
        <v>956</v>
      </c>
      <c r="F473" s="102" t="str">
        <f t="shared" si="21"/>
        <v>AR</v>
      </c>
      <c r="EC473" s="312" t="s">
        <v>2692</v>
      </c>
      <c r="ED473" s="312" t="s">
        <v>2693</v>
      </c>
      <c r="EE473" s="312" t="s">
        <v>2694</v>
      </c>
      <c r="EF473" s="312" t="s">
        <v>2695</v>
      </c>
      <c r="EG473" s="312" t="s">
        <v>2776</v>
      </c>
      <c r="EH473" s="353" t="s">
        <v>2777</v>
      </c>
      <c r="IK473" s="312" t="s">
        <v>2692</v>
      </c>
      <c r="IL473" s="312" t="s">
        <v>2693</v>
      </c>
      <c r="IM473" s="312" t="s">
        <v>2694</v>
      </c>
      <c r="IN473" s="312" t="s">
        <v>2695</v>
      </c>
      <c r="IO473" s="312" t="s">
        <v>2776</v>
      </c>
      <c r="IP473" s="312" t="s">
        <v>2777</v>
      </c>
    </row>
    <row r="474" spans="2:250" ht="17">
      <c r="B474" s="206" t="s">
        <v>1320</v>
      </c>
      <c r="C474" s="207" t="s">
        <v>1321</v>
      </c>
      <c r="D474" s="207" t="s">
        <v>216</v>
      </c>
      <c r="E474" s="210" t="s">
        <v>1322</v>
      </c>
      <c r="F474" s="102" t="str">
        <f t="shared" si="21"/>
        <v>ET</v>
      </c>
      <c r="EC474" s="209">
        <f ca="1">MIN(EC475:EC491)+IF(SUM(EC477:EC491)=0,1,0)</f>
        <v>2</v>
      </c>
      <c r="ED474" s="209">
        <f ca="1">MIN(ED475:ED491)</f>
        <v>1</v>
      </c>
      <c r="EE474" s="311">
        <f ca="1">IF(AND('Customer Base'!D13="Victron",'Customer Base'!D14=6),ROUNDUP(SUMPRODUCT(Items!A242:A254,Items!AQ242:AQ254)/450,0),IF(EE489=1,2,IF(EE483=1,2,IF(EE477=1,2,IF(EE490=1,3,IF(EE484=1,3,IF(EE478=1,3,IF(EE491=1,4,IF(EE485=1,4,IF(EE479=1,4,0))))))))))</f>
        <v>3</v>
      </c>
      <c r="EF474" s="311">
        <f ca="1">IF(EE474=0,1,EE474)*IF(EG474=250,MIN(AA501,AE498),IF(EG474=150,MIN(AA501,AE497),IF(EG474=100,MIN(AA501,AE496),SUM(Items!A242:A254))))*'Customer Base'!$D26*0.8</f>
        <v>5760</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0</v>
      </c>
      <c r="IL474" s="209">
        <f ca="1">MIN(IL475:IL491)</f>
        <v>0</v>
      </c>
      <c r="IM474" s="311">
        <f ca="1">IF(IM489=1,2,IF(IM483=1,2,IF(IM477=1,2,IF(IM490=1,3,IF(IM484=1,3,IF(IM478=1,3,IF(IM491=1,4,IF(IM485=1,4,IF(IM479=1,4,0)))))))))</f>
        <v>0</v>
      </c>
      <c r="IN474" s="311">
        <f ca="1">IF(AND(IK474=0,ED474&lt;&gt;0),ED474*'Customer Base'!D26*0.8,IM474*IF(IO474=250,AE498,IF(IO474=150,AE497,IF(IO474=100,AE496,0)))*'Customer Base'!$D26*0.8)</f>
        <v>480</v>
      </c>
      <c r="IO474" s="209">
        <f ca="1">IF(IM489=1,250,IF(IM483=1,150,IF(IM477=1,100,IF(IM490=1,250,IF(IM484=1,150,IF(IM478=1,100,IF(IM491=1,250,IF(IM485=1,150,IF(IM479=1,100,IF(AND(IK474=0,ED474&lt;&gt;0),100,0))))))))))</f>
        <v>100</v>
      </c>
      <c r="IP474" s="209">
        <f ca="1">IF(AND(IO474=100,'Customer Base'!D8=12,'Client List'!IN474&gt;Items!AQ262),150,IF(AND(IO474=100,'Customer Base'!D8=24,IN474&gt;Items!AR262),150,IF(AND(IO474=100,'Customer Base'!D8=48,IN474&gt;Items!AS260),150,IO474)))</f>
        <v>100</v>
      </c>
    </row>
    <row r="475" spans="2:250" ht="17">
      <c r="B475" s="206" t="s">
        <v>1323</v>
      </c>
      <c r="C475" s="207" t="s">
        <v>216</v>
      </c>
      <c r="D475" s="207" t="s">
        <v>216</v>
      </c>
      <c r="F475" s="102" t="str">
        <f t="shared" si="21"/>
        <v>JT</v>
      </c>
    </row>
    <row r="476" spans="2:250" ht="17">
      <c r="B476" s="206" t="s">
        <v>1326</v>
      </c>
      <c r="C476" s="207" t="s">
        <v>51</v>
      </c>
      <c r="D476" s="207" t="s">
        <v>51</v>
      </c>
      <c r="E476" s="210" t="s">
        <v>1325</v>
      </c>
      <c r="F476" s="102" t="str">
        <f t="shared" si="21"/>
        <v>T-I</v>
      </c>
      <c r="Z476" s="209" t="s">
        <v>2696</v>
      </c>
      <c r="AB476" s="209" t="s">
        <v>2686</v>
      </c>
      <c r="AC476" s="209" t="s">
        <v>2689</v>
      </c>
      <c r="AD476" s="209" t="s">
        <v>2685</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2686</v>
      </c>
      <c r="EK476" s="209" t="s">
        <v>2689</v>
      </c>
      <c r="EL476" s="209" t="s">
        <v>2685</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1327</v>
      </c>
      <c r="C477" s="207" t="s">
        <v>339</v>
      </c>
      <c r="D477" s="207" t="s">
        <v>216</v>
      </c>
      <c r="F477" s="102" t="str">
        <f t="shared" si="21"/>
        <v>D</v>
      </c>
      <c r="AA477" s="209">
        <v>2</v>
      </c>
      <c r="AB477" s="310" t="s">
        <v>2682</v>
      </c>
      <c r="AC477" s="209">
        <f ca="1">IFERROR(MOD(AD$493,AA477),"")</f>
        <v>1</v>
      </c>
      <c r="AD477" s="209">
        <f ca="1">IF(OR(AD483=1,AD483=""),"",IF(AND(AC479&lt;&gt;0,AC478&lt;&gt;0,AC477=0),IF(AC477=0,AA477,""),IF(AND(MAX(AC477:AC479)&lt;=AA477,SUMPRODUCT(AD478:AD479,AE478:AE479)&lt;&gt;AD483),AA477,"")))</f>
        <v>2</v>
      </c>
      <c r="AE477" s="209">
        <f ca="1">IFERROR(IF(AND(AD477&lt;&gt;"",OR(AD478&lt;&gt;"",AD479&lt;&gt;"")),1,(ROUNDDOWN(AD$493/AD477,0))),"")</f>
        <v>1</v>
      </c>
      <c r="AF477" s="209">
        <f ca="1">IF($AE496*$AA477*'Customer Base'!$D$26*0.8&gt;5800,"",IF($AE496*$AA477&gt;$AA501,"",IF(($AA$477*AF$476*$AE$496)&lt;=$AA$501,((MOD($AA$501,($AA$477*AF$476*$AE$496)))),"")))</f>
        <v>1</v>
      </c>
      <c r="AG477" s="209">
        <f ca="1">IF($AE496*$AA477*'Customer Base'!$D$26*0.8&gt;5800,"",IF($AE496*$AA477&gt;$AA501,"",IF(($AA$477*AG$476*$AE$496)&lt;=$AA$501,((MOD($AA$501,($AA$477*AG$476*$AE$496)))),"")))</f>
        <v>1</v>
      </c>
      <c r="AH477" s="209">
        <f ca="1">IF($AE496*$AA477*'Customer Base'!$D$26*0.8&gt;5800,"",IF($AE496*$AA477&gt;$AA501,"",IF(($AA$477*AH$476*$AE$496)&lt;=$AA$501,((MOD($AA$501,($AA$477*AH$476*$AE$496)))),"")))</f>
        <v>1</v>
      </c>
      <c r="AI477" s="209">
        <f ca="1">IF($AE496*$AA477*'Customer Base'!$D$26*0.8&gt;5800,"",IF($AE496*$AA477&gt;$AA501,"",IF(($AA$477*AI$476*$AE$496)&lt;=$AA$501,((MOD($AA$501,($AA$477*AI$476*$AE$496)))),"")))</f>
        <v>9</v>
      </c>
      <c r="AJ477" s="209">
        <f ca="1">IF($AE496*$AA477*'Customer Base'!$D$26*0.8&gt;5800,"",IF($AE496*$AA477&gt;$AA501,"",IF(($AA$477*AJ$476*$AE$496)&lt;=$AA$501,((MOD($AA$501,($AA$477*AJ$476*$AE$496)))),"")))</f>
        <v>5</v>
      </c>
      <c r="AK477" s="209">
        <f ca="1">IF($AE496*$AA477*'Customer Base'!$D$26*0.8&gt;5800,"",IF($AE496*$AA477&gt;$AA501,"",IF(($AA$477*AK$476*$AE$496)&lt;=$AA$501,((MOD($AA$501,($AA$477*AK$476*$AE$496)))),"")))</f>
        <v>1</v>
      </c>
      <c r="AL477" s="209" t="str">
        <f ca="1">IF($AE496*$AA477*'Customer Base'!$D$26*0.8&gt;5800,"",IF($AE496*$AA477&gt;$AA501,"",IF(($AA$477*AL$476*$AE$496)&lt;=$AA$501,((MOD($AA$501,($AA$477*AL$476*$AE$496)))),"")))</f>
        <v/>
      </c>
      <c r="AM477" s="209" t="str">
        <f ca="1">IF($AE496*$AA477*'Customer Base'!$D$26*0.8&gt;5800,"",IF($AE496*$AA477&gt;$AA501,"",IF(($AA$477*AM$476*$AE$496)&lt;=$AA$501,((MOD($AA$501,($AA$477*AM$476*$AE$496)))),"")))</f>
        <v/>
      </c>
      <c r="AN477" s="209" t="str">
        <f ca="1">IF($AE496*$AA477*'Customer Base'!$D$26*0.8&gt;5800,"",IF($AE496*$AA477&gt;$AA501,"",IF(($AA$477*AN$476*$AE$496)&lt;=$AA$501,((MOD($AA$501,($AA$477*AN$476*$AE$496)))),"")))</f>
        <v/>
      </c>
      <c r="AO477" s="209" t="str">
        <f ca="1">IF($AE496*$AA477*'Customer Base'!$D$26*0.8&gt;5800,"",IF($AE496*$AA477&gt;$AA501,"",IF(($AA$477*AO$476*$AE$496)&lt;=$AA$501,((MOD($AA$501,($AA$477*AO$476*$AE$496)))),"")))</f>
        <v/>
      </c>
      <c r="AP477" s="209" t="str">
        <f ca="1">IF($AE496*$AA477*'Customer Base'!$D$26*0.8&gt;5800,"",IF($AE496*$AA477&gt;$AA501,"",IF(($AA$477*AP$476*$AE$496)&lt;=$AA$501,((MOD($AA$501,($AA$477*AP$476*$AE$496)))),"")))</f>
        <v/>
      </c>
      <c r="AQ477" s="209" t="str">
        <f ca="1">IF($AE496*$AA477*'Customer Base'!$D$26*0.8&gt;5800,"",IF($AE496*$AA477&gt;$AA501,"",IF(($AA$477*AQ$476*$AE$496)&lt;=$AA$501,((MOD($AA$501,($AA$477*AQ$476*$AE$496)))),"")))</f>
        <v/>
      </c>
      <c r="AR477" s="209" t="str">
        <f ca="1">IF($AE496*$AA477*'Customer Base'!$D$26*0.8&gt;5800,"",IF($AE496*$AA477&gt;$AA501,"",IF(($AA$477*AR$476*$AE$496)&lt;=$AA$501,((MOD($AA$501,($AA$477*AR$476*$AE$496)))),"")))</f>
        <v/>
      </c>
      <c r="AS477" s="209" t="str">
        <f ca="1">IF($AE496*$AA477*'Customer Base'!$D$26*0.8&gt;5800,"",IF($AE496*$AA477&gt;$AA501,"",IF(($AA$477*AS$476*$AE$496)&lt;=$AA$501,((MOD($AA$501,($AA$477*AS$476*$AE$496)))),"")))</f>
        <v/>
      </c>
      <c r="AT477" s="209" t="str">
        <f ca="1">IF($AE496*$AA477*'Customer Base'!$D$26*0.8&gt;5800,"",IF($AE496*$AA477&gt;$AA501,"",IF(($AA$477*AT$476*$AE$496)&lt;=$AA$501,((MOD($AA$501,($AA$477*AT$476*$AE$496)))),"")))</f>
        <v/>
      </c>
      <c r="AU477" s="209" t="str">
        <f ca="1">IF($AE496*$AA477*'Customer Base'!$D$26*0.8&gt;5800,"",IF($AE496*$AA477&gt;$AA501,"",IF(($AA$477*AU$476*$AE$496)&lt;=$AA$501,((MOD($AA$501,($AA$477*AU$476*$AE$496)))),"")))</f>
        <v/>
      </c>
      <c r="AV477" s="209" t="str">
        <f ca="1">IF($AE496*$AA477*'Customer Base'!$D$26*0.8&gt;5800,"",IF($AE496*$AA477&gt;$AA501,"",IF(($AA$477*AV$476*$AE$496)&lt;=$AA$501,((MOD($AA$501,($AA$477*AV$476*$AE$496)))),"")))</f>
        <v/>
      </c>
      <c r="AW477" s="209" t="str">
        <f ca="1">IF($AE496*$AA477*'Customer Base'!$D$26*0.8&gt;5800,"",IF($AE496*$AA477&gt;$AA501,"",IF(($AA$477*AW$476*$AE$496)&lt;=$AA$501,((MOD($AA$501,($AA$477*AW$476*$AE$496)))),"")))</f>
        <v/>
      </c>
      <c r="AX477" s="209" t="str">
        <f ca="1">IF($AE496*$AA477*'Customer Base'!$D$26*0.8&gt;5800,"",IF($AE496*$AA477&gt;$AA501,"",IF(($AA$477*AX$476*$AE$496)&lt;=$AA$501,((MOD($AA$501,($AA$477*AX$476*$AE$496)))),"")))</f>
        <v/>
      </c>
      <c r="AY477" s="209" t="str">
        <f ca="1">IF($AE496*$AA477*'Customer Base'!$D$26*0.8&gt;5800,"",IF($AE496*$AA477&gt;$AA501,"",IF(($AA$477*AY$476*$AE$496)&lt;=$AA$501,((MOD($AA$501,($AA$477*AY$476*$AE$496)))),"")))</f>
        <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6</v>
      </c>
      <c r="ED477" s="311" t="str" cm="1">
        <f t="array" aca="1" ref="ED477" ca="1">IF(EC$474=EC477,LOOKUP(2,1/(AF477:EA477&lt;&gt;""),AF477:EA477),"")</f>
        <v/>
      </c>
      <c r="EE477" s="311" t="str">
        <f ca="1">IF(ED477=ED$474,1,"")</f>
        <v/>
      </c>
      <c r="EF477" s="311"/>
      <c r="EG477" s="311"/>
      <c r="EH477" s="311"/>
      <c r="EI477" s="209">
        <v>2</v>
      </c>
      <c r="EJ477" s="310" t="s">
        <v>2682</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t="str">
        <f ca="1">IF($AE496*$AA477*'Customer Base'!$D$26*0.8&gt;5800,"",IF($AE496*$AA477&gt;$AA501,"",IF(($AA$477*EN$476*$AE$496)&lt;=$ED$474,((MOD($ED$474,($AA$477*EN$476*$AE$496)))),"")))</f>
        <v/>
      </c>
      <c r="EO477" s="209" t="str">
        <f ca="1">IF($AE496*$AA477*'Customer Base'!$D$26*0.8&gt;5800,"",IF($AE496*$AA477&gt;$AA501,"",IF(($AA$477*EO$476*$AE$496)&lt;=$ED$474,((MOD($ED$474,($AA$477*EO$476*$AE$496)))),"")))</f>
        <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t="str" cm="1">
        <f t="array" aca="1" ref="IK477" ca="1">IFERROR(LOOKUP(2,1/(EN477:II477&lt;&gt;""),EN$482:II$482),"")</f>
        <v/>
      </c>
      <c r="IL477" s="311" t="str" cm="1">
        <f t="array" aca="1" ref="IL477" ca="1">IF(IK$474=IK477,LOOKUP(2,1/(EN477:II477&lt;&gt;""),EN477:II477),"")</f>
        <v/>
      </c>
      <c r="IM477" s="311" t="str">
        <f ca="1">IF(IL477=IL$474,1,"")</f>
        <v/>
      </c>
    </row>
    <row r="478" spans="2:250" ht="17">
      <c r="B478" s="206" t="s">
        <v>1328</v>
      </c>
      <c r="C478" s="207" t="s">
        <v>80</v>
      </c>
      <c r="D478" s="207" t="s">
        <v>216</v>
      </c>
      <c r="E478" s="210" t="s">
        <v>1329</v>
      </c>
      <c r="F478" s="102" t="str">
        <f t="shared" si="21"/>
        <v>E</v>
      </c>
      <c r="AA478" s="209">
        <v>3</v>
      </c>
      <c r="AB478" s="311" t="s">
        <v>2683</v>
      </c>
      <c r="AC478" s="209">
        <f ca="1">IFERROR(MOD(AD$493,AA478),"")</f>
        <v>2</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1</v>
      </c>
      <c r="AG478" s="209">
        <f ca="1">IF($AE496*$AA478*'Customer Base'!$D$26*0.8&gt;5800,"",IF($AE496*$AA478&gt;$AA501,"",IF(($AA$478*AG$476*$AE$496)&lt;=$AA$501,((MOD($AA$501,($AA$478*AG$476*$AE$496)))),"")))</f>
        <v>1</v>
      </c>
      <c r="AH478" s="209">
        <f ca="1">IF($AE496*$AA478*'Customer Base'!$D$26*0.8&gt;5800,"",IF($AE496*$AA478&gt;$AA501,"",IF(($AA$478*AH$476*$AE$496)&lt;=$AA$501,((MOD($AA$501,($AA$478*AH$476*$AE$496)))),"")))</f>
        <v>7</v>
      </c>
      <c r="AI478" s="209">
        <f ca="1">IF($AE496*$AA478*'Customer Base'!$D$26*0.8&gt;5800,"",IF($AE496*$AA478&gt;$AA501,"",IF(($AA$478*AI$476*$AE$496)&lt;=$AA$501,((MOD($AA$501,($AA$478*AI$476*$AE$496)))),"")))</f>
        <v>1</v>
      </c>
      <c r="AJ478" s="209" t="str">
        <f ca="1">IF($AE496*$AA478*'Customer Base'!$D$26*0.8&gt;5800,"",IF($AE496*$AA478&gt;$AA501,"",IF(($AA$478*AJ$476*$AE$496)&lt;=$AA$501,((MOD($AA$501,($AA$478*AJ$476*$AE$496)))),"")))</f>
        <v/>
      </c>
      <c r="AK478" s="209" t="str">
        <f ca="1">IF($AE496*$AA478*'Customer Base'!$D$26*0.8&gt;5800,"",IF($AE496*$AA478&gt;$AA501,"",IF(($AA$478*AK$476*$AE$496)&lt;=$AA$501,((MOD($AA$501,($AA$478*AK$476*$AE$496)))),"")))</f>
        <v/>
      </c>
      <c r="AL478" s="209" t="str">
        <f ca="1">IF($AE496*$AA478*'Customer Base'!$D$26*0.8&gt;5800,"",IF($AE496*$AA478&gt;$AA501,"",IF(($AA$478*AL$476*$AE$496)&lt;=$AA$501,((MOD($AA$501,($AA$478*AL$476*$AE$496)))),"")))</f>
        <v/>
      </c>
      <c r="AM478" s="209" t="str">
        <f ca="1">IF($AE496*$AA478*'Customer Base'!$D$26*0.8&gt;5800,"",IF($AE496*$AA478&gt;$AA501,"",IF(($AA$478*AM$476*$AE$496)&lt;=$AA$501,((MOD($AA$501,($AA$478*AM$476*$AE$496)))),"")))</f>
        <v/>
      </c>
      <c r="AN478" s="209" t="str">
        <f ca="1">IF($AE496*$AA478*'Customer Base'!$D$26*0.8&gt;5800,"",IF($AE496*$AA478&gt;$AA501,"",IF(($AA$478*AN$476*$AE$496)&lt;=$AA$501,((MOD($AA$501,($AA$478*AN$476*$AE$496)))),"")))</f>
        <v/>
      </c>
      <c r="AO478" s="209" t="str">
        <f ca="1">IF($AE496*$AA478*'Customer Base'!$D$26*0.8&gt;5800,"",IF($AE496*$AA478&gt;$AA501,"",IF(($AA$478*AO$476*$AE$496)&lt;=$AA$501,((MOD($AA$501,($AA$478*AO$476*$AE$496)))),"")))</f>
        <v/>
      </c>
      <c r="AP478" s="209" t="str">
        <f ca="1">IF($AE496*$AA478*'Customer Base'!$D$26*0.8&gt;5800,"",IF($AE496*$AA478&gt;$AA501,"",IF(($AA$478*AP$476*$AE$496)&lt;=$AA$501,((MOD($AA$501,($AA$478*AP$476*$AE$496)))),"")))</f>
        <v/>
      </c>
      <c r="AQ478" s="209" t="str">
        <f ca="1">IF($AE496*$AA478*'Customer Base'!$D$26*0.8&gt;5800,"",IF($AE496*$AA478&gt;$AA501,"",IF(($AA$478*AQ$476*$AE$496)&lt;=$AA$501,((MOD($AA$501,($AA$478*AQ$476*$AE$496)))),"")))</f>
        <v/>
      </c>
      <c r="AR478" s="209" t="str">
        <f ca="1">IF($AE496*$AA478*'Customer Base'!$D$26*0.8&gt;5800,"",IF($AE496*$AA478&gt;$AA501,"",IF(($AA$478*AR$476*$AE$496)&lt;=$AA$501,((MOD($AA$501,($AA$478*AR$476*$AE$496)))),"")))</f>
        <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4</v>
      </c>
      <c r="ED478" s="311" t="str" cm="1">
        <f t="array" aca="1" ref="ED478" ca="1">IF(EC$474=EC478,LOOKUP(2,1/(AF478:EA478&lt;&gt;""),AF478:EA478),"")</f>
        <v/>
      </c>
      <c r="EE478" s="311" t="str">
        <f ca="1">IF(ED478=ED$474,1,"")</f>
        <v/>
      </c>
      <c r="EF478" s="311"/>
      <c r="EG478" s="311"/>
      <c r="EH478" s="311"/>
      <c r="EI478" s="209">
        <v>3</v>
      </c>
      <c r="EJ478" s="311" t="s">
        <v>2683</v>
      </c>
      <c r="EK478" s="209">
        <f>IFERROR(MOD(EL$495,EI478),"")</f>
        <v>0</v>
      </c>
      <c r="EL478" s="209" t="str">
        <f>IF(OR(EL483=1,EL483=""),"",IF(AND(EK479&lt;&gt;0,EK478=0),IF(EK478=0,EI478,""),IF(AND(MAX(EK477:EK479)=EI478,SUMPRODUCT(EL479,EM479)&lt;&gt;EL483),EI478,"")))</f>
        <v/>
      </c>
      <c r="EM478" s="209" t="str">
        <f>IFERROR(IF(COUNT(EL478:EL479)&gt;1,1,(ROUNDDOWN(EL$495/EL478,0))),"")</f>
        <v/>
      </c>
      <c r="EN478" s="209" t="str">
        <f ca="1">IF($AE496*$AA478*'Customer Base'!$D$26*0.8&gt;5800,"",IF($AE496*$AA478&gt;$AA501,"",IF(($AA$478*EN$476*$AE$496)&lt;=$ED$474,((MOD($ED$474,($AA$478*EN$476*$AE$496)))),"")))</f>
        <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t="str" cm="1">
        <f t="array" aca="1" ref="IK478" ca="1">IFERROR(LOOKUP(2,1/(EN478:II478&lt;&gt;""),EN$482:II$482),"")</f>
        <v/>
      </c>
      <c r="IL478" s="311" t="str" cm="1">
        <f t="array" aca="1" ref="IL478" ca="1">IF(IK$474=IK478,LOOKUP(2,1/(EN478:II478&lt;&gt;""),EN478:II478),"")</f>
        <v/>
      </c>
      <c r="IM478" s="311" t="str">
        <f ca="1">IF(IL478=IL$474,1,"")</f>
        <v/>
      </c>
    </row>
    <row r="479" spans="2:250" ht="17">
      <c r="B479" s="206" t="s">
        <v>1330</v>
      </c>
      <c r="C479" s="207" t="s">
        <v>1331</v>
      </c>
      <c r="D479" s="207" t="s">
        <v>216</v>
      </c>
      <c r="E479" s="210" t="s">
        <v>1332</v>
      </c>
      <c r="F479" s="102" t="str">
        <f t="shared" si="21"/>
        <v>R</v>
      </c>
      <c r="AA479" s="209">
        <v>4</v>
      </c>
      <c r="AB479" s="311" t="s">
        <v>2684</v>
      </c>
      <c r="AC479" s="209">
        <f ca="1">IFERROR(MOD(AD$493,AA479),"")</f>
        <v>1</v>
      </c>
      <c r="AD479" s="209">
        <f ca="1">IF(OR(AD483=1,AD483=""),"",IF(AC479=0,AA479,IF(AND(AC479&lt;&gt;0,AC478&lt;&gt;0,AC477&lt;&gt;0),AA479,IF(AND(AC479&lt;&gt;0,AC478&lt;&gt;0,AC477=0),AA479,""))))</f>
        <v>4</v>
      </c>
      <c r="AE479" s="209">
        <f ca="1">IFERROR(ROUNDDOWN(AD$493/AD479,0),"")</f>
        <v>1</v>
      </c>
      <c r="AF479" s="209">
        <f ca="1">IF($AE496*$AA479*'Customer Base'!$D$26*0.8&gt;5800,"",IF($AE496*$AA479&gt;$AA501,"",IF(($AA$479*AF$476*$AE$496)&lt;=$AA$501,((MOD($AA$501,($AA$479*AF$476*$AE$496)))),"")))</f>
        <v>1</v>
      </c>
      <c r="AG479" s="209">
        <f ca="1">IF($AE496*$AA479*'Customer Base'!$D$26*0.8&gt;5800,"",IF($AE496*$AA479&gt;$AA501,"",IF(($AA$479*AG$476*$AE$496)&lt;=$AA$501,((MOD($AA$501,($AA$479*AG$476*$AE$496)))),"")))</f>
        <v>9</v>
      </c>
      <c r="AH479" s="209">
        <f ca="1">IF($AE496*$AA479*'Customer Base'!$D$26*0.8&gt;5800,"",IF($AE496*$AA479&gt;$AA501,"",IF(($AA$479*AH$476*$AE$496)&lt;=$AA$501,((MOD($AA$501,($AA$479*AH$476*$AE$496)))),"")))</f>
        <v>1</v>
      </c>
      <c r="AI479" s="209" t="str">
        <f ca="1">IF($AE496*$AA479*'Customer Base'!$D$26*0.8&gt;5800,"",IF($AE496*$AA479&gt;$AA501,"",IF(($AA$479*AI$476*$AE$496)&lt;=$AA$501,((MOD($AA$501,($AA$479*AI$476*$AE$496)))),"")))</f>
        <v/>
      </c>
      <c r="AJ479" s="209" t="str">
        <f ca="1">IF($AE496*$AA479*'Customer Base'!$D$26*0.8&gt;5800,"",IF($AE496*$AA479&gt;$AA501,"",IF(($AA$479*AJ$476*$AE$496)&lt;=$AA$501,((MOD($AA$501,($AA$479*AJ$476*$AE$496)))),"")))</f>
        <v/>
      </c>
      <c r="AK479" s="209" t="str">
        <f ca="1">IF($AE496*$AA479*'Customer Base'!$D$26*0.8&gt;5800,"",IF($AE496*$AA479&gt;$AA501,"",IF(($AA$479*AK$476*$AE$496)&lt;=$AA$501,((MOD($AA$501,($AA$479*AK$476*$AE$496)))),"")))</f>
        <v/>
      </c>
      <c r="AL479" s="209" t="str">
        <f ca="1">IF($AE496*$AA479*'Customer Base'!$D$26*0.8&gt;5800,"",IF($AE496*$AA479&gt;$AA501,"",IF(($AA$479*AL$476*$AE$496)&lt;=$AA$501,((MOD($AA$501,($AA$479*AL$476*$AE$496)))),"")))</f>
        <v/>
      </c>
      <c r="AM479" s="209" t="str">
        <f ca="1">IF($AE496*$AA479*'Customer Base'!$D$26*0.8&gt;5800,"",IF($AE496*$AA479&gt;$AA501,"",IF(($AA$479*AM$476*$AE$496)&lt;=$AA$501,((MOD($AA$501,($AA$479*AM$476*$AE$496)))),"")))</f>
        <v/>
      </c>
      <c r="AN479" s="209" t="str">
        <f ca="1">IF($AE496*$AA479*'Customer Base'!$D$26*0.8&gt;5800,"",IF($AE496*$AA479&gt;$AA501,"",IF(($AA$479*AN$476*$AE$496)&lt;=$AA$501,((MOD($AA$501,($AA$479*AN$476*$AE$496)))),"")))</f>
        <v/>
      </c>
      <c r="AO479" s="209" t="str">
        <f ca="1">IF($AE496*$AA479*'Customer Base'!$D$26*0.8&gt;5800,"",IF($AE496*$AA479&gt;$AA501,"",IF(($AA$479*AO$476*$AE$496)&lt;=$AA$501,((MOD($AA$501,($AA$479*AO$476*$AE$496)))),"")))</f>
        <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3</v>
      </c>
      <c r="ED479" s="311" t="str" cm="1">
        <f t="array" aca="1" ref="ED479" ca="1">IF(EC$474=EC479,LOOKUP(2,1/(AF479:EA479&lt;&gt;""),AF479:EA479),"")</f>
        <v/>
      </c>
      <c r="EE479" s="311" t="str">
        <f ca="1">IF(ED479=ED$474,1,"")</f>
        <v/>
      </c>
      <c r="EF479" s="311"/>
      <c r="EG479" s="311"/>
      <c r="EH479" s="311"/>
      <c r="EI479" s="209">
        <v>4</v>
      </c>
      <c r="EJ479" s="311" t="s">
        <v>2684</v>
      </c>
      <c r="EK479" s="209">
        <f>IFERROR(MOD(EL$495,EI479),"")</f>
        <v>0</v>
      </c>
      <c r="EL479" s="209" t="str">
        <f>IF(OR(EL483=1,EL483=""),"",IF(EK479=0,EI479,IF(AND(EK479&lt;&gt;0,EK478&lt;&gt;0,EK477&lt;&gt;0),EI479,IF(AND(EK479&lt;&gt;0,EK478&lt;&gt;0,EK477=0),EI479,""))))</f>
        <v/>
      </c>
      <c r="EM479" s="209" t="str">
        <f>IFERROR(ROUNDDOWN(EL$495/EL479,0),"")</f>
        <v/>
      </c>
      <c r="EN479" s="209" t="str">
        <f ca="1">IF($AE496*$AA479*'Customer Base'!$D$26*0.8&gt;5800,"",IF($AE496*$AA479&gt;$AA501,"",IF(($AA$479*EN$476*$AE$496)&lt;=$ED$474,((MOD($ED$474,($AA$479*EN$476*$AE$496)))),"")))</f>
        <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t="str" cm="1">
        <f t="array" aca="1" ref="IK479" ca="1">IFERROR(LOOKUP(2,1/(EN479:II479&lt;&gt;""),EN$482:II$482),"")</f>
        <v/>
      </c>
      <c r="IL479" s="311" t="str" cm="1">
        <f t="array" aca="1" ref="IL479" ca="1">IF(IK$474=IK479,LOOKUP(2,1/(EN479:II479&lt;&gt;""),EN479:II479),"")</f>
        <v/>
      </c>
      <c r="IM479" s="311" t="str">
        <f ca="1">IF(IL479=IL$474,1,"")</f>
        <v/>
      </c>
    </row>
    <row r="480" spans="2:250" ht="17">
      <c r="B480" s="206" t="s">
        <v>1333</v>
      </c>
      <c r="C480" s="207" t="s">
        <v>80</v>
      </c>
      <c r="D480" s="207" t="s">
        <v>216</v>
      </c>
      <c r="E480" s="210" t="s">
        <v>1334</v>
      </c>
      <c r="F480" s="102" t="str">
        <f t="shared" si="21"/>
        <v>G</v>
      </c>
      <c r="G480" s="208" t="s">
        <v>1335</v>
      </c>
    </row>
    <row r="481" spans="2:248" ht="17">
      <c r="B481" s="206" t="s">
        <v>19</v>
      </c>
      <c r="C481" s="207" t="s">
        <v>57</v>
      </c>
      <c r="D481" s="207" t="s">
        <v>954</v>
      </c>
      <c r="E481" s="210" t="s">
        <v>1336</v>
      </c>
      <c r="F481" s="102" t="str">
        <f t="shared" si="21"/>
        <v>E</v>
      </c>
    </row>
    <row r="482" spans="2:248" ht="17">
      <c r="B482" s="206" t="s">
        <v>1338</v>
      </c>
      <c r="C482" s="207" t="s">
        <v>60</v>
      </c>
      <c r="D482" s="207" t="s">
        <v>954</v>
      </c>
      <c r="E482" s="210" t="s">
        <v>1339</v>
      </c>
      <c r="F482" s="102" t="str">
        <f t="shared" si="21"/>
        <v>E</v>
      </c>
      <c r="Z482" s="209" t="s">
        <v>2690</v>
      </c>
      <c r="AB482" s="209" t="s">
        <v>2686</v>
      </c>
      <c r="AC482" s="209" t="s">
        <v>2689</v>
      </c>
      <c r="AD482" s="209" t="s">
        <v>2685</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2686</v>
      </c>
      <c r="EK482" s="209" t="s">
        <v>2689</v>
      </c>
      <c r="EL482" s="209" t="s">
        <v>2685</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1340</v>
      </c>
      <c r="C483" s="207" t="s">
        <v>960</v>
      </c>
      <c r="D483" s="207" t="s">
        <v>960</v>
      </c>
      <c r="E483" s="210" t="s">
        <v>1341</v>
      </c>
      <c r="F483" s="102" t="str">
        <f t="shared" si="21"/>
        <v>M</v>
      </c>
      <c r="AA483" s="209">
        <v>2</v>
      </c>
      <c r="AB483" s="310" t="s">
        <v>2682</v>
      </c>
      <c r="AC483" s="209">
        <f ca="1">IFERROR(MOD(AD$493,AA483),"")</f>
        <v>1</v>
      </c>
      <c r="AD483" s="209">
        <f ca="1">IF(OR(AD489=1,AD489=""),"",IF(AND(AC485&lt;&gt;0,AC484&lt;&gt;0,AC483=0),IF(AC483=0,AA483,""),IF(AND(MAX(AC483:AC485)&lt;=AA483,SUMPRODUCT(AD484:AD485,AE484:AE485)&lt;&gt;AD489),AA483,"")))</f>
        <v>2</v>
      </c>
      <c r="AE483" s="209">
        <f ca="1">IFERROR(IF(AND(AD483&lt;&gt;"",OR(AD484&lt;&gt;"",AD485&lt;&gt;"")),1,(ROUNDDOWN(AD$493/AD483,0))),"")</f>
        <v>1</v>
      </c>
      <c r="AF483" s="209">
        <f ca="1">IF($AE497*$AA483*'Customer Base'!$D$26*0.8&gt;5800,"",IF($AE497*$AA483&gt;$AA501,"",IF(($AA$483*AF$482*$AE$497)&lt;=$AA$501,((MOD($AA$501,($AA$483*AF$482*$AE$497)))),"")))</f>
        <v>1</v>
      </c>
      <c r="AG483" s="209">
        <f ca="1">IF($AE497*$AA483*'Customer Base'!$D$26*0.8&gt;5800,"",IF($AE497*$AA483&gt;$AA501,"",IF(($AA$483*AG$482*$AE$497)&lt;=$AA$501,((MOD($AA$501,($AA$483*AG$482*$AE$497)))),"")))</f>
        <v>1</v>
      </c>
      <c r="AH483" s="209">
        <f ca="1">IF($AE497*$AA483*'Customer Base'!$D$26*0.8&gt;5800,"",IF($AE497*$AA483&gt;$AA501,"",IF(($AA$483*AH$482*$AE$497)&lt;=$AA$501,((MOD($AA$501,($AA$483*AH$482*$AE$497)))),"")))</f>
        <v>7</v>
      </c>
      <c r="AI483" s="209">
        <f ca="1">IF($AE497*$AA483*'Customer Base'!$D$26*0.8&gt;5800,"",IF($AE497*$AA483&gt;$AA501,"",IF(($AA$483*AI$482*$AE$497)&lt;=$AA$501,((MOD($AA$501,($AA$483*AI$482*$AE$497)))),"")))</f>
        <v>1</v>
      </c>
      <c r="AJ483" s="209" t="str">
        <f ca="1">IF($AE497*$AA483*'Customer Base'!$D$26*0.8&gt;5800,"",IF($AE497*$AA483&gt;$AA501,"",IF(($AA$483*AJ$482*$AE$497)&lt;=$AA$501,((MOD($AA$501,($AA$483*AJ$482*$AE$497)))),"")))</f>
        <v/>
      </c>
      <c r="AK483" s="209" t="str">
        <f ca="1">IF($AE497*$AA483*'Customer Base'!$D$26*0.8&gt;5800,"",IF($AE497*$AA483&gt;$AA501,"",IF(($AA$483*AK$482*$AE$497)&lt;=$AA$501,((MOD($AA$501,($AA$483*AK$482*$AE$497)))),"")))</f>
        <v/>
      </c>
      <c r="AL483" s="209" t="str">
        <f ca="1">IF($AE497*$AA483*'Customer Base'!$D$26*0.8&gt;5800,"",IF($AE497*$AA483&gt;$AA501,"",IF(($AA$483*AL$482*$AE$497)&lt;=$AA$501,((MOD($AA$501,($AA$483*AL$482*$AE$497)))),"")))</f>
        <v/>
      </c>
      <c r="AM483" s="209" t="str">
        <f ca="1">IF($AE497*$AA483*'Customer Base'!$D$26*0.8&gt;5800,"",IF($AE497*$AA483&gt;$AA501,"",IF(($AA$483*AM$482*$AE$497)&lt;=$AA$501,((MOD($AA$501,($AA$483*AM$482*$AE$497)))),"")))</f>
        <v/>
      </c>
      <c r="AN483" s="209" t="str">
        <f ca="1">IF($AE497*$AA483*'Customer Base'!$D$26*0.8&gt;5800,"",IF($AE497*$AA483&gt;$AA501,"",IF(($AA$483*AN$482*$AE$497)&lt;=$AA$501,((MOD($AA$501,($AA$483*AN$482*$AE$497)))),"")))</f>
        <v/>
      </c>
      <c r="AO483" s="209" t="str">
        <f ca="1">IF($AE497*$AA483*'Customer Base'!$D$26*0.8&gt;5800,"",IF($AE497*$AA483&gt;$AA501,"",IF(($AA$483*AO$482*$AE$497)&lt;=$AA$501,((MOD($AA$501,($AA$483*AO$482*$AE$497)))),"")))</f>
        <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4</v>
      </c>
      <c r="ED483" s="311" t="str" cm="1">
        <f t="array" aca="1" ref="ED483" ca="1">IF(EC$474=EC483,LOOKUP(2,1/(AF483:EA483&lt;&gt;""),AF483:EA483),"")</f>
        <v/>
      </c>
      <c r="EE483" s="311" t="str">
        <f ca="1">IF(ED483=ED$474,1,"")</f>
        <v/>
      </c>
      <c r="EF483" s="311"/>
      <c r="EG483" s="311"/>
      <c r="EH483" s="311"/>
      <c r="EI483" s="209">
        <v>2</v>
      </c>
      <c r="EJ483" s="310" t="s">
        <v>2682</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t="str">
        <f ca="1">IF($AE497*$AA483*'Customer Base'!$D$26*0.8&gt;5800,"",IF($AE497*$AA483&gt;$AA501,"",IF(($AA$483*EN$482*$AE$497)&lt;=$ED$474,((MOD($ED$474,($AA$483*EN$482*$AE$497)))),"")))</f>
        <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t="str" cm="1">
        <f t="array" aca="1" ref="IK483" ca="1">IFERROR(LOOKUP(2,1/(EN483:II483&lt;&gt;""),EN$482:II$482),"")</f>
        <v/>
      </c>
      <c r="IL483" s="311" t="str" cm="1">
        <f t="array" aca="1" ref="IL483" ca="1">IF(IK$474=IK483,LOOKUP(2,1/(EN483:II483&lt;&gt;""),EN483:II483),"")</f>
        <v/>
      </c>
      <c r="IM483" s="311" t="str">
        <f ca="1">IF(IL483=IL$474,1,"")</f>
        <v/>
      </c>
      <c r="IN483" s="311"/>
    </row>
    <row r="484" spans="2:248" ht="17">
      <c r="B484" s="206" t="s">
        <v>1342</v>
      </c>
      <c r="C484" s="207" t="s">
        <v>1343</v>
      </c>
      <c r="D484" s="207" t="s">
        <v>954</v>
      </c>
      <c r="F484" s="102" t="str">
        <f t="shared" si="21"/>
        <v>E</v>
      </c>
      <c r="AA484" s="209">
        <v>3</v>
      </c>
      <c r="AB484" s="311" t="s">
        <v>2683</v>
      </c>
      <c r="AC484" s="209">
        <f ca="1">IFERROR(MOD(AD$493,AA484),"")</f>
        <v>2</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7</v>
      </c>
      <c r="AG484" s="209">
        <f ca="1">IF($AE497*$AA484*'Customer Base'!$D$26*0.8&gt;5800,"",IF($AE497*$AA484&gt;$AA501,"",IF(($AA$484*AG$482*$AE$497)&lt;=$AA$501,((MOD($AA$501,($AA$484*AG$482*$AE$497)))),"")))</f>
        <v>7</v>
      </c>
      <c r="AH484" s="209" t="str">
        <f ca="1">IF($AE497*$AA484*'Customer Base'!$D$26*0.8&gt;5800,"",IF($AE497*$AA484&gt;$AA501,"",IF(($AA$484*AH$482*$AE$497)&lt;=$AA$501,((MOD($AA$501,($AA$484*AH$482*$AE$497)))),"")))</f>
        <v/>
      </c>
      <c r="AI484" s="209" t="str">
        <f ca="1">IF($AE497*$AA484*'Customer Base'!$D$26*0.8&gt;5800,"",IF($AE497*$AA484&gt;$AA501,"",IF(($AA$484*AI$482*$AE$497)&lt;=$AA$501,((MOD($AA$501,($AA$484*AI$482*$AE$497)))),"")))</f>
        <v/>
      </c>
      <c r="AJ484" s="209" t="str">
        <f ca="1">IF($AE497*$AA484*'Customer Base'!$D$26*0.8&gt;5800,"",IF($AE497*$AA484&gt;$AA501,"",IF(($AA$484*AJ$482*$AE$497)&lt;=$AA$501,((MOD($AA$501,($AA$484*AJ$482*$AE$497)))),"")))</f>
        <v/>
      </c>
      <c r="AK484" s="209" t="str">
        <f ca="1">IF($AE497*$AA484*'Customer Base'!$D$26*0.8&gt;5800,"",IF($AE497*$AA484&gt;$AA501,"",IF(($AA$484*AK$482*$AE$497)&lt;=$AA$501,((MOD($AA$501,($AA$484*AK$482*$AE$497)))),"")))</f>
        <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2</v>
      </c>
      <c r="ED484" s="311" cm="1">
        <f t="array" aca="1" ref="ED484" ca="1">IF(EC$474=EC484,LOOKUP(2,1/(AF484:EA484&lt;&gt;""),AF484:EA484),"")</f>
        <v>7</v>
      </c>
      <c r="EE484" s="311" t="str">
        <f ca="1">IF(ED484=ED$474,1,"")</f>
        <v/>
      </c>
      <c r="EF484" s="311"/>
      <c r="EG484" s="311"/>
      <c r="EH484" s="311"/>
      <c r="EI484" s="209">
        <v>3</v>
      </c>
      <c r="EJ484" s="311" t="s">
        <v>2683</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1344</v>
      </c>
      <c r="D485" s="207" t="s">
        <v>1345</v>
      </c>
      <c r="F485" s="102" t="str">
        <f t="shared" si="21"/>
        <v>P</v>
      </c>
      <c r="AA485" s="209">
        <v>4</v>
      </c>
      <c r="AB485" s="311" t="s">
        <v>2684</v>
      </c>
      <c r="AC485" s="209">
        <f ca="1">IFERROR(MOD(AD$493,AA485),"")</f>
        <v>1</v>
      </c>
      <c r="AD485" s="209">
        <f ca="1">IF(OR(AD489=1,AD489=""),"",IF(AC485=0,AA485,IF(AND(AC485&lt;&gt;0,AC484&lt;&gt;0,AC483&lt;&gt;0),AA485,IF(AND(AC485&lt;&gt;0,AC484&lt;&gt;0,AC483=0),AA485,""))))</f>
        <v>4</v>
      </c>
      <c r="AE485" s="209">
        <f ca="1">IFERROR(ROUNDDOWN(AD$493/AD485,0),"")</f>
        <v>1</v>
      </c>
      <c r="AF485" s="209">
        <f ca="1">IF($AE497*$AA485*'Customer Base'!$D$26*0.8&gt;5800,"",IF($AE497*$AA485&gt;$AA501,"",IF(($AA$485*AF$482*$AE$497)&lt;=$AA$501,((MOD($AA$501,($AA$485*AF$482*$AE$497)))),"")))</f>
        <v>1</v>
      </c>
      <c r="AG485" s="209">
        <f ca="1">IF($AE497*$AA485*'Customer Base'!$D$26*0.8&gt;5800,"",IF($AE497*$AA485&gt;$AA501,"",IF(($AA$485*AG$482*$AE$497)&lt;=$AA$501,((MOD($AA$501,($AA$485*AG$482*$AE$497)))),"")))</f>
        <v>1</v>
      </c>
      <c r="AH485" s="209" t="str">
        <f ca="1">IF($AE497*$AA485*'Customer Base'!$D$26*0.8&gt;5800,"",IF($AE497*$AA485&gt;$AA501,"",IF(($AA$485*AH$482*$AE$497)&lt;=$AA$501,((MOD($AA$501,($AA$485*AH$482*$AE$497)))),"")))</f>
        <v/>
      </c>
      <c r="AI485" s="209" t="str">
        <f ca="1">IF($AE497*$AA485*'Customer Base'!$D$26*0.8&gt;5800,"",IF($AE497*$AA485&gt;$AA501,"",IF(($AA$485*AI$482*$AE$497)&lt;=$AA$501,((MOD($AA$501,($AA$485*AI$482*$AE$497)))),"")))</f>
        <v/>
      </c>
      <c r="AJ485" s="209" t="str">
        <f ca="1">IF($AE497*$AA485*'Customer Base'!$D$26*0.8&gt;5800,"",IF($AE497*$AA485&gt;$AA501,"",IF(($AA$485*AJ$482*$AE$497)&lt;=$AA$501,((MOD($AA$501,($AA$485*AJ$482*$AE$497)))),"")))</f>
        <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2</v>
      </c>
      <c r="ED485" s="311" cm="1">
        <f t="array" aca="1" ref="ED485" ca="1">IF(EC$474=EC485,LOOKUP(2,1/(AF485:EA485&lt;&gt;""),AF485:EA485),"")</f>
        <v>1</v>
      </c>
      <c r="EE485" s="311">
        <f ca="1">IF(ED485=ED$474,1,"")</f>
        <v>1</v>
      </c>
      <c r="EF485" s="311"/>
      <c r="EG485" s="311"/>
      <c r="EH485" s="311"/>
      <c r="EI485" s="209">
        <v>4</v>
      </c>
      <c r="EJ485" s="311" t="s">
        <v>2684</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1346</v>
      </c>
      <c r="C486" s="207" t="s">
        <v>389</v>
      </c>
      <c r="D486" s="207" t="s">
        <v>954</v>
      </c>
      <c r="E486" s="210" t="s">
        <v>1347</v>
      </c>
      <c r="F486" s="102" t="str">
        <f t="shared" si="21"/>
        <v>E</v>
      </c>
      <c r="EE486" s="311"/>
      <c r="EF486" s="311"/>
      <c r="EG486" s="311"/>
      <c r="EH486" s="311"/>
      <c r="IM486" s="311"/>
      <c r="IN486" s="311"/>
    </row>
    <row r="487" spans="2:248" ht="17">
      <c r="B487" s="206" t="s">
        <v>1348</v>
      </c>
      <c r="C487" s="207" t="s">
        <v>51</v>
      </c>
      <c r="D487" s="207" t="s">
        <v>51</v>
      </c>
      <c r="E487" s="210" t="s">
        <v>1325</v>
      </c>
      <c r="F487" s="102" t="str">
        <f t="shared" si="21"/>
        <v>T-FH</v>
      </c>
      <c r="EE487" s="311"/>
      <c r="EF487" s="311"/>
      <c r="EG487" s="311"/>
      <c r="EH487" s="311"/>
      <c r="IM487" s="311"/>
      <c r="IN487" s="311"/>
    </row>
    <row r="488" spans="2:248" ht="17">
      <c r="B488" s="206" t="s">
        <v>1349</v>
      </c>
      <c r="C488" s="207" t="s">
        <v>51</v>
      </c>
      <c r="D488" s="207" t="s">
        <v>51</v>
      </c>
      <c r="E488" s="210" t="s">
        <v>1325</v>
      </c>
      <c r="F488" s="102" t="str">
        <f t="shared" si="21"/>
        <v>T-FH</v>
      </c>
      <c r="Z488" s="209" t="s">
        <v>2691</v>
      </c>
      <c r="AB488" s="209" t="s">
        <v>2686</v>
      </c>
      <c r="AC488" s="209" t="s">
        <v>2689</v>
      </c>
      <c r="AD488" s="209" t="s">
        <v>2685</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2686</v>
      </c>
      <c r="EK488" s="209" t="s">
        <v>2689</v>
      </c>
      <c r="EL488" s="209" t="s">
        <v>2685</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1350</v>
      </c>
      <c r="C489" s="207" t="s">
        <v>51</v>
      </c>
      <c r="D489" s="207" t="s">
        <v>51</v>
      </c>
      <c r="E489" s="210" t="s">
        <v>1325</v>
      </c>
      <c r="F489" s="102" t="str">
        <f t="shared" si="21"/>
        <v>T-FH</v>
      </c>
      <c r="AA489" s="209">
        <v>2</v>
      </c>
      <c r="AB489" s="310" t="s">
        <v>2682</v>
      </c>
      <c r="AC489" s="209">
        <f ca="1">IFERROR(MOD(AD$493,AA489),"")</f>
        <v>1</v>
      </c>
      <c r="AD489" s="209">
        <f ca="1">IF(OR(AD493=1,AD493=""),"",IF(AND(AC491&lt;&gt;0,AC490&lt;&gt;0,AC489=0),IF(AC489=0,AA489,""),IF(AND(MAX(AC489:AC491)&lt;=AA489,SUMPRODUCT(AD490:AD491,AE490:AE491)&lt;&gt;AD493),AA489,"")))</f>
        <v>2</v>
      </c>
      <c r="AE489" s="209">
        <f ca="1">IFERROR(IF(AND(AD489&lt;&gt;"",OR(AD490&lt;&gt;"",AD491&lt;&gt;"")),1,(ROUNDDOWN(AD$493/AD489,0))),"")</f>
        <v>1</v>
      </c>
      <c r="AF489" s="209">
        <f ca="1">IF($AE498*$AA489*'Customer Base'!$D$26*0.8&gt;5800,"",IF($AE498*$AA489&gt;$AA501,"",IF(($AA$489*AF$488*$AE$498)&lt;=$AA$501,((MOD($AA$501,($AA$489*AF$488*$AE$498)))),"")))</f>
        <v>1</v>
      </c>
      <c r="AG489" s="209">
        <f ca="1">IF($AE498*$AA489*'Customer Base'!$D$26*0.8&gt;5800,"",IF($AE498*$AA489&gt;$AA501,"",IF(($AA$489*AG$488*$AE$498)&lt;=$AA$501,((MOD($AA$501,($AA$489*AG$488*$AE$498)))),"")))</f>
        <v>9</v>
      </c>
      <c r="AH489" s="209">
        <f ca="1">IF($AE498*$AA489*'Customer Base'!$D$26*0.8&gt;5800,"",IF($AE498*$AA489&gt;$AA501,"",IF(($AA$489*AH$488*$AE$498)&lt;=$AA$501,((MOD($AA$501,($AA$489*AH$488*$AE$498)))),"")))</f>
        <v>1</v>
      </c>
      <c r="AI489" s="209" t="str">
        <f ca="1">IF($AE498*$AA489*'Customer Base'!$D$26*0.8&gt;5800,"",IF($AE498*$AA489&gt;$AA501,"",IF(($AA$489*AI$488*$AE$498)&lt;=$AA$501,((MOD($AA$501,($AA$489*AI$488*$AE$498)))),"")))</f>
        <v/>
      </c>
      <c r="AJ489" s="209" t="str">
        <f ca="1">IF($AE498*$AA489*'Customer Base'!$D$26*0.8&gt;5800,"",IF($AE498*$AA489&gt;$AA501,"",IF(($AA$489*AJ$488*$AE$498)&lt;=$AA$501,((MOD($AA$501,($AA$489*AJ$488*$AE$498)))),"")))</f>
        <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3</v>
      </c>
      <c r="ED489" s="311" t="str" cm="1">
        <f t="array" aca="1" ref="ED489" ca="1">IF(EC$474=EC489,LOOKUP(2,1/(AF489:EA489&lt;&gt;""),AF489:EA489),"")</f>
        <v/>
      </c>
      <c r="EE489" s="311" t="str">
        <f ca="1">IF(ED489=ED$474,1,"")</f>
        <v/>
      </c>
      <c r="EF489" s="311"/>
      <c r="EG489" s="311"/>
      <c r="EH489" s="311"/>
      <c r="EI489" s="209">
        <v>2</v>
      </c>
      <c r="EJ489" s="310" t="s">
        <v>2682</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1351</v>
      </c>
      <c r="C490" s="207" t="s">
        <v>51</v>
      </c>
      <c r="D490" s="207" t="s">
        <v>51</v>
      </c>
      <c r="E490" s="210" t="s">
        <v>1325</v>
      </c>
      <c r="F490" s="102" t="str">
        <f t="shared" si="21"/>
        <v>T-FH</v>
      </c>
      <c r="AA490" s="209">
        <v>3</v>
      </c>
      <c r="AB490" s="311" t="s">
        <v>2683</v>
      </c>
      <c r="AC490" s="209">
        <f ca="1">IFERROR(MOD(AD$493,AA490),"")</f>
        <v>2</v>
      </c>
      <c r="AD490" s="209" t="str">
        <f ca="1">IF(OR(AD493=1,AD493=""),"",IF(AND(AC491&lt;&gt;0,AC490=0),IF(AC490=0,AA490,""),IF(AND(MAX(AC489:AC491)=AA490,SUMPRODUCT(AD491,AE491)&lt;&gt;AD493),AA490,"")))</f>
        <v/>
      </c>
      <c r="AE490" s="209" t="str">
        <f ca="1">IFERROR(IF(COUNT(AD490:AD491)&gt;1,1,(ROUNDDOWN(AD$493/AD490,0))),"")</f>
        <v/>
      </c>
      <c r="AF490" s="209">
        <f ca="1">IF($AE498*$AA490*'Customer Base'!$D$26*0.8&gt;5800,"",IF($AE498*$AA490&gt;$AA501,"",IF(($AA$490*AF$488*$AE$498)&lt;=$AA$501,((MOD($AA$501,($AA$490*AF$488*$AE$498)))),"")))</f>
        <v>1</v>
      </c>
      <c r="AG490" s="209">
        <f ca="1">IF($AE498*$AA490*'Customer Base'!$D$26*0.8&gt;5800,"",IF($AE498*$AA490&gt;$AA501,"",IF(($AA$490*AG$488*$AE$498)&lt;=$AA$501,((MOD($AA$501,($AA$490*AG$488*$AE$498)))),"")))</f>
        <v>1</v>
      </c>
      <c r="AH490" s="209" t="str">
        <f ca="1">IF($AE498*$AA490*'Customer Base'!$D$26*0.8&gt;5800,"",IF($AE498*$AA490&gt;$AA501,"",IF(($AA$490*AH$488*$AE$498)&lt;=$AA$501,((MOD($AA$501,($AA$490*AH$488*$AE$498)))),"")))</f>
        <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cm="1">
        <f t="array" aca="1" ref="EC490" ca="1">IFERROR(LOOKUP(2,1/(AF490:EA490&lt;&gt;""),AF$488:EA$488),"")</f>
        <v>2</v>
      </c>
      <c r="ED490" s="311" cm="1">
        <f t="array" aca="1" ref="ED490" ca="1">IF(EC$474=EC490,LOOKUP(2,1/(AF490:EA490&lt;&gt;""),AF490:EA490),"")</f>
        <v>1</v>
      </c>
      <c r="EE490" s="311">
        <f ca="1">IF(ED490=ED$474,1,"")</f>
        <v>1</v>
      </c>
      <c r="EF490" s="311"/>
      <c r="EG490" s="311"/>
      <c r="EH490" s="311"/>
      <c r="EI490" s="209">
        <v>3</v>
      </c>
      <c r="EJ490" s="311" t="s">
        <v>2683</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1353</v>
      </c>
      <c r="C491" s="207" t="s">
        <v>295</v>
      </c>
      <c r="D491" s="207" t="s">
        <v>295</v>
      </c>
      <c r="E491" s="210" t="s">
        <v>1354</v>
      </c>
      <c r="F491" s="102" t="str">
        <f t="shared" si="21"/>
        <v>NC</v>
      </c>
      <c r="AA491" s="209">
        <v>4</v>
      </c>
      <c r="AB491" s="311" t="s">
        <v>2684</v>
      </c>
      <c r="AC491" s="209">
        <f ca="1">IFERROR(MOD(AD$493,AA491),"")</f>
        <v>1</v>
      </c>
      <c r="AD491" s="209">
        <f ca="1">IF(OR(AD493=1,AD493=""),"",IF(AC491=0,AA491,IF(AND(AC491&lt;&gt;0,AC490&lt;&gt;0,AC489&lt;&gt;0),AA491,IF(AND(AC491&lt;&gt;0,AC490&lt;&gt;0,AC489=0),AA491,""))))</f>
        <v>4</v>
      </c>
      <c r="AE491" s="209">
        <f ca="1">IFERROR(ROUNDDOWN(AD$493/AD491,0),"")</f>
        <v>1</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2684</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1359</v>
      </c>
      <c r="C492" s="207" t="s">
        <v>1357</v>
      </c>
      <c r="D492" s="207" t="s">
        <v>957</v>
      </c>
      <c r="F492" s="102" t="str">
        <f t="shared" si="21"/>
        <v>N</v>
      </c>
      <c r="G492" s="208" t="s">
        <v>1358</v>
      </c>
      <c r="AC492" s="209" t="s">
        <v>2677</v>
      </c>
      <c r="AD492" s="209" t="s">
        <v>2678</v>
      </c>
    </row>
    <row r="493" spans="2:248" ht="17" customHeight="1">
      <c r="B493" s="206" t="s">
        <v>1804</v>
      </c>
      <c r="C493" s="207" t="s">
        <v>1805</v>
      </c>
      <c r="D493" s="207" t="s">
        <v>957</v>
      </c>
      <c r="F493" s="102" t="str">
        <f t="shared" si="21"/>
        <v>NI</v>
      </c>
      <c r="G493" s="208" t="s">
        <v>1806</v>
      </c>
      <c r="AC493" s="209">
        <f ca="1">IF(AA501=0,0/0,ROUNDDOWN(EH474/AB500,0))</f>
        <v>5</v>
      </c>
      <c r="AD493" s="209">
        <f ca="1">IFERROR(SUM(Items!A242:A254)/AC493,"")</f>
        <v>5</v>
      </c>
    </row>
    <row r="494" spans="2:248" ht="17" customHeight="1">
      <c r="B494" s="206" t="s">
        <v>2402</v>
      </c>
      <c r="C494" s="207" t="s">
        <v>2404</v>
      </c>
      <c r="D494" s="207" t="s">
        <v>216</v>
      </c>
      <c r="F494" s="102" t="str">
        <f t="shared" si="21"/>
        <v>NI-F</v>
      </c>
    </row>
    <row r="495" spans="2:248" ht="17" customHeight="1">
      <c r="B495" s="206" t="s">
        <v>2403</v>
      </c>
      <c r="C495" s="207" t="s">
        <v>2404</v>
      </c>
      <c r="D495" s="207" t="s">
        <v>216</v>
      </c>
      <c r="F495" s="102" t="str">
        <f t="shared" si="21"/>
        <v>NI-K</v>
      </c>
      <c r="AA495" s="209">
        <v>75</v>
      </c>
      <c r="AB495" s="209" t="s">
        <v>2681</v>
      </c>
      <c r="AC495" s="209" t="str">
        <f ca="1">IFERROR(VLOOKUP(X500,W$501:AB$516,5,FALSE),"")</f>
        <v/>
      </c>
      <c r="AE495" s="209">
        <f ca="1">ROUNDDOWN(AA495/AB$500,0)</f>
        <v>1</v>
      </c>
    </row>
    <row r="496" spans="2:248" ht="17" customHeight="1">
      <c r="B496" s="206" t="s">
        <v>1360</v>
      </c>
      <c r="C496" s="207" t="s">
        <v>1361</v>
      </c>
      <c r="D496" s="207" t="s">
        <v>958</v>
      </c>
      <c r="E496" s="210" t="s">
        <v>1362</v>
      </c>
      <c r="F496" s="102" t="str">
        <f t="shared" si="21"/>
        <v>BEK</v>
      </c>
      <c r="AA496" s="209">
        <v>100</v>
      </c>
      <c r="AB496" s="209" t="s">
        <v>2681</v>
      </c>
      <c r="AC496" s="209" t="str">
        <f ca="1">IFERROR(VLOOKUP(X501,W$501:AB$516,5,FALSE),"")</f>
        <v/>
      </c>
      <c r="AE496" s="209">
        <f ca="1">ROUNDDOWN(AA496/AB$500,0)</f>
        <v>2</v>
      </c>
    </row>
    <row r="497" spans="2:34" ht="17">
      <c r="B497" s="206" t="s">
        <v>1363</v>
      </c>
      <c r="C497" s="207" t="s">
        <v>1364</v>
      </c>
      <c r="D497" s="207" t="s">
        <v>216</v>
      </c>
      <c r="E497" s="210" t="s">
        <v>1365</v>
      </c>
      <c r="F497" s="102" t="str">
        <f t="shared" si="21"/>
        <v>AT</v>
      </c>
      <c r="AA497" s="209">
        <v>150</v>
      </c>
      <c r="AB497" s="209" t="s">
        <v>2681</v>
      </c>
      <c r="AC497" s="209">
        <f ca="1">IFERROR(VLOOKUP(X502,W$501:AB$516,5,FALSE),"")</f>
        <v>1</v>
      </c>
      <c r="AE497" s="209">
        <f ca="1">ROUNDDOWN(AA497/AB$500,0)</f>
        <v>3</v>
      </c>
    </row>
    <row r="498" spans="2:34" ht="17">
      <c r="B498" s="206" t="s">
        <v>1367</v>
      </c>
      <c r="C498" s="207" t="s">
        <v>1368</v>
      </c>
      <c r="D498" s="207" t="s">
        <v>216</v>
      </c>
      <c r="E498" s="210" t="s">
        <v>1369</v>
      </c>
      <c r="F498" s="102" t="str">
        <f t="shared" si="21"/>
        <v>IQ</v>
      </c>
      <c r="AA498" s="209">
        <v>250</v>
      </c>
      <c r="AB498" s="209" t="s">
        <v>2679</v>
      </c>
      <c r="AC498" s="209">
        <f ca="1">IFERROR(VLOOKUP(X503,W$501:AB$516,5,FALSE),"")</f>
        <v>5</v>
      </c>
      <c r="AE498" s="209">
        <f ca="1">IF(AND(MOD(AA501,AG498)&lt;&gt;0,AG498-AE497&gt;1),AG498-1,IF(AND(N1*'Customer Base'!D26*0.8&gt;5800,AG498-AE497&gt;1),AG498-1,AG498))</f>
        <v>4</v>
      </c>
      <c r="AG498" s="209">
        <f ca="1">ROUNDDOWN(AA498/AB$500,0)</f>
        <v>5</v>
      </c>
    </row>
    <row r="499" spans="2:34" ht="17">
      <c r="B499" s="206" t="s">
        <v>1370</v>
      </c>
      <c r="C499" s="207" t="s">
        <v>216</v>
      </c>
      <c r="D499" s="207" t="s">
        <v>216</v>
      </c>
      <c r="E499" s="210" t="s">
        <v>1371</v>
      </c>
      <c r="F499" s="102" t="str">
        <f t="shared" si="21"/>
        <v>GK</v>
      </c>
      <c r="Z499" s="309"/>
      <c r="AA499" s="309">
        <v>450</v>
      </c>
      <c r="AB499" s="209" t="s">
        <v>2680</v>
      </c>
      <c r="AC499" s="209" t="str">
        <f ca="1">IFERROR(VLOOKUP(X504,W$501:AB$516,5,FALSE),"")</f>
        <v/>
      </c>
      <c r="AE499" s="209">
        <f ca="1">ROUNDDOWN(AA499/AB$500,0)</f>
        <v>9</v>
      </c>
    </row>
    <row r="500" spans="2:34" ht="17">
      <c r="B500" s="206" t="s">
        <v>1372</v>
      </c>
      <c r="C500" s="207" t="s">
        <v>1150</v>
      </c>
      <c r="D500" s="207" t="s">
        <v>216</v>
      </c>
      <c r="E500" s="210" t="s">
        <v>1373</v>
      </c>
      <c r="F500" s="102" t="str">
        <f t="shared" si="21"/>
        <v>AM</v>
      </c>
      <c r="AB500" s="209" cm="1">
        <f t="array" aca="1" ref="AB500" ca="1">IFERROR(LOOKUP(2,1/(AB502:AB601&lt;&gt;""),AB502:AB601),IF('Customer Base'!D7&lt;&gt;"Backup",SUMPRODUCT(Items!A242:A254,Items!AQ242:AQ254)/SUM(Items!A242:A254),""))</f>
        <v>47.7</v>
      </c>
    </row>
    <row r="501" spans="2:34" ht="17">
      <c r="B501" s="206" t="s">
        <v>1374</v>
      </c>
      <c r="C501" s="207" t="s">
        <v>1375</v>
      </c>
      <c r="D501" s="207" t="s">
        <v>1375</v>
      </c>
      <c r="E501" s="210" t="s">
        <v>1572</v>
      </c>
      <c r="F501" s="102" t="str">
        <f t="shared" si="21"/>
        <v>NATC</v>
      </c>
      <c r="W501" s="209" t="str">
        <f ca="1">IF(AND($AB501&gt;=AB500,$AB501&lt;150),1,IF(AND($AB501&gt;=150,$AB501&lt;250),2,IF(AND($AB501&gt;=250,$AB501&lt;450),3,"")))</f>
        <v/>
      </c>
      <c r="X501" s="209" t="s">
        <v>2670</v>
      </c>
      <c r="Y501" s="209" t="str" cm="1">
        <f t="array" ref="Y501">SUBSTITUTE(TRIM(_xlfn.CONCAT(P1:P100 &amp; " ")), " ", ", ")</f>
        <v>25, 5, 1</v>
      </c>
      <c r="Z501" s="309" t="str" cm="1">
        <f t="array" aca="1" ref="Z501" ca="1">IFERROR(LEFT(Y501, MATCH(FALSE, ISNUMBER(MID(Y501, ROW(INDIRECT("1:"&amp;LEN(Y501)+1)), 1) *1), 0) -1),"")</f>
        <v>25</v>
      </c>
      <c r="AA501" s="209">
        <f ca="1">IFERROR(VALUE(Z501),"")</f>
        <v>25</v>
      </c>
      <c r="AB501" s="209">
        <f ca="1">IFERROR(AA501*SUMPRODUCT(Items!A$242:A$254,Items!AQ$242:AQ$254)/SUM(Items!A$242:A$254),"")</f>
        <v>1192.5</v>
      </c>
      <c r="AH501" s="309"/>
    </row>
    <row r="502" spans="2:34" ht="17">
      <c r="B502" s="206" t="s">
        <v>1390</v>
      </c>
      <c r="C502" s="207" t="s">
        <v>855</v>
      </c>
      <c r="D502" s="207" t="s">
        <v>955</v>
      </c>
      <c r="E502" s="210" t="s">
        <v>1391</v>
      </c>
      <c r="F502" s="102" t="str">
        <f t="shared" si="21"/>
        <v>LC</v>
      </c>
      <c r="W502" s="209">
        <f ca="1">IF(AND($AB502&gt;=AB500,$AB502&lt;150),1,IF(AND($AB502&gt;=150,$AB502&lt;250),2,IF(AND($AB502&gt;=250,$AB502&lt;450),3,"")))</f>
        <v>2</v>
      </c>
      <c r="X502" s="209">
        <v>1</v>
      </c>
      <c r="Y502" s="209" t="str" cm="1">
        <f t="array" ref="Y502">SUBSTITUTE(TRIM(_xlfn.CONCAT(P2:P101 &amp; " ")), " ", ", ")</f>
        <v>5, 1</v>
      </c>
      <c r="Z502" s="309" t="str" cm="1">
        <f t="array" aca="1" ref="Z502" ca="1">IFERROR(LEFT(Y502, MATCH(FALSE, ISNUMBER(MID(Y502, ROW(INDIRECT("1:"&amp;LEN(Y502)+1)), 1) *1), 0) -1),"")</f>
        <v>5</v>
      </c>
      <c r="AA502" s="209">
        <f ca="1">IFERROR(VALUE(Z502),"")</f>
        <v>5</v>
      </c>
      <c r="AB502" s="209">
        <f ca="1">IFERROR(AA502*SUMPRODUCT(Items!A$242:A$254,Items!AQ$242:AQ$254)/SUM(Items!A$242:A$254),"")</f>
        <v>238.5</v>
      </c>
      <c r="AH502" s="309"/>
    </row>
    <row r="503" spans="2:34" ht="17">
      <c r="B503" s="206" t="s">
        <v>1392</v>
      </c>
      <c r="C503" s="207" t="s">
        <v>1393</v>
      </c>
      <c r="D503" s="207" t="s">
        <v>216</v>
      </c>
      <c r="E503" s="210" t="s">
        <v>1394</v>
      </c>
      <c r="F503" s="102" t="str">
        <f t="shared" si="21"/>
        <v>DGW</v>
      </c>
      <c r="W503" s="209">
        <f ca="1">IF(AND($AB503&gt;=AB500,$AB503&lt;150),1,IF(AND($AB503&gt;=150,$AB503&lt;250),2,IF(AND($AB503&gt;=250,$AB503&lt;450),3,"")))</f>
        <v>1</v>
      </c>
      <c r="X503" s="209">
        <v>2</v>
      </c>
      <c r="Y503" s="209" t="str" cm="1">
        <f t="array" ref="Y503">SUBSTITUTE(TRIM(_xlfn.CONCAT(P3:P102 &amp; " ")), " ", ", ")</f>
        <v>1</v>
      </c>
      <c r="Z503" s="309" t="str" cm="1">
        <f t="array" aca="1" ref="Z503" ca="1">IFERROR(LEFT(Y503, MATCH(FALSE, ISNUMBER(MID(Y503, ROW(INDIRECT("1:"&amp;LEN(Y503)+1)), 1) *1), 0) -1),"")</f>
        <v>1</v>
      </c>
      <c r="AA503" s="209">
        <f t="shared" ref="AA503:AA516" ca="1" si="22">IFERROR(VALUE(Z503),"")</f>
        <v>1</v>
      </c>
      <c r="AB503" s="209">
        <f ca="1">IFERROR(AA503*SUMPRODUCT(Items!A$242:A$254,Items!AQ$242:AQ$254)/SUM(Items!A$242:A$254),"")</f>
        <v>47.7</v>
      </c>
      <c r="AH503" s="309"/>
    </row>
    <row r="504" spans="2:34" ht="17">
      <c r="B504" s="206" t="s">
        <v>1395</v>
      </c>
      <c r="C504" s="207" t="s">
        <v>1396</v>
      </c>
      <c r="D504" s="207" t="s">
        <v>216</v>
      </c>
      <c r="E504" s="210" t="s">
        <v>1397</v>
      </c>
      <c r="F504" s="102" t="str">
        <f t="shared" si="21"/>
        <v>N</v>
      </c>
      <c r="W504" s="209" t="str">
        <f ca="1">IF(AND($AB504&gt;=AB500,$AB504&lt;150),1,IF(AND($AB504&gt;=150,$AB504&lt;250),2,IF(AND($AB504&gt;=250,$AB504&lt;450),3,"")))</f>
        <v/>
      </c>
      <c r="X504" s="209">
        <v>3</v>
      </c>
      <c r="Y504" s="209" t="str" cm="1">
        <f t="array" ref="Y504">SUBSTITUTE(TRIM(_xlfn.CONCAT(P4:P103 &amp; " ")), " ", ", ")</f>
        <v/>
      </c>
      <c r="Z504" s="309" t="str" cm="1">
        <f t="array" aca="1" ref="Z504" ca="1">IFERROR(LEFT(Y504, MATCH(FALSE, ISNUMBER(MID(Y504, ROW(INDIRECT("1:"&amp;LEN(Y504)+1)), 1) *1), 0) -1),"")</f>
        <v/>
      </c>
      <c r="AA504" s="209" t="str">
        <f t="shared" ca="1" si="22"/>
        <v/>
      </c>
      <c r="AB504" s="209" t="str">
        <f ca="1">IFERROR(AA504*SUMPRODUCT(Items!A$242:A$254,Items!AQ$242:AQ$254)/SUM(Items!A$242:A$254),"")</f>
        <v/>
      </c>
      <c r="AH504" s="309"/>
    </row>
    <row r="505" spans="2:34" ht="17">
      <c r="B505" s="206" t="s">
        <v>1398</v>
      </c>
      <c r="C505" s="207" t="s">
        <v>216</v>
      </c>
      <c r="D505" s="207" t="s">
        <v>216</v>
      </c>
      <c r="E505" s="210" t="s">
        <v>1399</v>
      </c>
      <c r="F505" s="102" t="str">
        <f t="shared" si="21"/>
        <v>M</v>
      </c>
      <c r="W505" s="209" t="str">
        <f ca="1">IF(AND($AB505&gt;=AB500,$AB505&lt;150),1,IF(AND($AB505&gt;=150,$AB505&lt;250),2,IF(AND($AB505&gt;=250,$AB505&lt;450),3,"")))</f>
        <v/>
      </c>
      <c r="X505" s="209">
        <v>4</v>
      </c>
      <c r="Y505" s="209" t="str" cm="1">
        <f t="array" ref="Y505">SUBSTITUTE(TRIM(_xlfn.CONCAT(P5:P104 &amp; " ")), " ", ", ")</f>
        <v/>
      </c>
      <c r="Z505" s="309" t="str" cm="1">
        <f t="array" aca="1" ref="Z505" ca="1">IFERROR(LEFT(Y505, MATCH(FALSE, ISNUMBER(MID(Y505, ROW(INDIRECT("1:"&amp;LEN(Y505)+1)), 1) *1), 0) -1),"")</f>
        <v/>
      </c>
      <c r="AA505" s="209" t="str">
        <f t="shared" ca="1" si="22"/>
        <v/>
      </c>
      <c r="AB505" s="209" t="str">
        <f ca="1">IFERROR(AA505*SUMPRODUCT(Items!A$242:A$254,Items!AQ$242:AQ$254)/SUM(Items!A$242:A$254),"")</f>
        <v/>
      </c>
      <c r="AH505" s="309"/>
    </row>
    <row r="506" spans="2:34" ht="17">
      <c r="B506" s="206" t="s">
        <v>1400</v>
      </c>
      <c r="C506" s="207" t="s">
        <v>38</v>
      </c>
      <c r="D506" s="207" t="s">
        <v>216</v>
      </c>
      <c r="E506" s="210" t="s">
        <v>1401</v>
      </c>
      <c r="F506" s="102" t="str">
        <f t="shared" si="21"/>
        <v>F</v>
      </c>
      <c r="W506" s="209" t="str">
        <f ca="1">IF(AND($AB506&gt;=AB500,$AB506&lt;150),1,IF(AND($AB506&gt;=150,$AB506&lt;250),2,IF(AND($AB506&gt;=250,$AB506&lt;450),3,"")))</f>
        <v/>
      </c>
      <c r="X506" s="209">
        <v>5</v>
      </c>
      <c r="Y506" s="209" t="str" cm="1">
        <f t="array" ref="Y506">SUBSTITUTE(TRIM(_xlfn.CONCAT(P6:P105 &amp; " ")), " ", ", ")</f>
        <v/>
      </c>
      <c r="Z506" s="309" t="str" cm="1">
        <f t="array" aca="1" ref="Z506" ca="1">IFERROR(LEFT(Y506, MATCH(FALSE, ISNUMBER(MID(Y506, ROW(INDIRECT("1:"&amp;LEN(Y506)+1)), 1) *1), 0) -1),"")</f>
        <v/>
      </c>
      <c r="AA506" s="209" t="str">
        <f t="shared" ca="1" si="22"/>
        <v/>
      </c>
      <c r="AB506" s="209" t="str">
        <f ca="1">IFERROR(AA506*SUMPRODUCT(Items!A$242:A$254,Items!AQ$242:AQ$254)/SUM(Items!A$242:A$254),"")</f>
        <v/>
      </c>
      <c r="AH506" s="309"/>
    </row>
    <row r="507" spans="2:34" ht="17">
      <c r="B507" s="206" t="s">
        <v>1402</v>
      </c>
      <c r="C507" s="207" t="s">
        <v>216</v>
      </c>
      <c r="D507" s="207" t="s">
        <v>216</v>
      </c>
      <c r="E507" s="210" t="s">
        <v>1403</v>
      </c>
      <c r="F507" s="102" t="str">
        <f t="shared" si="21"/>
        <v>GE</v>
      </c>
      <c r="W507" s="209" t="str">
        <f ca="1">IF(AND($AB507&gt;=AB500,$AB507&lt;150),1,IF(AND($AB507&gt;=150,$AB507&lt;250),2,IF(AND($AB507&gt;=250,$AB507&lt;450),3,"")))</f>
        <v/>
      </c>
      <c r="X507" s="209">
        <v>6</v>
      </c>
      <c r="Y507" s="209" t="str" cm="1">
        <f t="array" ref="Y507">SUBSTITUTE(TRIM(_xlfn.CONCAT(P7:P106 &amp; " ")), " ", ", ")</f>
        <v/>
      </c>
      <c r="Z507" s="309" t="str" cm="1">
        <f t="array" aca="1" ref="Z507" ca="1">IFERROR(LEFT(Y507, MATCH(FALSE, ISNUMBER(MID(Y507, ROW(INDIRECT("1:"&amp;LEN(Y507)+1)), 1) *1), 0) -1),"")</f>
        <v/>
      </c>
      <c r="AA507" s="209" t="str">
        <f t="shared" ca="1" si="22"/>
        <v/>
      </c>
      <c r="AB507" s="209" t="str">
        <f ca="1">IFERROR(AA507*SUMPRODUCT(Items!A$242:A$254,Items!AQ$242:AQ$254)/SUM(Items!A$242:A$254),"")</f>
        <v/>
      </c>
      <c r="AH507" s="309"/>
    </row>
    <row r="508" spans="2:34" ht="17">
      <c r="B508" s="206" t="s">
        <v>1404</v>
      </c>
      <c r="C508" s="207" t="s">
        <v>856</v>
      </c>
      <c r="D508" s="207" t="s">
        <v>1345</v>
      </c>
      <c r="E508" s="210" t="s">
        <v>1405</v>
      </c>
      <c r="F508" s="102" t="str">
        <f t="shared" si="21"/>
        <v>RS-S</v>
      </c>
      <c r="W508" s="209" t="str">
        <f ca="1">IF(AND($AB508&gt;=AB500,$AB508&lt;150),1,IF(AND($AB508&gt;=150,$AB508&lt;250),2,IF(AND($AB508&gt;=250,$AB508&lt;450),3,"")))</f>
        <v/>
      </c>
      <c r="X508" s="209">
        <v>7</v>
      </c>
      <c r="Y508" s="209" t="str" cm="1">
        <f t="array" ref="Y508">SUBSTITUTE(TRIM(_xlfn.CONCAT(P8:P107 &amp; " ")), " ", ", ")</f>
        <v/>
      </c>
      <c r="Z508" s="309" t="str" cm="1">
        <f t="array" aca="1" ref="Z508" ca="1">IFERROR(LEFT(Y508, MATCH(FALSE, ISNUMBER(MID(Y508, ROW(INDIRECT("1:"&amp;LEN(Y508)+1)), 1) *1), 0) -1),"")</f>
        <v/>
      </c>
      <c r="AA508" s="209" t="str">
        <f t="shared" ca="1" si="22"/>
        <v/>
      </c>
      <c r="AB508" s="209" t="str">
        <f ca="1">IFERROR(AA508*SUMPRODUCT(Items!A$242:A$254,Items!AQ$242:AQ$254)/SUM(Items!A$242:A$254),"")</f>
        <v/>
      </c>
      <c r="AH508" s="309"/>
    </row>
    <row r="509" spans="2:34" ht="17">
      <c r="B509" s="206" t="s">
        <v>1464</v>
      </c>
      <c r="C509" s="207" t="s">
        <v>352</v>
      </c>
      <c r="D509" s="207" t="s">
        <v>216</v>
      </c>
      <c r="E509" s="210" t="s">
        <v>1406</v>
      </c>
      <c r="F509" s="102" t="str">
        <f t="shared" si="21"/>
        <v>POA-</v>
      </c>
      <c r="W509" s="209" t="str">
        <f ca="1">IF(AND($AB509&gt;=AB500,$AB509&lt;150),1,IF(AND($AB509&gt;=150,$AB509&lt;250),2,IF(AND($AB509&gt;=250,$AB509&lt;450),3,"")))</f>
        <v/>
      </c>
      <c r="X509" s="209">
        <v>8</v>
      </c>
      <c r="Y509" s="209" t="str" cm="1">
        <f t="array" ref="Y509">SUBSTITUTE(TRIM(_xlfn.CONCAT(P9:P108 &amp; " ")), " ", ", ")</f>
        <v/>
      </c>
      <c r="Z509" s="309" t="str" cm="1">
        <f t="array" aca="1" ref="Z509" ca="1">IFERROR(LEFT(Y509, MATCH(FALSE, ISNUMBER(MID(Y509, ROW(INDIRECT("1:"&amp;LEN(Y509)+1)), 1) *1), 0) -1),"")</f>
        <v/>
      </c>
      <c r="AA509" s="209" t="str">
        <f t="shared" ca="1" si="22"/>
        <v/>
      </c>
      <c r="AB509" s="209" t="str">
        <f ca="1">IFERROR(AA509*SUMPRODUCT(Items!A$242:A$254,Items!AQ$242:AQ$254)/SUM(Items!A$242:A$254),"")</f>
        <v/>
      </c>
      <c r="AH509" s="309"/>
    </row>
    <row r="510" spans="2:34" ht="17">
      <c r="B510" s="206" t="s">
        <v>1407</v>
      </c>
      <c r="C510" s="207" t="s">
        <v>69</v>
      </c>
      <c r="D510" s="207" t="s">
        <v>216</v>
      </c>
      <c r="E510" s="210" t="s">
        <v>1406</v>
      </c>
      <c r="F510" s="102" t="str">
        <f t="shared" si="21"/>
        <v>POA-</v>
      </c>
      <c r="W510" s="209" t="str">
        <f ca="1">IF(AND($AB510&gt;=AB500,$AB510&lt;150),1,IF(AND($AB510&gt;=150,$AB510&lt;250),2,IF(AND($AB510&gt;=250,$AB510&lt;450),3,"")))</f>
        <v/>
      </c>
      <c r="X510" s="209">
        <v>9</v>
      </c>
      <c r="Y510" s="209" t="str" cm="1">
        <f t="array" ref="Y510">SUBSTITUTE(TRIM(_xlfn.CONCAT(P10:P109 &amp; " ")), " ", ", ")</f>
        <v/>
      </c>
      <c r="Z510" s="309" t="str" cm="1">
        <f t="array" aca="1" ref="Z510" ca="1">IFERROR(LEFT(Y510, MATCH(FALSE, ISNUMBER(MID(Y510, ROW(INDIRECT("1:"&amp;LEN(Y510)+1)), 1) *1), 0) -1),"")</f>
        <v/>
      </c>
      <c r="AA510" s="209" t="str">
        <f t="shared" ca="1" si="22"/>
        <v/>
      </c>
      <c r="AB510" s="209" t="str">
        <f ca="1">IFERROR(AA510*SUMPRODUCT(Items!A$242:A$254,Items!AQ$242:AQ$254)/SUM(Items!A$242:A$254),"")</f>
        <v/>
      </c>
      <c r="AH510" s="309"/>
    </row>
    <row r="511" spans="2:34" ht="17">
      <c r="B511" s="206" t="s">
        <v>1408</v>
      </c>
      <c r="C511" s="207" t="s">
        <v>69</v>
      </c>
      <c r="D511" s="207" t="s">
        <v>216</v>
      </c>
      <c r="E511" s="210" t="s">
        <v>1406</v>
      </c>
      <c r="F511" s="102" t="str">
        <f t="shared" si="21"/>
        <v>POA-</v>
      </c>
      <c r="W511" s="209" t="str">
        <f ca="1">IF(AND($AB511&gt;=AB500,$AB511&lt;150),1,IF(AND($AB511&gt;=150,$AB511&lt;250),2,IF(AND($AB511&gt;=250,$AB511&lt;450),3,"")))</f>
        <v/>
      </c>
      <c r="X511" s="209">
        <v>10</v>
      </c>
      <c r="Y511" s="209" t="str" cm="1">
        <f t="array" ref="Y511">SUBSTITUTE(TRIM(_xlfn.CONCAT(P11:P110 &amp; " ")), " ", ", ")</f>
        <v/>
      </c>
      <c r="Z511" s="309" t="str" cm="1">
        <f t="array" aca="1" ref="Z511" ca="1">IFERROR(LEFT(Y511, MATCH(FALSE, ISNUMBER(MID(Y511, ROW(INDIRECT("1:"&amp;LEN(Y511)+1)), 1) *1), 0) -1),"")</f>
        <v/>
      </c>
      <c r="AA511" s="209" t="str">
        <f t="shared" ca="1" si="22"/>
        <v/>
      </c>
      <c r="AB511" s="209" t="str">
        <f ca="1">IFERROR(AA511*SUMPRODUCT(Items!A$242:A$254,Items!AQ$242:AQ$254)/SUM(Items!A$242:A$254),"")</f>
        <v/>
      </c>
      <c r="AH511" s="309"/>
    </row>
    <row r="512" spans="2:34" ht="17">
      <c r="B512" s="206" t="s">
        <v>1409</v>
      </c>
      <c r="C512" s="207" t="s">
        <v>216</v>
      </c>
      <c r="D512" s="207" t="s">
        <v>216</v>
      </c>
      <c r="F512" s="102" t="str">
        <f t="shared" si="21"/>
        <v>5H1</v>
      </c>
      <c r="W512" s="209" t="str">
        <f ca="1">IF(AND($AB512&gt;=AB500,$AB512&lt;150),1,IF(AND($AB512&gt;=150,$AB512&lt;250),2,IF(AND($AB512&gt;=250,$AB512&lt;450),3,"")))</f>
        <v/>
      </c>
      <c r="X512" s="209">
        <v>11</v>
      </c>
      <c r="Y512" s="209" t="str" cm="1">
        <f t="array" ref="Y512">SUBSTITUTE(TRIM(_xlfn.CONCAT(P12:P111 &amp; " ")), " ", ", ")</f>
        <v/>
      </c>
      <c r="Z512" s="309" t="str" cm="1">
        <f t="array" aca="1" ref="Z512" ca="1">IFERROR(LEFT(Y512, MATCH(FALSE, ISNUMBER(MID(Y512, ROW(INDIRECT("1:"&amp;LEN(Y512)+1)), 1) *1), 0) -1),"")</f>
        <v/>
      </c>
      <c r="AA512" s="209" t="str">
        <f t="shared" ca="1" si="22"/>
        <v/>
      </c>
      <c r="AB512" s="209" t="str">
        <f ca="1">IFERROR(AA512*SUMPRODUCT(Items!A$242:A$254,Items!AQ$242:AQ$254)/SUM(Items!A$242:A$254),"")</f>
        <v/>
      </c>
      <c r="AH512" s="309"/>
    </row>
    <row r="513" spans="1:34" ht="17">
      <c r="B513" s="206" t="s">
        <v>1410</v>
      </c>
      <c r="C513" s="207" t="s">
        <v>216</v>
      </c>
      <c r="D513" s="207" t="s">
        <v>216</v>
      </c>
      <c r="F513" s="102" t="str">
        <f t="shared" si="21"/>
        <v>1H2</v>
      </c>
      <c r="W513" s="209" t="str">
        <f ca="1">IF(AND($AB513&gt;=AB500,$AB513&lt;150),1,IF(AND($AB513&gt;=150,$AB513&lt;250),2,IF(AND($AB513&gt;=250,$AB513&lt;450),3,"")))</f>
        <v/>
      </c>
      <c r="X513" s="209">
        <v>12</v>
      </c>
      <c r="Y513" s="209" t="str" cm="1">
        <f t="array" ref="Y513">SUBSTITUTE(TRIM(_xlfn.CONCAT(P13:P112 &amp; " ")), " ", ", ")</f>
        <v/>
      </c>
      <c r="Z513" s="309" t="str" cm="1">
        <f t="array" aca="1" ref="Z513" ca="1">IFERROR(LEFT(Y513, MATCH(FALSE, ISNUMBER(MID(Y513, ROW(INDIRECT("1:"&amp;LEN(Y513)+1)), 1) *1), 0) -1),"")</f>
        <v/>
      </c>
      <c r="AA513" s="209" t="str">
        <f t="shared" ca="1" si="22"/>
        <v/>
      </c>
      <c r="AB513" s="209" t="str">
        <f ca="1">IFERROR(AA513*SUMPRODUCT(Items!A$242:A$254,Items!AQ$242:AQ$254)/SUM(Items!A$242:A$254),"")</f>
        <v/>
      </c>
      <c r="AH513" s="309"/>
    </row>
    <row r="514" spans="1:34" ht="17">
      <c r="B514" s="206" t="s">
        <v>1411</v>
      </c>
      <c r="C514" s="207" t="s">
        <v>216</v>
      </c>
      <c r="D514" s="207" t="s">
        <v>216</v>
      </c>
      <c r="F514" s="102" t="str">
        <f t="shared" si="21"/>
        <v>2H4</v>
      </c>
      <c r="W514" s="209" t="str">
        <f ca="1">IF(AND($AB514&gt;=AB500,$AB514&lt;150),1,IF(AND($AB514&gt;=150,$AB514&lt;250),2,IF(AND($AB514&gt;=250,$AB514&lt;450),3,"")))</f>
        <v/>
      </c>
      <c r="X514" s="209">
        <v>13</v>
      </c>
      <c r="Y514" s="209" t="str" cm="1">
        <f t="array" ref="Y514">SUBSTITUTE(TRIM(_xlfn.CONCAT(P14:P113 &amp; " ")), " ", ", ")</f>
        <v/>
      </c>
      <c r="Z514" s="309" t="str" cm="1">
        <f t="array" aca="1" ref="Z514" ca="1">IFERROR(LEFT(Y514, MATCH(FALSE, ISNUMBER(MID(Y514, ROW(INDIRECT("1:"&amp;LEN(Y514)+1)), 1) *1), 0) -1),"")</f>
        <v/>
      </c>
      <c r="AA514" s="209" t="str">
        <f t="shared" ca="1" si="22"/>
        <v/>
      </c>
      <c r="AB514" s="209" t="str">
        <f ca="1">IFERROR(AA514*SUMPRODUCT(Items!A$242:A$254,Items!AQ$242:AQ$254)/SUM(Items!A$242:A$254),"")</f>
        <v/>
      </c>
      <c r="AH514" s="309"/>
    </row>
    <row r="515" spans="1:34" ht="17">
      <c r="B515" s="206" t="s">
        <v>1412</v>
      </c>
      <c r="C515" s="207" t="s">
        <v>216</v>
      </c>
      <c r="D515" s="207" t="s">
        <v>216</v>
      </c>
      <c r="F515" s="102" t="str">
        <f t="shared" ref="F515:F578" si="23">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cm="1">
        <f t="array" ref="Y515">SUBSTITUTE(TRIM(_xlfn.CONCAT(P15:P114 &amp; " ")), " ", ", ")</f>
        <v/>
      </c>
      <c r="Z515" s="309" t="str" cm="1">
        <f t="array" aca="1" ref="Z515" ca="1">IFERROR(LEFT(Y515, MATCH(FALSE, ISNUMBER(MID(Y515, ROW(INDIRECT("1:"&amp;LEN(Y515)+1)), 1) *1), 0) -1),"")</f>
        <v/>
      </c>
      <c r="AA515" s="209" t="str">
        <f t="shared" ca="1" si="22"/>
        <v/>
      </c>
      <c r="AB515" s="209" t="str">
        <f ca="1">IFERROR(AA515*SUMPRODUCT(Items!A$242:A$254,Items!AQ$242:AQ$254)/SUM(Items!A$242:A$254),"")</f>
        <v/>
      </c>
      <c r="AH515" s="309"/>
    </row>
    <row r="516" spans="1:34" ht="17">
      <c r="B516" s="206" t="s">
        <v>1413</v>
      </c>
      <c r="C516" s="207" t="s">
        <v>960</v>
      </c>
      <c r="D516" s="207" t="s">
        <v>960</v>
      </c>
      <c r="F516" s="102" t="str">
        <f t="shared" si="23"/>
        <v>DR</v>
      </c>
      <c r="W516" s="209" t="str">
        <f ca="1">IF(AND($AB516&gt;=AB500,$AB516&lt;150),1,IF(AND($AB516&gt;=150,$AB516&lt;250),2,IF(AND($AB516&gt;=250,$AB516&lt;450),3,"")))</f>
        <v/>
      </c>
      <c r="X516" s="209">
        <v>15</v>
      </c>
      <c r="Y516" s="209" t="str" cm="1">
        <f t="array" ref="Y516">SUBSTITUTE(TRIM(_xlfn.CONCAT(P16:P115 &amp; " ")), " ", ", ")</f>
        <v/>
      </c>
      <c r="Z516" s="309" t="str" cm="1">
        <f t="array" aca="1" ref="Z516" ca="1">IFERROR(LEFT(Y516, MATCH(FALSE, ISNUMBER(MID(Y516, ROW(INDIRECT("1:"&amp;LEN(Y516)+1)), 1) *1), 0) -1),"")</f>
        <v/>
      </c>
      <c r="AA516" s="209" t="str">
        <f t="shared" ca="1" si="22"/>
        <v/>
      </c>
      <c r="AB516" s="209" t="str">
        <f ca="1">IFERROR(AA516*SUMPRODUCT(Items!A$242:A$254,Items!AQ$242:AQ$254)/SUM(Items!A$242:A$254),"")</f>
        <v/>
      </c>
      <c r="AH516" s="309"/>
    </row>
    <row r="517" spans="1:34" ht="17">
      <c r="B517" s="206" t="s">
        <v>1414</v>
      </c>
      <c r="C517" s="207" t="s">
        <v>1086</v>
      </c>
      <c r="D517" s="207" t="s">
        <v>1086</v>
      </c>
      <c r="E517" s="210" t="s">
        <v>1415</v>
      </c>
      <c r="F517" s="102" t="str">
        <f t="shared" si="23"/>
        <v>KBD</v>
      </c>
      <c r="W517" s="209" t="str">
        <f t="shared" ref="W517:W580" ca="1" si="24">IF(AND($AB517&gt;=AB501,$AB517&lt;150),1,IF(AND($AB517&gt;=150,$AB517&lt;250),2,IF(AND($AB517&gt;=250,$AB517&lt;450),3,"")))</f>
        <v/>
      </c>
      <c r="X517" s="209">
        <v>16</v>
      </c>
      <c r="Y517" s="209" t="str" cm="1">
        <f t="array" ref="Y517">SUBSTITUTE(TRIM(_xlfn.CONCAT(P17:P116 &amp; " ")), " ", ", ")</f>
        <v/>
      </c>
      <c r="Z517" s="309" t="str" cm="1">
        <f t="array" aca="1" ref="Z517" ca="1">IFERROR(LEFT(Y517, MATCH(FALSE, ISNUMBER(MID(Y517, ROW(INDIRECT("1:"&amp;LEN(Y517)+1)), 1) *1), 0) -1),"")</f>
        <v/>
      </c>
      <c r="AA517" s="209" t="str">
        <f t="shared" ref="AA517:AA561" ca="1" si="25">IFERROR(VALUE(Z517),"")</f>
        <v/>
      </c>
      <c r="AB517" s="209" t="str">
        <f ca="1">IFERROR(AA517*SUMPRODUCT(Items!A$242:A$254,Items!AQ$242:AQ$254)/SUM(Items!A$242:A$254),"")</f>
        <v/>
      </c>
    </row>
    <row r="518" spans="1:34" ht="17">
      <c r="B518" s="206" t="s">
        <v>1461</v>
      </c>
      <c r="C518" s="207" t="s">
        <v>216</v>
      </c>
      <c r="D518" s="207" t="s">
        <v>956</v>
      </c>
      <c r="F518" s="102" t="str">
        <f t="shared" si="23"/>
        <v>2F</v>
      </c>
      <c r="W518" s="209" t="str">
        <f t="shared" ca="1" si="24"/>
        <v/>
      </c>
      <c r="X518" s="209">
        <v>17</v>
      </c>
      <c r="Y518" s="209" t="str" cm="1">
        <f t="array" ref="Y518">SUBSTITUTE(TRIM(_xlfn.CONCAT(P18:P117 &amp; " ")), " ", ", ")</f>
        <v/>
      </c>
      <c r="Z518" s="309" t="str" cm="1">
        <f t="array" aca="1" ref="Z518" ca="1">IFERROR(LEFT(Y518, MATCH(FALSE, ISNUMBER(MID(Y518, ROW(INDIRECT("1:"&amp;LEN(Y518)+1)), 1) *1), 0) -1),"")</f>
        <v/>
      </c>
      <c r="AA518" s="209" t="str">
        <f t="shared" ca="1" si="25"/>
        <v/>
      </c>
      <c r="AB518" s="209" t="str">
        <f ca="1">IFERROR(AA518*SUMPRODUCT(Items!A$242:A$254,Items!AQ$242:AQ$254)/SUM(Items!A$242:A$254),"")</f>
        <v/>
      </c>
    </row>
    <row r="519" spans="1:34" ht="17">
      <c r="B519" s="206" t="s">
        <v>1469</v>
      </c>
      <c r="C519" s="207" t="s">
        <v>51</v>
      </c>
      <c r="D519" s="207" t="s">
        <v>51</v>
      </c>
      <c r="E519" s="210" t="s">
        <v>430</v>
      </c>
      <c r="F519" s="102" t="str">
        <f t="shared" si="23"/>
        <v>PPF2</v>
      </c>
      <c r="W519" s="209" t="str">
        <f t="shared" ca="1" si="24"/>
        <v/>
      </c>
      <c r="X519" s="209">
        <v>18</v>
      </c>
      <c r="Y519" s="209" t="str" cm="1">
        <f t="array" ref="Y519">SUBSTITUTE(TRIM(_xlfn.CONCAT(P19:P118 &amp; " ")), " ", ", ")</f>
        <v/>
      </c>
      <c r="Z519" s="309" t="str" cm="1">
        <f t="array" aca="1" ref="Z519" ca="1">IFERROR(LEFT(Y519, MATCH(FALSE, ISNUMBER(MID(Y519, ROW(INDIRECT("1:"&amp;LEN(Y519)+1)), 1) *1), 0) -1),"")</f>
        <v/>
      </c>
      <c r="AA519" s="209" t="str">
        <f t="shared" ca="1" si="25"/>
        <v/>
      </c>
      <c r="AB519" s="209" t="str">
        <f ca="1">IFERROR(AA519*SUMPRODUCT(Items!A$242:A$254,Items!AQ$242:AQ$254)/SUM(Items!A$242:A$254),"")</f>
        <v/>
      </c>
    </row>
    <row r="520" spans="1:34" ht="17">
      <c r="B520" s="206" t="s">
        <v>1466</v>
      </c>
      <c r="C520" s="207" t="s">
        <v>51</v>
      </c>
      <c r="D520" s="207" t="s">
        <v>51</v>
      </c>
      <c r="E520" s="210" t="s">
        <v>430</v>
      </c>
      <c r="F520" s="102" t="str">
        <f t="shared" si="23"/>
        <v>PPF3</v>
      </c>
      <c r="W520" s="209" t="str">
        <f t="shared" ca="1" si="24"/>
        <v/>
      </c>
      <c r="X520" s="209">
        <v>19</v>
      </c>
      <c r="Y520" s="209" t="str" cm="1">
        <f t="array" ref="Y520">SUBSTITUTE(TRIM(_xlfn.CONCAT(P20:P119 &amp; " ")), " ", ", ")</f>
        <v/>
      </c>
      <c r="Z520" s="309" t="str" cm="1">
        <f t="array" aca="1" ref="Z520" ca="1">IFERROR(LEFT(Y520, MATCH(FALSE, ISNUMBER(MID(Y520, ROW(INDIRECT("1:"&amp;LEN(Y520)+1)), 1) *1), 0) -1),"")</f>
        <v/>
      </c>
      <c r="AA520" s="209" t="str">
        <f t="shared" ca="1" si="25"/>
        <v/>
      </c>
      <c r="AB520" s="209" t="str">
        <f ca="1">IFERROR(AA520*SUMPRODUCT(Items!A$242:A$254,Items!AQ$242:AQ$254)/SUM(Items!A$242:A$254),"")</f>
        <v/>
      </c>
    </row>
    <row r="521" spans="1:34" ht="17">
      <c r="A521" s="213"/>
      <c r="B521" s="214" t="s">
        <v>1465</v>
      </c>
      <c r="C521" s="215" t="s">
        <v>51</v>
      </c>
      <c r="D521" s="215" t="s">
        <v>51</v>
      </c>
      <c r="E521" s="216" t="s">
        <v>430</v>
      </c>
      <c r="F521" s="102" t="str">
        <f t="shared" si="23"/>
        <v>PPF5</v>
      </c>
      <c r="W521" s="209" t="str">
        <f t="shared" ca="1" si="24"/>
        <v/>
      </c>
      <c r="X521" s="209">
        <v>20</v>
      </c>
      <c r="Y521" s="209" t="str" cm="1">
        <f t="array" ref="Y521">SUBSTITUTE(TRIM(_xlfn.CONCAT(P21:P120 &amp; " ")), " ", ", ")</f>
        <v/>
      </c>
      <c r="Z521" s="309" t="str" cm="1">
        <f t="array" aca="1" ref="Z521" ca="1">IFERROR(LEFT(Y521, MATCH(FALSE, ISNUMBER(MID(Y521, ROW(INDIRECT("1:"&amp;LEN(Y521)+1)), 1) *1), 0) -1),"")</f>
        <v/>
      </c>
      <c r="AA521" s="209" t="str">
        <f t="shared" ca="1" si="25"/>
        <v/>
      </c>
      <c r="AB521" s="209" t="str">
        <f ca="1">IFERROR(AA521*SUMPRODUCT(Items!A$242:A$254,Items!AQ$242:AQ$254)/SUM(Items!A$242:A$254),"")</f>
        <v/>
      </c>
    </row>
    <row r="522" spans="1:34" ht="17">
      <c r="A522" s="213"/>
      <c r="B522" s="214" t="s">
        <v>1467</v>
      </c>
      <c r="C522" s="215" t="s">
        <v>51</v>
      </c>
      <c r="D522" s="215" t="s">
        <v>51</v>
      </c>
      <c r="E522" s="216" t="s">
        <v>430</v>
      </c>
      <c r="F522" s="102" t="str">
        <f t="shared" si="23"/>
        <v>PPF8</v>
      </c>
      <c r="W522" s="209" t="str">
        <f t="shared" ca="1" si="24"/>
        <v/>
      </c>
      <c r="X522" s="209">
        <v>21</v>
      </c>
      <c r="Y522" s="209" t="str" cm="1">
        <f t="array" ref="Y522">SUBSTITUTE(TRIM(_xlfn.CONCAT(P22:P121 &amp; " ")), " ", ", ")</f>
        <v/>
      </c>
      <c r="Z522" s="309" t="str" cm="1">
        <f t="array" aca="1" ref="Z522" ca="1">IFERROR(LEFT(Y522, MATCH(FALSE, ISNUMBER(MID(Y522, ROW(INDIRECT("1:"&amp;LEN(Y522)+1)), 1) *1), 0) -1),"")</f>
        <v/>
      </c>
      <c r="AA522" s="209" t="str">
        <f t="shared" ca="1" si="25"/>
        <v/>
      </c>
      <c r="AB522" s="209" t="str">
        <f ca="1">IFERROR(AA522*SUMPRODUCT(Items!A$242:A$254,Items!AQ$242:AQ$254)/SUM(Items!A$242:A$254),"")</f>
        <v/>
      </c>
    </row>
    <row r="523" spans="1:34" ht="17">
      <c r="A523" s="213"/>
      <c r="B523" s="214" t="s">
        <v>1468</v>
      </c>
      <c r="C523" s="215" t="s">
        <v>51</v>
      </c>
      <c r="D523" s="215" t="s">
        <v>51</v>
      </c>
      <c r="E523" s="216" t="s">
        <v>430</v>
      </c>
      <c r="F523" s="102" t="str">
        <f t="shared" si="23"/>
        <v>PPF1</v>
      </c>
      <c r="W523" s="209" t="str">
        <f t="shared" ca="1" si="24"/>
        <v/>
      </c>
      <c r="X523" s="209">
        <v>22</v>
      </c>
      <c r="Y523" s="209" t="str" cm="1">
        <f t="array" ref="Y523">SUBSTITUTE(TRIM(_xlfn.CONCAT(P23:P122 &amp; " ")), " ", ", ")</f>
        <v/>
      </c>
      <c r="Z523" s="309" t="str" cm="1">
        <f t="array" aca="1" ref="Z523" ca="1">IFERROR(LEFT(Y523, MATCH(FALSE, ISNUMBER(MID(Y523, ROW(INDIRECT("1:"&amp;LEN(Y523)+1)), 1) *1), 0) -1),"")</f>
        <v/>
      </c>
      <c r="AA523" s="209" t="str">
        <f t="shared" ca="1" si="25"/>
        <v/>
      </c>
      <c r="AB523" s="209" t="str">
        <f ca="1">IFERROR(AA523*SUMPRODUCT(Items!A$242:A$254,Items!AQ$242:AQ$254)/SUM(Items!A$242:A$254),"")</f>
        <v/>
      </c>
    </row>
    <row r="524" spans="1:34" ht="17">
      <c r="B524" s="206" t="s">
        <v>1471</v>
      </c>
      <c r="C524" s="207" t="s">
        <v>1237</v>
      </c>
      <c r="D524" s="207" t="s">
        <v>216</v>
      </c>
      <c r="E524" s="207" t="s">
        <v>1472</v>
      </c>
      <c r="F524" s="102" t="str">
        <f t="shared" si="23"/>
        <v>DMS</v>
      </c>
      <c r="W524" s="209" t="str">
        <f t="shared" ca="1" si="24"/>
        <v/>
      </c>
      <c r="X524" s="209">
        <v>23</v>
      </c>
      <c r="Y524" s="209" t="str" cm="1">
        <f t="array" ref="Y524">SUBSTITUTE(TRIM(_xlfn.CONCAT(P24:P123 &amp; " ")), " ", ", ")</f>
        <v/>
      </c>
      <c r="Z524" s="309" t="str" cm="1">
        <f t="array" aca="1" ref="Z524" ca="1">IFERROR(LEFT(Y524, MATCH(FALSE, ISNUMBER(MID(Y524, ROW(INDIRECT("1:"&amp;LEN(Y524)+1)), 1) *1), 0) -1),"")</f>
        <v/>
      </c>
      <c r="AA524" s="209" t="str">
        <f t="shared" ca="1" si="25"/>
        <v/>
      </c>
      <c r="AB524" s="209" t="str">
        <f ca="1">IFERROR(AA524*SUMPRODUCT(Items!A$242:A$254,Items!AQ$242:AQ$254)/SUM(Items!A$242:A$254),"")</f>
        <v/>
      </c>
    </row>
    <row r="525" spans="1:34" ht="17">
      <c r="B525" s="206" t="s">
        <v>1473</v>
      </c>
      <c r="C525" s="207" t="s">
        <v>216</v>
      </c>
      <c r="D525" s="207" t="s">
        <v>216</v>
      </c>
      <c r="E525" s="210" t="s">
        <v>1474</v>
      </c>
      <c r="F525" s="102" t="str">
        <f t="shared" si="23"/>
        <v>NB</v>
      </c>
      <c r="W525" s="209" t="str">
        <f t="shared" ca="1" si="24"/>
        <v/>
      </c>
      <c r="X525" s="209">
        <v>24</v>
      </c>
      <c r="Y525" s="209" t="str" cm="1">
        <f t="array" ref="Y525">SUBSTITUTE(TRIM(_xlfn.CONCAT(P25:P124 &amp; " ")), " ", ", ")</f>
        <v/>
      </c>
      <c r="Z525" s="309" t="str" cm="1">
        <f t="array" aca="1" ref="Z525" ca="1">IFERROR(LEFT(Y525, MATCH(FALSE, ISNUMBER(MID(Y525, ROW(INDIRECT("1:"&amp;LEN(Y525)+1)), 1) *1), 0) -1),"")</f>
        <v/>
      </c>
      <c r="AA525" s="209" t="str">
        <f t="shared" ca="1" si="25"/>
        <v/>
      </c>
      <c r="AB525" s="209" t="str">
        <f ca="1">IFERROR(AA525*SUMPRODUCT(Items!A$242:A$254,Items!AQ$242:AQ$254)/SUM(Items!A$242:A$254),"")</f>
        <v/>
      </c>
    </row>
    <row r="526" spans="1:34" ht="17">
      <c r="B526" s="206" t="s">
        <v>1475</v>
      </c>
      <c r="C526" s="207" t="s">
        <v>342</v>
      </c>
      <c r="D526" s="207" t="s">
        <v>342</v>
      </c>
      <c r="E526" s="210" t="s">
        <v>1476</v>
      </c>
      <c r="F526" s="102" t="str">
        <f t="shared" si="23"/>
        <v>H-RL</v>
      </c>
      <c r="W526" s="209" t="str">
        <f t="shared" ca="1" si="24"/>
        <v/>
      </c>
      <c r="X526" s="209">
        <v>25</v>
      </c>
      <c r="Y526" s="209" t="str" cm="1">
        <f t="array" ref="Y526">SUBSTITUTE(TRIM(_xlfn.CONCAT(P26:P125 &amp; " ")), " ", ", ")</f>
        <v/>
      </c>
      <c r="Z526" s="309" t="str" cm="1">
        <f t="array" aca="1" ref="Z526" ca="1">IFERROR(LEFT(Y526, MATCH(FALSE, ISNUMBER(MID(Y526, ROW(INDIRECT("1:"&amp;LEN(Y526)+1)), 1) *1), 0) -1),"")</f>
        <v/>
      </c>
      <c r="AA526" s="209" t="str">
        <f t="shared" ca="1" si="25"/>
        <v/>
      </c>
      <c r="AB526" s="209" t="str">
        <f ca="1">IFERROR(AA526*SUMPRODUCT(Items!A$242:A$254,Items!AQ$242:AQ$254)/SUM(Items!A$242:A$254),"")</f>
        <v/>
      </c>
    </row>
    <row r="527" spans="1:34" ht="17">
      <c r="B527" s="206" t="s">
        <v>1477</v>
      </c>
      <c r="C527" s="207" t="s">
        <v>1375</v>
      </c>
      <c r="D527" s="207" t="s">
        <v>1375</v>
      </c>
      <c r="F527" s="102" t="str">
        <f t="shared" si="23"/>
        <v>UL</v>
      </c>
      <c r="W527" s="209" t="str">
        <f t="shared" ca="1" si="24"/>
        <v/>
      </c>
      <c r="X527" s="209">
        <v>26</v>
      </c>
      <c r="Y527" s="209" t="str" cm="1">
        <f t="array" ref="Y527">SUBSTITUTE(TRIM(_xlfn.CONCAT(P27:P126 &amp; " ")), " ", ", ")</f>
        <v/>
      </c>
      <c r="Z527" s="309" t="str" cm="1">
        <f t="array" aca="1" ref="Z527" ca="1">IFERROR(LEFT(Y527, MATCH(FALSE, ISNUMBER(MID(Y527, ROW(INDIRECT("1:"&amp;LEN(Y527)+1)), 1) *1), 0) -1),"")</f>
        <v/>
      </c>
      <c r="AA527" s="209" t="str">
        <f t="shared" ca="1" si="25"/>
        <v/>
      </c>
      <c r="AB527" s="209" t="str">
        <f ca="1">IFERROR(AA527*SUMPRODUCT(Items!A$242:A$254,Items!AQ$242:AQ$254)/SUM(Items!A$242:A$254),"")</f>
        <v/>
      </c>
    </row>
    <row r="528" spans="1:34" ht="17">
      <c r="B528" s="206" t="s">
        <v>1478</v>
      </c>
      <c r="C528" s="207" t="s">
        <v>355</v>
      </c>
      <c r="D528" s="207" t="s">
        <v>216</v>
      </c>
      <c r="E528" s="210" t="s">
        <v>1479</v>
      </c>
      <c r="F528" s="102" t="str">
        <f t="shared" si="23"/>
        <v>MA</v>
      </c>
      <c r="W528" s="209" t="str">
        <f t="shared" ca="1" si="24"/>
        <v/>
      </c>
      <c r="X528" s="209">
        <v>27</v>
      </c>
      <c r="Y528" s="209" t="str" cm="1">
        <f t="array" ref="Y528">SUBSTITUTE(TRIM(_xlfn.CONCAT(P28:P127 &amp; " ")), " ", ", ")</f>
        <v/>
      </c>
      <c r="Z528" s="309" t="str" cm="1">
        <f t="array" aca="1" ref="Z528" ca="1">IFERROR(LEFT(Y528, MATCH(FALSE, ISNUMBER(MID(Y528, ROW(INDIRECT("1:"&amp;LEN(Y528)+1)), 1) *1), 0) -1),"")</f>
        <v/>
      </c>
      <c r="AA528" s="209" t="str">
        <f t="shared" ca="1" si="25"/>
        <v/>
      </c>
      <c r="AB528" s="209" t="str">
        <f ca="1">IFERROR(AA528*SUMPRODUCT(Items!A$242:A$254,Items!AQ$242:AQ$254)/SUM(Items!A$242:A$254),"")</f>
        <v/>
      </c>
    </row>
    <row r="529" spans="2:28" ht="34">
      <c r="B529" s="206" t="s">
        <v>1482</v>
      </c>
      <c r="C529" s="207" t="s">
        <v>51</v>
      </c>
      <c r="D529" s="207" t="s">
        <v>51</v>
      </c>
      <c r="E529" s="210" t="s">
        <v>1480</v>
      </c>
      <c r="F529" s="102" t="str">
        <f t="shared" si="23"/>
        <v>SO-C</v>
      </c>
      <c r="W529" s="209" t="str">
        <f t="shared" ca="1" si="24"/>
        <v/>
      </c>
      <c r="X529" s="209">
        <v>28</v>
      </c>
      <c r="Y529" s="209" t="str" cm="1">
        <f t="array" ref="Y529">SUBSTITUTE(TRIM(_xlfn.CONCAT(P29:P128 &amp; " ")), " ", ", ")</f>
        <v/>
      </c>
      <c r="Z529" s="309" t="str" cm="1">
        <f t="array" aca="1" ref="Z529" ca="1">IFERROR(LEFT(Y529, MATCH(FALSE, ISNUMBER(MID(Y529, ROW(INDIRECT("1:"&amp;LEN(Y529)+1)), 1) *1), 0) -1),"")</f>
        <v/>
      </c>
      <c r="AA529" s="209" t="str">
        <f t="shared" ca="1" si="25"/>
        <v/>
      </c>
      <c r="AB529" s="209" t="str">
        <f ca="1">IFERROR(AA529*SUMPRODUCT(Items!A$242:A$254,Items!AQ$242:AQ$254)/SUM(Items!A$242:A$254),"")</f>
        <v/>
      </c>
    </row>
    <row r="530" spans="2:28" ht="17">
      <c r="B530" s="206" t="s">
        <v>1492</v>
      </c>
      <c r="C530" s="207" t="s">
        <v>1493</v>
      </c>
      <c r="D530" s="207" t="s">
        <v>1493</v>
      </c>
      <c r="F530" s="102" t="str">
        <f t="shared" si="23"/>
        <v>RRH</v>
      </c>
      <c r="W530" s="209" t="str">
        <f t="shared" ca="1" si="24"/>
        <v/>
      </c>
      <c r="X530" s="209">
        <v>29</v>
      </c>
      <c r="Y530" s="209" t="str" cm="1">
        <f t="array" ref="Y530">SUBSTITUTE(TRIM(_xlfn.CONCAT(P30:P129 &amp; " ")), " ", ", ")</f>
        <v/>
      </c>
      <c r="Z530" s="309" t="str" cm="1">
        <f t="array" aca="1" ref="Z530" ca="1">IFERROR(LEFT(Y530, MATCH(FALSE, ISNUMBER(MID(Y530, ROW(INDIRECT("1:"&amp;LEN(Y530)+1)), 1) *1), 0) -1),"")</f>
        <v/>
      </c>
      <c r="AA530" s="209" t="str">
        <f t="shared" ca="1" si="25"/>
        <v/>
      </c>
      <c r="AB530" s="209" t="str">
        <f ca="1">IFERROR(AA530*SUMPRODUCT(Items!A$242:A$254,Items!AQ$242:AQ$254)/SUM(Items!A$242:A$254),"")</f>
        <v/>
      </c>
    </row>
    <row r="531" spans="2:28" ht="17">
      <c r="B531" s="206" t="s">
        <v>1497</v>
      </c>
      <c r="C531" s="207" t="s">
        <v>1498</v>
      </c>
      <c r="D531" s="207" t="s">
        <v>1499</v>
      </c>
      <c r="E531" s="210" t="s">
        <v>1500</v>
      </c>
      <c r="F531" s="102" t="str">
        <f t="shared" si="23"/>
        <v>MKA</v>
      </c>
      <c r="W531" s="209" t="str">
        <f t="shared" ca="1" si="24"/>
        <v/>
      </c>
      <c r="X531" s="209">
        <v>30</v>
      </c>
      <c r="Y531" s="209" t="str" cm="1">
        <f t="array" ref="Y531">SUBSTITUTE(TRIM(_xlfn.CONCAT(P31:P130 &amp; " ")), " ", ", ")</f>
        <v/>
      </c>
      <c r="Z531" s="309" t="str" cm="1">
        <f t="array" aca="1" ref="Z531" ca="1">IFERROR(LEFT(Y531, MATCH(FALSE, ISNUMBER(MID(Y531, ROW(INDIRECT("1:"&amp;LEN(Y531)+1)), 1) *1), 0) -1),"")</f>
        <v/>
      </c>
      <c r="AA531" s="209" t="str">
        <f t="shared" ca="1" si="25"/>
        <v/>
      </c>
      <c r="AB531" s="209" t="str">
        <f ca="1">IFERROR(AA531*SUMPRODUCT(Items!A$242:A$254,Items!AQ$242:AQ$254)/SUM(Items!A$242:A$254),"")</f>
        <v/>
      </c>
    </row>
    <row r="532" spans="2:28" ht="17">
      <c r="B532" s="206" t="s">
        <v>1501</v>
      </c>
      <c r="C532" s="207" t="s">
        <v>216</v>
      </c>
      <c r="D532" s="207" t="s">
        <v>216</v>
      </c>
      <c r="F532" s="102" t="str">
        <f t="shared" si="23"/>
        <v>MKB</v>
      </c>
      <c r="W532" s="209" t="str">
        <f t="shared" ca="1" si="24"/>
        <v/>
      </c>
      <c r="X532" s="209">
        <v>31</v>
      </c>
      <c r="Y532" s="209" t="str" cm="1">
        <f t="array" ref="Y532">SUBSTITUTE(TRIM(_xlfn.CONCAT(P32:P131 &amp; " ")), " ", ", ")</f>
        <v/>
      </c>
      <c r="Z532" s="309" t="str" cm="1">
        <f t="array" aca="1" ref="Z532" ca="1">IFERROR(LEFT(Y532, MATCH(FALSE, ISNUMBER(MID(Y532, ROW(INDIRECT("1:"&amp;LEN(Y532)+1)), 1) *1), 0) -1),"")</f>
        <v/>
      </c>
      <c r="AA532" s="209" t="str">
        <f t="shared" ca="1" si="25"/>
        <v/>
      </c>
      <c r="AB532" s="209" t="str">
        <f ca="1">IFERROR(AA532*SUMPRODUCT(Items!A$242:A$254,Items!AQ$242:AQ$254)/SUM(Items!A$242:A$254),"")</f>
        <v/>
      </c>
    </row>
    <row r="533" spans="2:28" ht="34">
      <c r="B533" s="206" t="s">
        <v>1502</v>
      </c>
      <c r="C533" s="207" t="s">
        <v>1503</v>
      </c>
      <c r="D533" s="207" t="s">
        <v>954</v>
      </c>
      <c r="E533" s="210" t="s">
        <v>1504</v>
      </c>
      <c r="F533" s="102" t="str">
        <f t="shared" si="23"/>
        <v>AB</v>
      </c>
      <c r="W533" s="209" t="str">
        <f t="shared" ca="1" si="24"/>
        <v/>
      </c>
      <c r="X533" s="209">
        <v>32</v>
      </c>
      <c r="Y533" s="209" t="str" cm="1">
        <f t="array" ref="Y533">SUBSTITUTE(TRIM(_xlfn.CONCAT(P33:P132 &amp; " ")), " ", ", ")</f>
        <v/>
      </c>
      <c r="Z533" s="309" t="str" cm="1">
        <f t="array" aca="1" ref="Z533" ca="1">IFERROR(LEFT(Y533, MATCH(FALSE, ISNUMBER(MID(Y533, ROW(INDIRECT("1:"&amp;LEN(Y533)+1)), 1) *1), 0) -1),"")</f>
        <v/>
      </c>
      <c r="AA533" s="209" t="str">
        <f t="shared" ca="1" si="25"/>
        <v/>
      </c>
      <c r="AB533" s="209" t="str">
        <f ca="1">IFERROR(AA533*SUMPRODUCT(Items!A$242:A$254,Items!AQ$242:AQ$254)/SUM(Items!A$242:A$254),"")</f>
        <v/>
      </c>
    </row>
    <row r="534" spans="2:28" ht="17">
      <c r="B534" s="206" t="s">
        <v>1505</v>
      </c>
      <c r="C534" s="207" t="s">
        <v>32</v>
      </c>
      <c r="D534" s="207" t="s">
        <v>216</v>
      </c>
      <c r="E534" s="210" t="s">
        <v>1506</v>
      </c>
      <c r="F534" s="102" t="str">
        <f t="shared" si="23"/>
        <v>MBC</v>
      </c>
      <c r="W534" s="209" t="str">
        <f t="shared" ca="1" si="24"/>
        <v/>
      </c>
      <c r="X534" s="209">
        <v>33</v>
      </c>
      <c r="Y534" s="209" t="str" cm="1">
        <f t="array" ref="Y534">SUBSTITUTE(TRIM(_xlfn.CONCAT(P34:P133 &amp; " ")), " ", ", ")</f>
        <v/>
      </c>
      <c r="Z534" s="309" t="str" cm="1">
        <f t="array" aca="1" ref="Z534" ca="1">IFERROR(LEFT(Y534, MATCH(FALSE, ISNUMBER(MID(Y534, ROW(INDIRECT("1:"&amp;LEN(Y534)+1)), 1) *1), 0) -1),"")</f>
        <v/>
      </c>
      <c r="AA534" s="209" t="str">
        <f t="shared" ca="1" si="25"/>
        <v/>
      </c>
      <c r="AB534" s="209" t="str">
        <f ca="1">IFERROR(AA534*SUMPRODUCT(Items!A$242:A$254,Items!AQ$242:AQ$254)/SUM(Items!A$242:A$254),"")</f>
        <v/>
      </c>
    </row>
    <row r="535" spans="2:28" ht="17">
      <c r="B535" s="206" t="s">
        <v>1507</v>
      </c>
      <c r="C535" s="207" t="s">
        <v>446</v>
      </c>
      <c r="D535" s="207" t="s">
        <v>35</v>
      </c>
      <c r="E535" s="210" t="s">
        <v>447</v>
      </c>
      <c r="F535" s="102" t="str">
        <f t="shared" si="23"/>
        <v>AA</v>
      </c>
      <c r="W535" s="209" t="str">
        <f t="shared" ca="1" si="24"/>
        <v/>
      </c>
      <c r="X535" s="209">
        <v>34</v>
      </c>
      <c r="Y535" s="209" t="str" cm="1">
        <f t="array" ref="Y535">SUBSTITUTE(TRIM(_xlfn.CONCAT(P35:P134 &amp; " ")), " ", ", ")</f>
        <v/>
      </c>
      <c r="Z535" s="309" t="str" cm="1">
        <f t="array" aca="1" ref="Z535" ca="1">IFERROR(LEFT(Y535, MATCH(FALSE, ISNUMBER(MID(Y535, ROW(INDIRECT("1:"&amp;LEN(Y535)+1)), 1) *1), 0) -1),"")</f>
        <v/>
      </c>
      <c r="AA535" s="209" t="str">
        <f t="shared" ca="1" si="25"/>
        <v/>
      </c>
      <c r="AB535" s="209" t="str">
        <f ca="1">IFERROR(AA535*SUMPRODUCT(Items!A$242:A$254,Items!AQ$242:AQ$254)/SUM(Items!A$242:A$254),"")</f>
        <v/>
      </c>
    </row>
    <row r="536" spans="2:28" ht="17">
      <c r="B536" s="206" t="s">
        <v>1509</v>
      </c>
      <c r="C536" s="207" t="s">
        <v>342</v>
      </c>
      <c r="D536" s="207" t="s">
        <v>342</v>
      </c>
      <c r="F536" s="102" t="str">
        <f t="shared" si="23"/>
        <v>U-T</v>
      </c>
      <c r="W536" s="209" t="str">
        <f t="shared" ca="1" si="24"/>
        <v/>
      </c>
      <c r="X536" s="209">
        <v>35</v>
      </c>
      <c r="Y536" s="209" t="str" cm="1">
        <f t="array" ref="Y536">SUBSTITUTE(TRIM(_xlfn.CONCAT(P36:P135 &amp; " ")), " ", ", ")</f>
        <v/>
      </c>
      <c r="Z536" s="309" t="str" cm="1">
        <f t="array" aca="1" ref="Z536" ca="1">IFERROR(LEFT(Y536, MATCH(FALSE, ISNUMBER(MID(Y536, ROW(INDIRECT("1:"&amp;LEN(Y536)+1)), 1) *1), 0) -1),"")</f>
        <v/>
      </c>
      <c r="AA536" s="209" t="str">
        <f t="shared" ca="1" si="25"/>
        <v/>
      </c>
      <c r="AB536" s="209" t="str">
        <f ca="1">IFERROR(AA536*SUMPRODUCT(Items!A$242:A$254,Items!AQ$242:AQ$254)/SUM(Items!A$242:A$254),"")</f>
        <v/>
      </c>
    </row>
    <row r="537" spans="2:28" ht="17">
      <c r="B537" s="206" t="s">
        <v>1510</v>
      </c>
      <c r="C537" s="207" t="s">
        <v>216</v>
      </c>
      <c r="D537" s="207" t="s">
        <v>216</v>
      </c>
      <c r="E537" s="210" t="s">
        <v>1511</v>
      </c>
      <c r="F537" s="102" t="str">
        <f t="shared" si="23"/>
        <v>NNJ</v>
      </c>
      <c r="W537" s="209" t="str">
        <f t="shared" ca="1" si="24"/>
        <v/>
      </c>
      <c r="X537" s="209">
        <v>36</v>
      </c>
      <c r="Y537" s="209" t="str" cm="1">
        <f t="array" ref="Y537">SUBSTITUTE(TRIM(_xlfn.CONCAT(P37:P136 &amp; " ")), " ", ", ")</f>
        <v/>
      </c>
      <c r="Z537" s="309" t="str" cm="1">
        <f t="array" aca="1" ref="Z537" ca="1">IFERROR(LEFT(Y537, MATCH(FALSE, ISNUMBER(MID(Y537, ROW(INDIRECT("1:"&amp;LEN(Y537)+1)), 1) *1), 0) -1),"")</f>
        <v/>
      </c>
      <c r="AA537" s="209" t="str">
        <f t="shared" ca="1" si="25"/>
        <v/>
      </c>
      <c r="AB537" s="209" t="str">
        <f ca="1">IFERROR(AA537*SUMPRODUCT(Items!A$242:A$254,Items!AQ$242:AQ$254)/SUM(Items!A$242:A$254),"")</f>
        <v/>
      </c>
    </row>
    <row r="538" spans="2:28" ht="17">
      <c r="B538" s="206" t="s">
        <v>1512</v>
      </c>
      <c r="C538" s="207" t="s">
        <v>69</v>
      </c>
      <c r="D538" s="207" t="s">
        <v>216</v>
      </c>
      <c r="E538" s="210" t="s">
        <v>1513</v>
      </c>
      <c r="F538" s="102" t="str">
        <f t="shared" si="23"/>
        <v>ME</v>
      </c>
      <c r="W538" s="209" t="str">
        <f t="shared" ca="1" si="24"/>
        <v/>
      </c>
      <c r="X538" s="209">
        <v>37</v>
      </c>
      <c r="Y538" s="209" t="str" cm="1">
        <f t="array" ref="Y538">SUBSTITUTE(TRIM(_xlfn.CONCAT(P38:P137 &amp; " ")), " ", ", ")</f>
        <v/>
      </c>
      <c r="Z538" s="309" t="str" cm="1">
        <f t="array" aca="1" ref="Z538" ca="1">IFERROR(LEFT(Y538, MATCH(FALSE, ISNUMBER(MID(Y538, ROW(INDIRECT("1:"&amp;LEN(Y538)+1)), 1) *1), 0) -1),"")</f>
        <v/>
      </c>
      <c r="AA538" s="209" t="str">
        <f t="shared" ca="1" si="25"/>
        <v/>
      </c>
      <c r="AB538" s="209" t="str">
        <f ca="1">IFERROR(AA538*SUMPRODUCT(Items!A$242:A$254,Items!AQ$242:AQ$254)/SUM(Items!A$242:A$254),"")</f>
        <v/>
      </c>
    </row>
    <row r="539" spans="2:28" ht="17">
      <c r="B539" s="206" t="s">
        <v>1514</v>
      </c>
      <c r="C539" s="207" t="s">
        <v>216</v>
      </c>
      <c r="D539" s="207" t="s">
        <v>216</v>
      </c>
      <c r="F539" s="102" t="str">
        <f t="shared" si="23"/>
        <v>ML</v>
      </c>
      <c r="G539" s="208" t="s">
        <v>1515</v>
      </c>
      <c r="W539" s="209" t="str">
        <f t="shared" ca="1" si="24"/>
        <v/>
      </c>
      <c r="X539" s="209">
        <v>38</v>
      </c>
      <c r="Y539" s="209" t="str" cm="1">
        <f t="array" ref="Y539">SUBSTITUTE(TRIM(_xlfn.CONCAT(P39:P138 &amp; " ")), " ", ", ")</f>
        <v/>
      </c>
      <c r="Z539" s="309" t="str" cm="1">
        <f t="array" aca="1" ref="Z539" ca="1">IFERROR(LEFT(Y539, MATCH(FALSE, ISNUMBER(MID(Y539, ROW(INDIRECT("1:"&amp;LEN(Y539)+1)), 1) *1), 0) -1),"")</f>
        <v/>
      </c>
      <c r="AA539" s="209" t="str">
        <f t="shared" ca="1" si="25"/>
        <v/>
      </c>
      <c r="AB539" s="209" t="str">
        <f ca="1">IFERROR(AA539*SUMPRODUCT(Items!A$242:A$254,Items!AQ$242:AQ$254)/SUM(Items!A$242:A$254),"")</f>
        <v/>
      </c>
    </row>
    <row r="540" spans="2:28" ht="17">
      <c r="B540" s="206" t="s">
        <v>1516</v>
      </c>
      <c r="C540" s="207" t="s">
        <v>216</v>
      </c>
      <c r="D540" s="207" t="s">
        <v>216</v>
      </c>
      <c r="E540" s="210" t="s">
        <v>1518</v>
      </c>
      <c r="F540" s="102" t="str">
        <f t="shared" si="23"/>
        <v>TP</v>
      </c>
      <c r="G540" s="217" t="s">
        <v>1517</v>
      </c>
      <c r="W540" s="209" t="str">
        <f t="shared" ca="1" si="24"/>
        <v/>
      </c>
      <c r="X540" s="209">
        <v>39</v>
      </c>
      <c r="Y540" s="209" t="str" cm="1">
        <f t="array" ref="Y540">SUBSTITUTE(TRIM(_xlfn.CONCAT(P40:P139 &amp; " ")), " ", ", ")</f>
        <v/>
      </c>
      <c r="Z540" s="309" t="str" cm="1">
        <f t="array" aca="1" ref="Z540" ca="1">IFERROR(LEFT(Y540, MATCH(FALSE, ISNUMBER(MID(Y540, ROW(INDIRECT("1:"&amp;LEN(Y540)+1)), 1) *1), 0) -1),"")</f>
        <v/>
      </c>
      <c r="AA540" s="209" t="str">
        <f t="shared" ca="1" si="25"/>
        <v/>
      </c>
      <c r="AB540" s="209" t="str">
        <f ca="1">IFERROR(AA540*SUMPRODUCT(Items!A$242:A$254,Items!AQ$242:AQ$254)/SUM(Items!A$242:A$254),"")</f>
        <v/>
      </c>
    </row>
    <row r="541" spans="2:28" ht="17">
      <c r="B541" s="206" t="s">
        <v>629</v>
      </c>
      <c r="C541" s="207" t="s">
        <v>960</v>
      </c>
      <c r="D541" s="207" t="s">
        <v>960</v>
      </c>
      <c r="E541" s="210" t="s">
        <v>1519</v>
      </c>
      <c r="F541" s="102" t="str">
        <f t="shared" si="23"/>
        <v>S</v>
      </c>
      <c r="W541" s="209" t="str">
        <f t="shared" ca="1" si="24"/>
        <v/>
      </c>
      <c r="X541" s="209">
        <v>40</v>
      </c>
      <c r="Y541" s="209" t="str" cm="1">
        <f t="array" ref="Y541">SUBSTITUTE(TRIM(_xlfn.CONCAT(P41:P140 &amp; " ")), " ", ", ")</f>
        <v/>
      </c>
      <c r="Z541" s="309" t="str" cm="1">
        <f t="array" aca="1" ref="Z541" ca="1">IFERROR(LEFT(Y541, MATCH(FALSE, ISNUMBER(MID(Y541, ROW(INDIRECT("1:"&amp;LEN(Y541)+1)), 1) *1), 0) -1),"")</f>
        <v/>
      </c>
      <c r="AA541" s="209" t="str">
        <f t="shared" ca="1" si="25"/>
        <v/>
      </c>
      <c r="AB541" s="209" t="str">
        <f ca="1">IFERROR(AA541*SUMPRODUCT(Items!A$242:A$254,Items!AQ$242:AQ$254)/SUM(Items!A$242:A$254),"")</f>
        <v/>
      </c>
    </row>
    <row r="542" spans="2:28" ht="17">
      <c r="B542" s="206" t="s">
        <v>1520</v>
      </c>
      <c r="C542" s="207" t="s">
        <v>1521</v>
      </c>
      <c r="D542" s="207" t="s">
        <v>35</v>
      </c>
      <c r="F542" s="102" t="str">
        <f t="shared" si="23"/>
        <v>PC</v>
      </c>
      <c r="W542" s="209" t="str">
        <f t="shared" ca="1" si="24"/>
        <v/>
      </c>
      <c r="X542" s="209">
        <v>41</v>
      </c>
      <c r="Y542" s="209" t="str" cm="1">
        <f t="array" ref="Y542">SUBSTITUTE(TRIM(_xlfn.CONCAT(P42:P141 &amp; " ")), " ", ", ")</f>
        <v/>
      </c>
      <c r="Z542" s="309" t="str" cm="1">
        <f t="array" aca="1" ref="Z542" ca="1">IFERROR(LEFT(Y542, MATCH(FALSE, ISNUMBER(MID(Y542, ROW(INDIRECT("1:"&amp;LEN(Y542)+1)), 1) *1), 0) -1),"")</f>
        <v/>
      </c>
      <c r="AA542" s="209" t="str">
        <f t="shared" ca="1" si="25"/>
        <v/>
      </c>
      <c r="AB542" s="209" t="str">
        <f ca="1">IFERROR(AA542*SUMPRODUCT(Items!A$242:A$254,Items!AQ$242:AQ$254)/SUM(Items!A$242:A$254),"")</f>
        <v/>
      </c>
    </row>
    <row r="543" spans="2:28" ht="17">
      <c r="B543" s="206" t="s">
        <v>1527</v>
      </c>
      <c r="C543" s="207" t="s">
        <v>1528</v>
      </c>
      <c r="D543" s="207" t="s">
        <v>35</v>
      </c>
      <c r="F543" s="102" t="str">
        <f t="shared" si="23"/>
        <v>MMF</v>
      </c>
      <c r="W543" s="209" t="str">
        <f t="shared" ca="1" si="24"/>
        <v/>
      </c>
      <c r="X543" s="209">
        <v>42</v>
      </c>
      <c r="Y543" s="209" t="str" cm="1">
        <f t="array" ref="Y543">SUBSTITUTE(TRIM(_xlfn.CONCAT(P43:P142 &amp; " ")), " ", ", ")</f>
        <v/>
      </c>
      <c r="Z543" s="309" t="str" cm="1">
        <f t="array" aca="1" ref="Z543" ca="1">IFERROR(LEFT(Y543, MATCH(FALSE, ISNUMBER(MID(Y543, ROW(INDIRECT("1:"&amp;LEN(Y543)+1)), 1) *1), 0) -1),"")</f>
        <v/>
      </c>
      <c r="AA543" s="209" t="str">
        <f t="shared" ca="1" si="25"/>
        <v/>
      </c>
      <c r="AB543" s="209" t="str">
        <f ca="1">IFERROR(AA543*SUMPRODUCT(Items!A$242:A$254,Items!AQ$242:AQ$254)/SUM(Items!A$242:A$254),"")</f>
        <v/>
      </c>
    </row>
    <row r="544" spans="2:28" ht="17">
      <c r="B544" s="206" t="s">
        <v>1529</v>
      </c>
      <c r="C544" s="207" t="s">
        <v>219</v>
      </c>
      <c r="D544" s="207" t="s">
        <v>216</v>
      </c>
      <c r="E544" s="210" t="s">
        <v>1531</v>
      </c>
      <c r="F544" s="102" t="str">
        <f t="shared" si="23"/>
        <v>AE</v>
      </c>
      <c r="G544" s="208" t="s">
        <v>1530</v>
      </c>
      <c r="W544" s="209" t="str">
        <f t="shared" ca="1" si="24"/>
        <v/>
      </c>
      <c r="X544" s="209">
        <v>43</v>
      </c>
      <c r="Y544" s="209" t="str" cm="1">
        <f t="array" ref="Y544">SUBSTITUTE(TRIM(_xlfn.CONCAT(P44:P143 &amp; " ")), " ", ", ")</f>
        <v/>
      </c>
      <c r="Z544" s="309" t="str" cm="1">
        <f t="array" aca="1" ref="Z544" ca="1">IFERROR(LEFT(Y544, MATCH(FALSE, ISNUMBER(MID(Y544, ROW(INDIRECT("1:"&amp;LEN(Y544)+1)), 1) *1), 0) -1),"")</f>
        <v/>
      </c>
      <c r="AA544" s="209" t="str">
        <f t="shared" ca="1" si="25"/>
        <v/>
      </c>
      <c r="AB544" s="209" t="str">
        <f ca="1">IFERROR(AA544*SUMPRODUCT(Items!A$242:A$254,Items!AQ$242:AQ$254)/SUM(Items!A$242:A$254),"")</f>
        <v/>
      </c>
    </row>
    <row r="545" spans="2:28" ht="17">
      <c r="B545" s="206" t="s">
        <v>1532</v>
      </c>
      <c r="C545" s="207" t="s">
        <v>1533</v>
      </c>
      <c r="D545" s="207" t="s">
        <v>216</v>
      </c>
      <c r="E545" s="210" t="s">
        <v>1534</v>
      </c>
      <c r="F545" s="102" t="str">
        <f t="shared" si="23"/>
        <v>ES</v>
      </c>
      <c r="W545" s="209" t="str">
        <f t="shared" ca="1" si="24"/>
        <v/>
      </c>
      <c r="X545" s="209">
        <v>44</v>
      </c>
      <c r="Y545" s="209" t="str" cm="1">
        <f t="array" ref="Y545">SUBSTITUTE(TRIM(_xlfn.CONCAT(P45:P144 &amp; " ")), " ", ", ")</f>
        <v/>
      </c>
      <c r="Z545" s="309" t="str" cm="1">
        <f t="array" aca="1" ref="Z545" ca="1">IFERROR(LEFT(Y545, MATCH(FALSE, ISNUMBER(MID(Y545, ROW(INDIRECT("1:"&amp;LEN(Y545)+1)), 1) *1), 0) -1),"")</f>
        <v/>
      </c>
      <c r="AA545" s="209" t="str">
        <f t="shared" ca="1" si="25"/>
        <v/>
      </c>
      <c r="AB545" s="209" t="str">
        <f ca="1">IFERROR(AA545*SUMPRODUCT(Items!A$242:A$254,Items!AQ$242:AQ$254)/SUM(Items!A$242:A$254),"")</f>
        <v/>
      </c>
    </row>
    <row r="546" spans="2:28" ht="17">
      <c r="B546" s="206" t="s">
        <v>1537</v>
      </c>
      <c r="C546" s="207" t="s">
        <v>216</v>
      </c>
      <c r="D546" s="207" t="s">
        <v>216</v>
      </c>
      <c r="E546" s="210" t="s">
        <v>1538</v>
      </c>
      <c r="F546" s="102" t="str">
        <f t="shared" si="23"/>
        <v>NK</v>
      </c>
      <c r="W546" s="209" t="str">
        <f t="shared" ca="1" si="24"/>
        <v/>
      </c>
      <c r="X546" s="209">
        <v>45</v>
      </c>
      <c r="Y546" s="209" t="str" cm="1">
        <f t="array" ref="Y546">SUBSTITUTE(TRIM(_xlfn.CONCAT(P46:P145 &amp; " ")), " ", ", ")</f>
        <v/>
      </c>
      <c r="Z546" s="309" t="str" cm="1">
        <f t="array" aca="1" ref="Z546" ca="1">IFERROR(LEFT(Y546, MATCH(FALSE, ISNUMBER(MID(Y546, ROW(INDIRECT("1:"&amp;LEN(Y546)+1)), 1) *1), 0) -1),"")</f>
        <v/>
      </c>
      <c r="AA546" s="209" t="str">
        <f t="shared" ca="1" si="25"/>
        <v/>
      </c>
      <c r="AB546" s="209" t="str">
        <f ca="1">IFERROR(AA546*SUMPRODUCT(Items!A$242:A$254,Items!AQ$242:AQ$254)/SUM(Items!A$242:A$254),"")</f>
        <v/>
      </c>
    </row>
    <row r="547" spans="2:28" ht="17">
      <c r="B547" s="206" t="s">
        <v>1539</v>
      </c>
      <c r="C547" s="207" t="s">
        <v>182</v>
      </c>
      <c r="D547" s="207" t="s">
        <v>216</v>
      </c>
      <c r="E547" s="210" t="s">
        <v>1540</v>
      </c>
      <c r="F547" s="102" t="str">
        <f t="shared" si="23"/>
        <v>S</v>
      </c>
      <c r="W547" s="209" t="str">
        <f t="shared" ca="1" si="24"/>
        <v/>
      </c>
      <c r="X547" s="209">
        <v>46</v>
      </c>
      <c r="Y547" s="209" t="str" cm="1">
        <f t="array" ref="Y547">SUBSTITUTE(TRIM(_xlfn.CONCAT(P47:P146 &amp; " ")), " ", ", ")</f>
        <v/>
      </c>
      <c r="Z547" s="309" t="str" cm="1">
        <f t="array" aca="1" ref="Z547" ca="1">IFERROR(LEFT(Y547, MATCH(FALSE, ISNUMBER(MID(Y547, ROW(INDIRECT("1:"&amp;LEN(Y547)+1)), 1) *1), 0) -1),"")</f>
        <v/>
      </c>
      <c r="AA547" s="209" t="str">
        <f t="shared" ca="1" si="25"/>
        <v/>
      </c>
      <c r="AB547" s="209" t="str">
        <f ca="1">IFERROR(AA547*SUMPRODUCT(Items!A$242:A$254,Items!AQ$242:AQ$254)/SUM(Items!A$242:A$254),"")</f>
        <v/>
      </c>
    </row>
    <row r="548" spans="2:28" ht="17">
      <c r="B548" s="206" t="s">
        <v>1541</v>
      </c>
      <c r="C548" s="207" t="s">
        <v>342</v>
      </c>
      <c r="D548" s="207" t="s">
        <v>342</v>
      </c>
      <c r="F548" s="102" t="str">
        <f t="shared" si="23"/>
        <v>D</v>
      </c>
      <c r="W548" s="209" t="str">
        <f t="shared" ca="1" si="24"/>
        <v/>
      </c>
      <c r="X548" s="209">
        <v>47</v>
      </c>
      <c r="Y548" s="209" t="str" cm="1">
        <f t="array" ref="Y548">SUBSTITUTE(TRIM(_xlfn.CONCAT(P48:P147 &amp; " ")), " ", ", ")</f>
        <v/>
      </c>
      <c r="Z548" s="309" t="str" cm="1">
        <f t="array" aca="1" ref="Z548" ca="1">IFERROR(LEFT(Y548, MATCH(FALSE, ISNUMBER(MID(Y548, ROW(INDIRECT("1:"&amp;LEN(Y548)+1)), 1) *1), 0) -1),"")</f>
        <v/>
      </c>
      <c r="AA548" s="209" t="str">
        <f t="shared" ca="1" si="25"/>
        <v/>
      </c>
      <c r="AB548" s="209" t="str">
        <f ca="1">IFERROR(AA548*SUMPRODUCT(Items!A$242:A$254,Items!AQ$242:AQ$254)/SUM(Items!A$242:A$254),"")</f>
        <v/>
      </c>
    </row>
    <row r="549" spans="2:28" ht="17">
      <c r="B549" s="206" t="s">
        <v>1544</v>
      </c>
      <c r="C549" s="207" t="s">
        <v>32</v>
      </c>
      <c r="D549" s="207" t="s">
        <v>216</v>
      </c>
      <c r="F549" s="102" t="str">
        <f t="shared" si="23"/>
        <v>NS</v>
      </c>
      <c r="W549" s="209" t="str">
        <f t="shared" ca="1" si="24"/>
        <v/>
      </c>
      <c r="X549" s="209">
        <v>48</v>
      </c>
      <c r="Y549" s="209" t="str" cm="1">
        <f t="array" ref="Y549">SUBSTITUTE(TRIM(_xlfn.CONCAT(P49:P148 &amp; " ")), " ", ", ")</f>
        <v/>
      </c>
      <c r="Z549" s="309" t="str" cm="1">
        <f t="array" aca="1" ref="Z549" ca="1">IFERROR(LEFT(Y549, MATCH(FALSE, ISNUMBER(MID(Y549, ROW(INDIRECT("1:"&amp;LEN(Y549)+1)), 1) *1), 0) -1),"")</f>
        <v/>
      </c>
      <c r="AA549" s="209" t="str">
        <f t="shared" ca="1" si="25"/>
        <v/>
      </c>
      <c r="AB549" s="209" t="str">
        <f ca="1">IFERROR(AA549*SUMPRODUCT(Items!A$242:A$254,Items!AQ$242:AQ$254)/SUM(Items!A$242:A$254),"")</f>
        <v/>
      </c>
    </row>
    <row r="550" spans="2:28" ht="17">
      <c r="B550" s="206" t="s">
        <v>1548</v>
      </c>
      <c r="C550" s="207" t="s">
        <v>216</v>
      </c>
      <c r="D550" s="207" t="s">
        <v>216</v>
      </c>
      <c r="E550" s="210" t="s">
        <v>1547</v>
      </c>
      <c r="F550" s="102" t="str">
        <f t="shared" si="23"/>
        <v>N</v>
      </c>
      <c r="W550" s="209" t="str">
        <f t="shared" ca="1" si="24"/>
        <v/>
      </c>
      <c r="X550" s="209">
        <v>49</v>
      </c>
      <c r="Y550" s="209" t="str" cm="1">
        <f t="array" ref="Y550">SUBSTITUTE(TRIM(_xlfn.CONCAT(P50:P149 &amp; " ")), " ", ", ")</f>
        <v/>
      </c>
      <c r="Z550" s="309" t="str" cm="1">
        <f t="array" aca="1" ref="Z550" ca="1">IFERROR(LEFT(Y550, MATCH(FALSE, ISNUMBER(MID(Y550, ROW(INDIRECT("1:"&amp;LEN(Y550)+1)), 1) *1), 0) -1),"")</f>
        <v/>
      </c>
      <c r="AA550" s="209" t="str">
        <f t="shared" ca="1" si="25"/>
        <v/>
      </c>
      <c r="AB550" s="209" t="str">
        <f ca="1">IFERROR(AA550*SUMPRODUCT(Items!A$242:A$254,Items!AQ$242:AQ$254)/SUM(Items!A$242:A$254),"")</f>
        <v/>
      </c>
    </row>
    <row r="551" spans="2:28" ht="17">
      <c r="B551" s="206" t="s">
        <v>1549</v>
      </c>
      <c r="C551" s="207" t="s">
        <v>216</v>
      </c>
      <c r="D551" s="207" t="s">
        <v>216</v>
      </c>
      <c r="E551" s="210" t="s">
        <v>1095</v>
      </c>
      <c r="F551" s="102" t="str">
        <f t="shared" si="23"/>
        <v>BA</v>
      </c>
      <c r="W551" s="209" t="str">
        <f t="shared" ca="1" si="24"/>
        <v/>
      </c>
      <c r="X551" s="209">
        <v>50</v>
      </c>
      <c r="Y551" s="209" t="str" cm="1">
        <f t="array" ref="Y551">SUBSTITUTE(TRIM(_xlfn.CONCAT(P51:P150 &amp; " ")), " ", ", ")</f>
        <v/>
      </c>
      <c r="Z551" s="309" t="str" cm="1">
        <f t="array" aca="1" ref="Z551" ca="1">IFERROR(LEFT(Y551, MATCH(FALSE, ISNUMBER(MID(Y551, ROW(INDIRECT("1:"&amp;LEN(Y551)+1)), 1) *1), 0) -1),"")</f>
        <v/>
      </c>
      <c r="AA551" s="209" t="str">
        <f t="shared" ca="1" si="25"/>
        <v/>
      </c>
      <c r="AB551" s="209" t="str">
        <f ca="1">IFERROR(AA551*SUMPRODUCT(Items!A$242:A$254,Items!AQ$242:AQ$254)/SUM(Items!A$242:A$254),"")</f>
        <v/>
      </c>
    </row>
    <row r="552" spans="2:28" ht="17">
      <c r="B552" s="206" t="s">
        <v>1551</v>
      </c>
      <c r="C552" s="207" t="s">
        <v>51</v>
      </c>
      <c r="D552" s="207" t="s">
        <v>51</v>
      </c>
      <c r="E552" s="210" t="s">
        <v>1552</v>
      </c>
      <c r="F552" s="102" t="str">
        <f t="shared" si="23"/>
        <v>ASAL</v>
      </c>
      <c r="G552" s="208" t="s">
        <v>1553</v>
      </c>
      <c r="W552" s="209" t="str">
        <f t="shared" ca="1" si="24"/>
        <v/>
      </c>
      <c r="X552" s="209">
        <v>51</v>
      </c>
      <c r="Y552" s="209" t="str" cm="1">
        <f t="array" ref="Y552">SUBSTITUTE(TRIM(_xlfn.CONCAT(P52:P151 &amp; " ")), " ", ", ")</f>
        <v/>
      </c>
      <c r="Z552" s="309" t="str" cm="1">
        <f t="array" aca="1" ref="Z552" ca="1">IFERROR(LEFT(Y552, MATCH(FALSE, ISNUMBER(MID(Y552, ROW(INDIRECT("1:"&amp;LEN(Y552)+1)), 1) *1), 0) -1),"")</f>
        <v/>
      </c>
      <c r="AA552" s="209" t="str">
        <f t="shared" ca="1" si="25"/>
        <v/>
      </c>
      <c r="AB552" s="209" t="str">
        <f ca="1">IFERROR(AA552*SUMPRODUCT(Items!A$242:A$254,Items!AQ$242:AQ$254)/SUM(Items!A$242:A$254),"")</f>
        <v/>
      </c>
    </row>
    <row r="553" spans="2:28" ht="17">
      <c r="B553" s="206" t="s">
        <v>1554</v>
      </c>
      <c r="C553" s="207" t="s">
        <v>216</v>
      </c>
      <c r="D553" s="207" t="s">
        <v>216</v>
      </c>
      <c r="E553" s="210" t="s">
        <v>1555</v>
      </c>
      <c r="F553" s="102" t="str">
        <f t="shared" si="23"/>
        <v>RA</v>
      </c>
      <c r="W553" s="209" t="str">
        <f t="shared" ca="1" si="24"/>
        <v/>
      </c>
      <c r="X553" s="209">
        <v>52</v>
      </c>
      <c r="Y553" s="209" t="str" cm="1">
        <f t="array" ref="Y553">SUBSTITUTE(TRIM(_xlfn.CONCAT(P53:P152 &amp; " ")), " ", ", ")</f>
        <v/>
      </c>
      <c r="Z553" s="309" t="str" cm="1">
        <f t="array" aca="1" ref="Z553" ca="1">IFERROR(LEFT(Y553, MATCH(FALSE, ISNUMBER(MID(Y553, ROW(INDIRECT("1:"&amp;LEN(Y553)+1)), 1) *1), 0) -1),"")</f>
        <v/>
      </c>
      <c r="AA553" s="209" t="str">
        <f t="shared" ca="1" si="25"/>
        <v/>
      </c>
      <c r="AB553" s="209" t="str">
        <f ca="1">IFERROR(AA553*SUMPRODUCT(Items!A$242:A$254,Items!AQ$242:AQ$254)/SUM(Items!A$242:A$254),"")</f>
        <v/>
      </c>
    </row>
    <row r="554" spans="2:28" ht="34">
      <c r="B554" s="206" t="s">
        <v>1557</v>
      </c>
      <c r="C554" s="207" t="s">
        <v>566</v>
      </c>
      <c r="D554" s="207" t="s">
        <v>216</v>
      </c>
      <c r="E554" s="210" t="s">
        <v>1558</v>
      </c>
      <c r="F554" s="102" t="str">
        <f t="shared" si="23"/>
        <v>CHUC</v>
      </c>
      <c r="W554" s="209" t="str">
        <f t="shared" ca="1" si="24"/>
        <v/>
      </c>
      <c r="X554" s="209">
        <v>53</v>
      </c>
      <c r="Y554" s="209" t="str" cm="1">
        <f t="array" ref="Y554">SUBSTITUTE(TRIM(_xlfn.CONCAT(P54:P153 &amp; " ")), " ", ", ")</f>
        <v/>
      </c>
      <c r="Z554" s="309" t="str" cm="1">
        <f t="array" aca="1" ref="Z554" ca="1">IFERROR(LEFT(Y554, MATCH(FALSE, ISNUMBER(MID(Y554, ROW(INDIRECT("1:"&amp;LEN(Y554)+1)), 1) *1), 0) -1),"")</f>
        <v/>
      </c>
      <c r="AA554" s="209" t="str">
        <f t="shared" ca="1" si="25"/>
        <v/>
      </c>
      <c r="AB554" s="209" t="str">
        <f ca="1">IFERROR(AA554*SUMPRODUCT(Items!A$242:A$254,Items!AQ$242:AQ$254)/SUM(Items!A$242:A$254),"")</f>
        <v/>
      </c>
    </row>
    <row r="555" spans="2:28" ht="17">
      <c r="B555" s="206" t="s">
        <v>1567</v>
      </c>
      <c r="C555" s="207" t="s">
        <v>352</v>
      </c>
      <c r="D555" s="207" t="s">
        <v>216</v>
      </c>
      <c r="E555" s="210" t="s">
        <v>1568</v>
      </c>
      <c r="F555" s="102" t="str">
        <f t="shared" si="23"/>
        <v>NB</v>
      </c>
      <c r="W555" s="209" t="str">
        <f t="shared" ca="1" si="24"/>
        <v/>
      </c>
      <c r="X555" s="209">
        <v>54</v>
      </c>
      <c r="Y555" s="209" t="str" cm="1">
        <f t="array" ref="Y555">SUBSTITUTE(TRIM(_xlfn.CONCAT(P55:P154 &amp; " ")), " ", ", ")</f>
        <v/>
      </c>
      <c r="Z555" s="309" t="str" cm="1">
        <f t="array" aca="1" ref="Z555" ca="1">IFERROR(LEFT(Y555, MATCH(FALSE, ISNUMBER(MID(Y555, ROW(INDIRECT("1:"&amp;LEN(Y555)+1)), 1) *1), 0) -1),"")</f>
        <v/>
      </c>
      <c r="AA555" s="209" t="str">
        <f t="shared" ca="1" si="25"/>
        <v/>
      </c>
      <c r="AB555" s="209" t="str">
        <f ca="1">IFERROR(AA555*SUMPRODUCT(Items!A$242:A$254,Items!AQ$242:AQ$254)/SUM(Items!A$242:A$254),"")</f>
        <v/>
      </c>
    </row>
    <row r="556" spans="2:28" ht="17">
      <c r="B556" s="206" t="s">
        <v>1569</v>
      </c>
      <c r="C556" s="207" t="s">
        <v>216</v>
      </c>
      <c r="D556" s="207" t="s">
        <v>216</v>
      </c>
      <c r="E556" s="210" t="s">
        <v>1570</v>
      </c>
      <c r="F556" s="102" t="str">
        <f t="shared" si="23"/>
        <v>R</v>
      </c>
      <c r="W556" s="209" t="str">
        <f t="shared" ca="1" si="24"/>
        <v/>
      </c>
      <c r="X556" s="209">
        <v>55</v>
      </c>
      <c r="Y556" s="209" t="str" cm="1">
        <f t="array" ref="Y556">SUBSTITUTE(TRIM(_xlfn.CONCAT(P56:P155 &amp; " ")), " ", ", ")</f>
        <v/>
      </c>
      <c r="Z556" s="309" t="str" cm="1">
        <f t="array" aca="1" ref="Z556" ca="1">IFERROR(LEFT(Y556, MATCH(FALSE, ISNUMBER(MID(Y556, ROW(INDIRECT("1:"&amp;LEN(Y556)+1)), 1) *1), 0) -1),"")</f>
        <v/>
      </c>
      <c r="AA556" s="209" t="str">
        <f t="shared" ca="1" si="25"/>
        <v/>
      </c>
      <c r="AB556" s="209" t="str">
        <f ca="1">IFERROR(AA556*SUMPRODUCT(Items!A$242:A$254,Items!AQ$242:AQ$254)/SUM(Items!A$242:A$254),"")</f>
        <v/>
      </c>
    </row>
    <row r="557" spans="2:28" ht="17">
      <c r="B557" s="206" t="s">
        <v>1571</v>
      </c>
      <c r="C557" s="207" t="s">
        <v>32</v>
      </c>
      <c r="D557" s="207" t="s">
        <v>216</v>
      </c>
      <c r="F557" s="102" t="str">
        <f t="shared" si="23"/>
        <v>DG</v>
      </c>
      <c r="W557" s="209" t="str">
        <f t="shared" ca="1" si="24"/>
        <v/>
      </c>
      <c r="X557" s="209">
        <v>56</v>
      </c>
      <c r="Y557" s="209" t="str" cm="1">
        <f t="array" ref="Y557">SUBSTITUTE(TRIM(_xlfn.CONCAT(P57:P156 &amp; " ")), " ", ", ")</f>
        <v/>
      </c>
      <c r="Z557" s="309" t="str" cm="1">
        <f t="array" aca="1" ref="Z557" ca="1">IFERROR(LEFT(Y557, MATCH(FALSE, ISNUMBER(MID(Y557, ROW(INDIRECT("1:"&amp;LEN(Y557)+1)), 1) *1), 0) -1),"")</f>
        <v/>
      </c>
      <c r="AA557" s="209" t="str">
        <f t="shared" ca="1" si="25"/>
        <v/>
      </c>
      <c r="AB557" s="209" t="str">
        <f ca="1">IFERROR(AA557*SUMPRODUCT(Items!A$242:A$254,Items!AQ$242:AQ$254)/SUM(Items!A$242:A$254),"")</f>
        <v/>
      </c>
    </row>
    <row r="558" spans="2:28" ht="17">
      <c r="B558" s="206" t="s">
        <v>1352</v>
      </c>
      <c r="C558" s="207" t="s">
        <v>295</v>
      </c>
      <c r="D558" s="207" t="s">
        <v>295</v>
      </c>
      <c r="E558" s="210" t="s">
        <v>309</v>
      </c>
      <c r="F558" s="102" t="str">
        <f t="shared" si="23"/>
        <v>CQ</v>
      </c>
      <c r="W558" s="209" t="str">
        <f t="shared" ca="1" si="24"/>
        <v/>
      </c>
      <c r="X558" s="209">
        <v>57</v>
      </c>
      <c r="Y558" s="209" t="str" cm="1">
        <f t="array" ref="Y558">SUBSTITUTE(TRIM(_xlfn.CONCAT(P58:P157 &amp; " ")), " ", ", ")</f>
        <v/>
      </c>
      <c r="Z558" s="309" t="str" cm="1">
        <f t="array" aca="1" ref="Z558" ca="1">IFERROR(LEFT(Y558, MATCH(FALSE, ISNUMBER(MID(Y558, ROW(INDIRECT("1:"&amp;LEN(Y558)+1)), 1) *1), 0) -1),"")</f>
        <v/>
      </c>
      <c r="AA558" s="209" t="str">
        <f t="shared" ca="1" si="25"/>
        <v/>
      </c>
      <c r="AB558" s="209" t="str">
        <f ca="1">IFERROR(AA558*SUMPRODUCT(Items!A$242:A$254,Items!AQ$242:AQ$254)/SUM(Items!A$242:A$254),"")</f>
        <v/>
      </c>
    </row>
    <row r="559" spans="2:28" ht="17">
      <c r="B559" s="206" t="s">
        <v>1631</v>
      </c>
      <c r="C559" s="207" t="s">
        <v>192</v>
      </c>
      <c r="D559" s="207" t="s">
        <v>216</v>
      </c>
      <c r="E559" s="210" t="s">
        <v>1574</v>
      </c>
      <c r="F559" s="102" t="str">
        <f t="shared" si="23"/>
        <v>ODC</v>
      </c>
      <c r="G559" s="208" t="s">
        <v>1573</v>
      </c>
      <c r="W559" s="209" t="str">
        <f t="shared" ca="1" si="24"/>
        <v/>
      </c>
      <c r="X559" s="209">
        <v>58</v>
      </c>
      <c r="Y559" s="209" t="str" cm="1">
        <f t="array" ref="Y559">SUBSTITUTE(TRIM(_xlfn.CONCAT(P59:P158 &amp; " ")), " ", ", ")</f>
        <v/>
      </c>
      <c r="Z559" s="309" t="str" cm="1">
        <f t="array" aca="1" ref="Z559" ca="1">IFERROR(LEFT(Y559, MATCH(FALSE, ISNUMBER(MID(Y559, ROW(INDIRECT("1:"&amp;LEN(Y559)+1)), 1) *1), 0) -1),"")</f>
        <v/>
      </c>
      <c r="AA559" s="209" t="str">
        <f t="shared" ca="1" si="25"/>
        <v/>
      </c>
      <c r="AB559" s="209" t="str">
        <f ca="1">IFERROR(AA559*SUMPRODUCT(Items!A$242:A$254,Items!AQ$242:AQ$254)/SUM(Items!A$242:A$254),"")</f>
        <v/>
      </c>
    </row>
    <row r="560" spans="2:28" ht="17">
      <c r="B560" s="206" t="s">
        <v>2426</v>
      </c>
      <c r="C560" s="207" t="s">
        <v>1576</v>
      </c>
      <c r="D560" s="207" t="s">
        <v>35</v>
      </c>
      <c r="E560" s="210" t="s">
        <v>1577</v>
      </c>
      <c r="F560" s="102" t="str">
        <f t="shared" si="23"/>
        <v>F-T</v>
      </c>
      <c r="W560" s="209" t="str">
        <f t="shared" ca="1" si="24"/>
        <v/>
      </c>
      <c r="X560" s="209">
        <v>59</v>
      </c>
      <c r="Y560" s="209" t="str" cm="1">
        <f t="array" ref="Y560">SUBSTITUTE(TRIM(_xlfn.CONCAT(P60:P159 &amp; " ")), " ", ", ")</f>
        <v/>
      </c>
      <c r="Z560" s="309" t="str" cm="1">
        <f t="array" aca="1" ref="Z560" ca="1">IFERROR(LEFT(Y560, MATCH(FALSE, ISNUMBER(MID(Y560, ROW(INDIRECT("1:"&amp;LEN(Y560)+1)), 1) *1), 0) -1),"")</f>
        <v/>
      </c>
      <c r="AA560" s="209" t="str">
        <f t="shared" ca="1" si="25"/>
        <v/>
      </c>
      <c r="AB560" s="209" t="str">
        <f ca="1">IFERROR(AA560*SUMPRODUCT(Items!A$242:A$254,Items!AQ$242:AQ$254)/SUM(Items!A$242:A$254),"")</f>
        <v/>
      </c>
    </row>
    <row r="561" spans="2:28" ht="17">
      <c r="B561" s="206" t="s">
        <v>1581</v>
      </c>
      <c r="C561" s="207" t="s">
        <v>1579</v>
      </c>
      <c r="D561" s="207" t="s">
        <v>216</v>
      </c>
      <c r="E561" s="210" t="s">
        <v>1580</v>
      </c>
      <c r="F561" s="102" t="str">
        <f t="shared" si="23"/>
        <v>G</v>
      </c>
      <c r="W561" s="209" t="str">
        <f t="shared" ca="1" si="24"/>
        <v/>
      </c>
      <c r="X561" s="209">
        <v>60</v>
      </c>
      <c r="Y561" s="209" t="str" cm="1">
        <f t="array" ref="Y561">SUBSTITUTE(TRIM(_xlfn.CONCAT(P61:P160 &amp; " ")), " ", ", ")</f>
        <v/>
      </c>
      <c r="Z561" s="309" t="str" cm="1">
        <f t="array" aca="1" ref="Z561" ca="1">IFERROR(LEFT(Y561, MATCH(FALSE, ISNUMBER(MID(Y561, ROW(INDIRECT("1:"&amp;LEN(Y561)+1)), 1) *1), 0) -1),"")</f>
        <v/>
      </c>
      <c r="AA561" s="209" t="str">
        <f t="shared" ca="1" si="25"/>
        <v/>
      </c>
      <c r="AB561" s="209" t="str">
        <f ca="1">IFERROR(AA561*SUMPRODUCT(Items!A$242:A$254,Items!AQ$242:AQ$254)/SUM(Items!A$242:A$254),"")</f>
        <v/>
      </c>
    </row>
    <row r="562" spans="2:28" ht="17">
      <c r="B562" s="206" t="s">
        <v>1582</v>
      </c>
      <c r="C562" s="207" t="s">
        <v>93</v>
      </c>
      <c r="D562" s="207" t="s">
        <v>216</v>
      </c>
      <c r="E562" s="210" t="s">
        <v>1583</v>
      </c>
      <c r="F562" s="102" t="str">
        <f t="shared" si="23"/>
        <v>FF</v>
      </c>
      <c r="W562" s="209" t="str">
        <f t="shared" ca="1" si="24"/>
        <v/>
      </c>
      <c r="X562" s="209">
        <v>61</v>
      </c>
      <c r="Y562" s="209" t="str" cm="1">
        <f t="array" ref="Y562">SUBSTITUTE(TRIM(_xlfn.CONCAT(P62:P161 &amp; " ")), " ", ", ")</f>
        <v/>
      </c>
      <c r="Z562" s="309" t="str" cm="1">
        <f t="array" aca="1" ref="Z562" ca="1">IFERROR(LEFT(Y562, MATCH(FALSE, ISNUMBER(MID(Y562, ROW(INDIRECT("1:"&amp;LEN(Y562)+1)), 1) *1), 0) -1),"")</f>
        <v/>
      </c>
      <c r="AA562" s="209" t="str">
        <f t="shared" ref="AA562:AA601" ca="1" si="26">IFERROR(VALUE(Z562),"")</f>
        <v/>
      </c>
      <c r="AB562" s="209" t="str">
        <f ca="1">IFERROR(AA562*SUMPRODUCT(Items!A$242:A$254,Items!AQ$242:AQ$254)/SUM(Items!A$242:A$254),"")</f>
        <v/>
      </c>
    </row>
    <row r="563" spans="2:28" ht="17">
      <c r="B563" s="206" t="s">
        <v>1584</v>
      </c>
      <c r="C563" s="207" t="s">
        <v>46</v>
      </c>
      <c r="D563" s="207" t="s">
        <v>216</v>
      </c>
      <c r="F563" s="102" t="str">
        <f t="shared" si="23"/>
        <v>MS</v>
      </c>
      <c r="W563" s="209" t="str">
        <f t="shared" ca="1" si="24"/>
        <v/>
      </c>
      <c r="X563" s="209">
        <v>62</v>
      </c>
      <c r="Y563" s="209" t="str" cm="1">
        <f t="array" ref="Y563">SUBSTITUTE(TRIM(_xlfn.CONCAT(P63:P162 &amp; " ")), " ", ", ")</f>
        <v/>
      </c>
      <c r="Z563" s="309" t="str" cm="1">
        <f t="array" aca="1" ref="Z563" ca="1">IFERROR(LEFT(Y563, MATCH(FALSE, ISNUMBER(MID(Y563, ROW(INDIRECT("1:"&amp;LEN(Y563)+1)), 1) *1), 0) -1),"")</f>
        <v/>
      </c>
      <c r="AA563" s="209" t="str">
        <f t="shared" ca="1" si="26"/>
        <v/>
      </c>
      <c r="AB563" s="209" t="str">
        <f ca="1">IFERROR(AA563*SUMPRODUCT(Items!A$242:A$254,Items!AQ$242:AQ$254)/SUM(Items!A$242:A$254),"")</f>
        <v/>
      </c>
    </row>
    <row r="564" spans="2:28" ht="17">
      <c r="B564" s="206" t="s">
        <v>1708</v>
      </c>
      <c r="C564" s="207" t="s">
        <v>182</v>
      </c>
      <c r="D564" s="207" t="s">
        <v>216</v>
      </c>
      <c r="E564" s="210" t="s">
        <v>1705</v>
      </c>
      <c r="F564" s="102" t="str">
        <f t="shared" si="23"/>
        <v>NA-A</v>
      </c>
      <c r="W564" s="209" t="str">
        <f t="shared" ca="1" si="24"/>
        <v/>
      </c>
      <c r="X564" s="209">
        <v>63</v>
      </c>
      <c r="Y564" s="209" t="str" cm="1">
        <f t="array" ref="Y564">SUBSTITUTE(TRIM(_xlfn.CONCAT(P64:P163 &amp; " ")), " ", ", ")</f>
        <v/>
      </c>
      <c r="Z564" s="309" t="str" cm="1">
        <f t="array" aca="1" ref="Z564" ca="1">IFERROR(LEFT(Y564, MATCH(FALSE, ISNUMBER(MID(Y564, ROW(INDIRECT("1:"&amp;LEN(Y564)+1)), 1) *1), 0) -1),"")</f>
        <v/>
      </c>
      <c r="AA564" s="209" t="str">
        <f t="shared" ca="1" si="26"/>
        <v/>
      </c>
      <c r="AB564" s="209" t="str">
        <f ca="1">IFERROR(AA564*SUMPRODUCT(Items!A$242:A$254,Items!AQ$242:AQ$254)/SUM(Items!A$242:A$254),"")</f>
        <v/>
      </c>
    </row>
    <row r="565" spans="2:28" ht="34">
      <c r="B565" s="206" t="s">
        <v>1706</v>
      </c>
      <c r="C565" s="207" t="s">
        <v>1396</v>
      </c>
      <c r="D565" s="207" t="s">
        <v>216</v>
      </c>
      <c r="E565" s="210" t="s">
        <v>1589</v>
      </c>
      <c r="F565" s="102" t="str">
        <f t="shared" si="23"/>
        <v>NA-N</v>
      </c>
      <c r="W565" s="209" t="str">
        <f t="shared" ca="1" si="24"/>
        <v/>
      </c>
      <c r="X565" s="209">
        <v>64</v>
      </c>
      <c r="Y565" s="209" t="str" cm="1">
        <f t="array" ref="Y565">SUBSTITUTE(TRIM(_xlfn.CONCAT(P65:P164 &amp; " ")), " ", ", ")</f>
        <v/>
      </c>
      <c r="Z565" s="309" t="str" cm="1">
        <f t="array" aca="1" ref="Z565" ca="1">IFERROR(LEFT(Y565, MATCH(FALSE, ISNUMBER(MID(Y565, ROW(INDIRECT("1:"&amp;LEN(Y565)+1)), 1) *1), 0) -1),"")</f>
        <v/>
      </c>
      <c r="AA565" s="209" t="str">
        <f t="shared" ca="1" si="26"/>
        <v/>
      </c>
      <c r="AB565" s="209" t="str">
        <f ca="1">IFERROR(AA565*SUMPRODUCT(Items!A$242:A$254,Items!AQ$242:AQ$254)/SUM(Items!A$242:A$254),"")</f>
        <v/>
      </c>
    </row>
    <row r="566" spans="2:28" ht="17">
      <c r="B566" s="206" t="s">
        <v>1707</v>
      </c>
      <c r="C566" s="207" t="s">
        <v>396</v>
      </c>
      <c r="D566" s="207" t="s">
        <v>216</v>
      </c>
      <c r="E566" s="210" t="s">
        <v>1590</v>
      </c>
      <c r="F566" s="102" t="str">
        <f t="shared" si="23"/>
        <v>NA-O</v>
      </c>
      <c r="W566" s="209" t="str">
        <f t="shared" ca="1" si="24"/>
        <v/>
      </c>
      <c r="X566" s="209">
        <v>65</v>
      </c>
      <c r="Y566" s="209" t="str" cm="1">
        <f t="array" ref="Y566">SUBSTITUTE(TRIM(_xlfn.CONCAT(P66:P165 &amp; " ")), " ", ", ")</f>
        <v/>
      </c>
      <c r="Z566" s="309" t="str" cm="1">
        <f t="array" aca="1" ref="Z566" ca="1">IFERROR(LEFT(Y566, MATCH(FALSE, ISNUMBER(MID(Y566, ROW(INDIRECT("1:"&amp;LEN(Y566)+1)), 1) *1), 0) -1),"")</f>
        <v/>
      </c>
      <c r="AA566" s="209" t="str">
        <f t="shared" ca="1" si="26"/>
        <v/>
      </c>
      <c r="AB566" s="209" t="str">
        <f ca="1">IFERROR(AA566*SUMPRODUCT(Items!A$242:A$254,Items!AQ$242:AQ$254)/SUM(Items!A$242:A$254),"")</f>
        <v/>
      </c>
    </row>
    <row r="567" spans="2:28" ht="17">
      <c r="B567" s="206" t="s">
        <v>1593</v>
      </c>
      <c r="C567" s="207" t="s">
        <v>35</v>
      </c>
      <c r="D567" s="207" t="s">
        <v>35</v>
      </c>
      <c r="E567" s="210" t="s">
        <v>1591</v>
      </c>
      <c r="F567" s="102" t="str">
        <f t="shared" si="23"/>
        <v>SEL</v>
      </c>
      <c r="G567" s="208" t="s">
        <v>1592</v>
      </c>
      <c r="W567" s="209" t="str">
        <f t="shared" ca="1" si="24"/>
        <v/>
      </c>
      <c r="X567" s="209">
        <v>66</v>
      </c>
      <c r="Y567" s="209" t="str" cm="1">
        <f t="array" ref="Y567">SUBSTITUTE(TRIM(_xlfn.CONCAT(P67:P166 &amp; " ")), " ", ", ")</f>
        <v/>
      </c>
      <c r="Z567" s="309" t="str" cm="1">
        <f t="array" aca="1" ref="Z567" ca="1">IFERROR(LEFT(Y567, MATCH(FALSE, ISNUMBER(MID(Y567, ROW(INDIRECT("1:"&amp;LEN(Y567)+1)), 1) *1), 0) -1),"")</f>
        <v/>
      </c>
      <c r="AA567" s="209" t="str">
        <f t="shared" ca="1" si="26"/>
        <v/>
      </c>
      <c r="AB567" s="209" t="str">
        <f ca="1">IFERROR(AA567*SUMPRODUCT(Items!A$242:A$254,Items!AQ$242:AQ$254)/SUM(Items!A$242:A$254),"")</f>
        <v/>
      </c>
    </row>
    <row r="568" spans="2:28" ht="17">
      <c r="B568" s="214" t="s">
        <v>1924</v>
      </c>
      <c r="C568" s="215" t="s">
        <v>1925</v>
      </c>
      <c r="D568" s="215" t="s">
        <v>216</v>
      </c>
      <c r="E568" s="216" t="s">
        <v>1591</v>
      </c>
      <c r="F568" s="102" t="str">
        <f t="shared" si="23"/>
        <v>SEL-</v>
      </c>
      <c r="G568" s="218" t="s">
        <v>1592</v>
      </c>
      <c r="W568" s="209" t="str">
        <f t="shared" ca="1" si="24"/>
        <v/>
      </c>
      <c r="X568" s="209">
        <v>67</v>
      </c>
      <c r="Y568" s="209" t="str" cm="1">
        <f t="array" ref="Y568">SUBSTITUTE(TRIM(_xlfn.CONCAT(P68:P167 &amp; " ")), " ", ", ")</f>
        <v/>
      </c>
      <c r="Z568" s="309" t="str" cm="1">
        <f t="array" aca="1" ref="Z568" ca="1">IFERROR(LEFT(Y568, MATCH(FALSE, ISNUMBER(MID(Y568, ROW(INDIRECT("1:"&amp;LEN(Y568)+1)), 1) *1), 0) -1),"")</f>
        <v/>
      </c>
      <c r="AA568" s="209" t="str">
        <f t="shared" ca="1" si="26"/>
        <v/>
      </c>
      <c r="AB568" s="209" t="str">
        <f ca="1">IFERROR(AA568*SUMPRODUCT(Items!A$242:A$254,Items!AQ$242:AQ$254)/SUM(Items!A$242:A$254),"")</f>
        <v/>
      </c>
    </row>
    <row r="569" spans="2:28" ht="17">
      <c r="B569" s="206" t="s">
        <v>1595</v>
      </c>
      <c r="C569" s="207" t="s">
        <v>274</v>
      </c>
      <c r="D569" s="207" t="s">
        <v>35</v>
      </c>
      <c r="E569" s="210" t="s">
        <v>1596</v>
      </c>
      <c r="F569" s="102" t="str">
        <f t="shared" si="23"/>
        <v>NA</v>
      </c>
      <c r="W569" s="209" t="str">
        <f t="shared" ca="1" si="24"/>
        <v/>
      </c>
      <c r="X569" s="209">
        <v>68</v>
      </c>
      <c r="Y569" s="209" t="str" cm="1">
        <f t="array" ref="Y569">SUBSTITUTE(TRIM(_xlfn.CONCAT(P69:P168 &amp; " ")), " ", ", ")</f>
        <v/>
      </c>
      <c r="Z569" s="309" t="str" cm="1">
        <f t="array" aca="1" ref="Z569" ca="1">IFERROR(LEFT(Y569, MATCH(FALSE, ISNUMBER(MID(Y569, ROW(INDIRECT("1:"&amp;LEN(Y569)+1)), 1) *1), 0) -1),"")</f>
        <v/>
      </c>
      <c r="AA569" s="209" t="str">
        <f t="shared" ca="1" si="26"/>
        <v/>
      </c>
      <c r="AB569" s="209" t="str">
        <f ca="1">IFERROR(AA569*SUMPRODUCT(Items!A$242:A$254,Items!AQ$242:AQ$254)/SUM(Items!A$242:A$254),"")</f>
        <v/>
      </c>
    </row>
    <row r="570" spans="2:28" ht="17">
      <c r="B570" s="206" t="s">
        <v>1597</v>
      </c>
      <c r="C570" s="207" t="s">
        <v>29</v>
      </c>
      <c r="D570" s="207" t="s">
        <v>1499</v>
      </c>
      <c r="E570" s="210" t="s">
        <v>1598</v>
      </c>
      <c r="F570" s="102" t="str">
        <f t="shared" si="23"/>
        <v>A</v>
      </c>
      <c r="W570" s="209" t="str">
        <f t="shared" ca="1" si="24"/>
        <v/>
      </c>
      <c r="X570" s="209">
        <v>69</v>
      </c>
      <c r="Y570" s="209" t="str" cm="1">
        <f t="array" ref="Y570">SUBSTITUTE(TRIM(_xlfn.CONCAT(P70:P169 &amp; " ")), " ", ", ")</f>
        <v/>
      </c>
      <c r="Z570" s="309" t="str" cm="1">
        <f t="array" aca="1" ref="Z570" ca="1">IFERROR(LEFT(Y570, MATCH(FALSE, ISNUMBER(MID(Y570, ROW(INDIRECT("1:"&amp;LEN(Y570)+1)), 1) *1), 0) -1),"")</f>
        <v/>
      </c>
      <c r="AA570" s="209" t="str">
        <f t="shared" ca="1" si="26"/>
        <v/>
      </c>
      <c r="AB570" s="209" t="str">
        <f ca="1">IFERROR(AA570*SUMPRODUCT(Items!A$242:A$254,Items!AQ$242:AQ$254)/SUM(Items!A$242:A$254),"")</f>
        <v/>
      </c>
    </row>
    <row r="571" spans="2:28" ht="17">
      <c r="B571" s="206" t="s">
        <v>1599</v>
      </c>
      <c r="C571" s="207" t="s">
        <v>414</v>
      </c>
      <c r="D571" s="207" t="s">
        <v>216</v>
      </c>
      <c r="E571" s="210" t="s">
        <v>1570</v>
      </c>
      <c r="F571" s="102" t="str">
        <f t="shared" si="23"/>
        <v>WL</v>
      </c>
      <c r="W571" s="209" t="str">
        <f t="shared" ca="1" si="24"/>
        <v/>
      </c>
      <c r="X571" s="209">
        <v>70</v>
      </c>
      <c r="Y571" s="209" t="str" cm="1">
        <f t="array" ref="Y571">SUBSTITUTE(TRIM(_xlfn.CONCAT(P71:P170 &amp; " ")), " ", ", ")</f>
        <v/>
      </c>
      <c r="Z571" s="309" t="str" cm="1">
        <f t="array" aca="1" ref="Z571" ca="1">IFERROR(LEFT(Y571, MATCH(FALSE, ISNUMBER(MID(Y571, ROW(INDIRECT("1:"&amp;LEN(Y571)+1)), 1) *1), 0) -1),"")</f>
        <v/>
      </c>
      <c r="AA571" s="209" t="str">
        <f t="shared" ca="1" si="26"/>
        <v/>
      </c>
      <c r="AB571" s="209" t="str">
        <f ca="1">IFERROR(AA571*SUMPRODUCT(Items!A$242:A$254,Items!AQ$242:AQ$254)/SUM(Items!A$242:A$254),"")</f>
        <v/>
      </c>
    </row>
    <row r="572" spans="2:28" ht="17">
      <c r="B572" s="206" t="s">
        <v>1600</v>
      </c>
      <c r="C572" s="207" t="s">
        <v>120</v>
      </c>
      <c r="D572" s="207" t="s">
        <v>216</v>
      </c>
      <c r="E572" s="210" t="s">
        <v>1570</v>
      </c>
      <c r="F572" s="102" t="str">
        <f t="shared" si="23"/>
        <v>CB</v>
      </c>
      <c r="W572" s="209" t="str">
        <f t="shared" ca="1" si="24"/>
        <v/>
      </c>
      <c r="X572" s="209">
        <v>71</v>
      </c>
      <c r="Y572" s="209" t="str" cm="1">
        <f t="array" ref="Y572">SUBSTITUTE(TRIM(_xlfn.CONCAT(P72:P171 &amp; " ")), " ", ", ")</f>
        <v/>
      </c>
      <c r="Z572" s="309" t="str" cm="1">
        <f t="array" aca="1" ref="Z572" ca="1">IFERROR(LEFT(Y572, MATCH(FALSE, ISNUMBER(MID(Y572, ROW(INDIRECT("1:"&amp;LEN(Y572)+1)), 1) *1), 0) -1),"")</f>
        <v/>
      </c>
      <c r="AA572" s="209" t="str">
        <f t="shared" ca="1" si="26"/>
        <v/>
      </c>
      <c r="AB572" s="209" t="str">
        <f ca="1">IFERROR(AA572*SUMPRODUCT(Items!A$242:A$254,Items!AQ$242:AQ$254)/SUM(Items!A$242:A$254),"")</f>
        <v/>
      </c>
    </row>
    <row r="573" spans="2:28" ht="17">
      <c r="B573" s="206" t="s">
        <v>1601</v>
      </c>
      <c r="C573" s="207" t="s">
        <v>120</v>
      </c>
      <c r="D573" s="207" t="s">
        <v>216</v>
      </c>
      <c r="E573" s="210" t="s">
        <v>1602</v>
      </c>
      <c r="F573" s="102" t="str">
        <f t="shared" si="23"/>
        <v>DF</v>
      </c>
      <c r="W573" s="209" t="str">
        <f t="shared" ca="1" si="24"/>
        <v/>
      </c>
      <c r="X573" s="209">
        <v>72</v>
      </c>
      <c r="Y573" s="209" t="str" cm="1">
        <f t="array" ref="Y573">SUBSTITUTE(TRIM(_xlfn.CONCAT(P73:P172 &amp; " ")), " ", ", ")</f>
        <v/>
      </c>
      <c r="Z573" s="309" t="str" cm="1">
        <f t="array" aca="1" ref="Z573" ca="1">IFERROR(LEFT(Y573, MATCH(FALSE, ISNUMBER(MID(Y573, ROW(INDIRECT("1:"&amp;LEN(Y573)+1)), 1) *1), 0) -1),"")</f>
        <v/>
      </c>
      <c r="AA573" s="209" t="str">
        <f t="shared" ca="1" si="26"/>
        <v/>
      </c>
      <c r="AB573" s="209" t="str">
        <f ca="1">IFERROR(AA573*SUMPRODUCT(Items!A$242:A$254,Items!AQ$242:AQ$254)/SUM(Items!A$242:A$254),"")</f>
        <v/>
      </c>
    </row>
    <row r="574" spans="2:28" ht="17">
      <c r="B574" s="206" t="s">
        <v>1603</v>
      </c>
      <c r="C574" s="207" t="s">
        <v>627</v>
      </c>
      <c r="D574" s="207" t="s">
        <v>216</v>
      </c>
      <c r="F574" s="102" t="str">
        <f t="shared" si="23"/>
        <v>SCL</v>
      </c>
      <c r="W574" s="209" t="str">
        <f t="shared" ca="1" si="24"/>
        <v/>
      </c>
      <c r="X574" s="209">
        <v>73</v>
      </c>
      <c r="Y574" s="209" t="str" cm="1">
        <f t="array" ref="Y574">SUBSTITUTE(TRIM(_xlfn.CONCAT(P74:P173 &amp; " ")), " ", ", ")</f>
        <v/>
      </c>
      <c r="Z574" s="309" t="str" cm="1">
        <f t="array" aca="1" ref="Z574" ca="1">IFERROR(LEFT(Y574, MATCH(FALSE, ISNUMBER(MID(Y574, ROW(INDIRECT("1:"&amp;LEN(Y574)+1)), 1) *1), 0) -1),"")</f>
        <v/>
      </c>
      <c r="AA574" s="209" t="str">
        <f t="shared" ca="1" si="26"/>
        <v/>
      </c>
      <c r="AB574" s="209" t="str">
        <f ca="1">IFERROR(AA574*SUMPRODUCT(Items!A$242:A$254,Items!AQ$242:AQ$254)/SUM(Items!A$242:A$254),"")</f>
        <v/>
      </c>
    </row>
    <row r="575" spans="2:28" ht="34">
      <c r="B575" s="206" t="s">
        <v>1607</v>
      </c>
      <c r="C575" s="207" t="s">
        <v>1605</v>
      </c>
      <c r="D575" s="207" t="s">
        <v>216</v>
      </c>
      <c r="E575" s="210" t="s">
        <v>1608</v>
      </c>
      <c r="F575" s="102" t="str">
        <f t="shared" si="23"/>
        <v>GI-G</v>
      </c>
      <c r="G575" s="208" t="s">
        <v>1606</v>
      </c>
      <c r="W575" s="209" t="str">
        <f t="shared" ca="1" si="24"/>
        <v/>
      </c>
      <c r="X575" s="209">
        <v>74</v>
      </c>
      <c r="Y575" s="209" t="str" cm="1">
        <f t="array" ref="Y575">SUBSTITUTE(TRIM(_xlfn.CONCAT(P75:P174 &amp; " ")), " ", ", ")</f>
        <v/>
      </c>
      <c r="Z575" s="309" t="str" cm="1">
        <f t="array" aca="1" ref="Z575" ca="1">IFERROR(LEFT(Y575, MATCH(FALSE, ISNUMBER(MID(Y575, ROW(INDIRECT("1:"&amp;LEN(Y575)+1)), 1) *1), 0) -1),"")</f>
        <v/>
      </c>
      <c r="AA575" s="209" t="str">
        <f t="shared" ca="1" si="26"/>
        <v/>
      </c>
      <c r="AB575" s="209" t="str">
        <f ca="1">IFERROR(AA575*SUMPRODUCT(Items!A$242:A$254,Items!AQ$242:AQ$254)/SUM(Items!A$242:A$254),"")</f>
        <v/>
      </c>
    </row>
    <row r="576" spans="2:28" ht="17">
      <c r="B576" s="206" t="s">
        <v>1609</v>
      </c>
      <c r="C576" s="207" t="s">
        <v>1610</v>
      </c>
      <c r="D576" s="207" t="s">
        <v>35</v>
      </c>
      <c r="E576" s="210" t="s">
        <v>1611</v>
      </c>
      <c r="F576" s="102" t="str">
        <f t="shared" si="23"/>
        <v>DTL</v>
      </c>
      <c r="G576" s="208" t="s">
        <v>1613</v>
      </c>
      <c r="W576" s="209" t="str">
        <f t="shared" ca="1" si="24"/>
        <v/>
      </c>
      <c r="X576" s="209">
        <v>75</v>
      </c>
      <c r="Y576" s="209" t="str" cm="1">
        <f t="array" ref="Y576">SUBSTITUTE(TRIM(_xlfn.CONCAT(P76:P175 &amp; " ")), " ", ", ")</f>
        <v/>
      </c>
      <c r="Z576" s="309" t="str" cm="1">
        <f t="array" aca="1" ref="Z576" ca="1">IFERROR(LEFT(Y576, MATCH(FALSE, ISNUMBER(MID(Y576, ROW(INDIRECT("1:"&amp;LEN(Y576)+1)), 1) *1), 0) -1),"")</f>
        <v/>
      </c>
      <c r="AA576" s="209" t="str">
        <f t="shared" ca="1" si="26"/>
        <v/>
      </c>
      <c r="AB576" s="209" t="str">
        <f ca="1">IFERROR(AA576*SUMPRODUCT(Items!A$242:A$254,Items!AQ$242:AQ$254)/SUM(Items!A$242:A$254),"")</f>
        <v/>
      </c>
    </row>
    <row r="577" spans="2:28" ht="17">
      <c r="B577" s="206" t="s">
        <v>1575</v>
      </c>
      <c r="C577" s="207" t="s">
        <v>216</v>
      </c>
      <c r="D577" s="207" t="s">
        <v>216</v>
      </c>
      <c r="E577" s="210" t="s">
        <v>1614</v>
      </c>
      <c r="F577" s="102" t="str">
        <f t="shared" si="23"/>
        <v>F</v>
      </c>
      <c r="W577" s="209" t="str">
        <f t="shared" ca="1" si="24"/>
        <v/>
      </c>
      <c r="X577" s="209">
        <v>76</v>
      </c>
      <c r="Y577" s="209" t="str" cm="1">
        <f t="array" ref="Y577">SUBSTITUTE(TRIM(_xlfn.CONCAT(P77:P176 &amp; " ")), " ", ", ")</f>
        <v/>
      </c>
      <c r="Z577" s="309" t="str" cm="1">
        <f t="array" aca="1" ref="Z577" ca="1">IFERROR(LEFT(Y577, MATCH(FALSE, ISNUMBER(MID(Y577, ROW(INDIRECT("1:"&amp;LEN(Y577)+1)), 1) *1), 0) -1),"")</f>
        <v/>
      </c>
      <c r="AA577" s="209" t="str">
        <f t="shared" ca="1" si="26"/>
        <v/>
      </c>
      <c r="AB577" s="209" t="str">
        <f ca="1">IFERROR(AA577*SUMPRODUCT(Items!A$242:A$254,Items!AQ$242:AQ$254)/SUM(Items!A$242:A$254),"")</f>
        <v/>
      </c>
    </row>
    <row r="578" spans="2:28" ht="17">
      <c r="B578" s="206" t="s">
        <v>1617</v>
      </c>
      <c r="C578" s="207" t="s">
        <v>1618</v>
      </c>
      <c r="D578" s="207" t="s">
        <v>1618</v>
      </c>
      <c r="E578" s="210" t="s">
        <v>1619</v>
      </c>
      <c r="F578" s="102" t="str">
        <f t="shared" si="23"/>
        <v>ST</v>
      </c>
      <c r="W578" s="209" t="str">
        <f t="shared" ca="1" si="24"/>
        <v/>
      </c>
      <c r="X578" s="209">
        <v>77</v>
      </c>
      <c r="Y578" s="209" t="str" cm="1">
        <f t="array" ref="Y578">SUBSTITUTE(TRIM(_xlfn.CONCAT(P78:P177 &amp; " ")), " ", ", ")</f>
        <v/>
      </c>
      <c r="Z578" s="309" t="str" cm="1">
        <f t="array" aca="1" ref="Z578" ca="1">IFERROR(LEFT(Y578, MATCH(FALSE, ISNUMBER(MID(Y578, ROW(INDIRECT("1:"&amp;LEN(Y578)+1)), 1) *1), 0) -1),"")</f>
        <v/>
      </c>
      <c r="AA578" s="209" t="str">
        <f t="shared" ca="1" si="26"/>
        <v/>
      </c>
      <c r="AB578" s="209" t="str">
        <f ca="1">IFERROR(AA578*SUMPRODUCT(Items!A$242:A$254,Items!AQ$242:AQ$254)/SUM(Items!A$242:A$254),"")</f>
        <v/>
      </c>
    </row>
    <row r="579" spans="2:28" ht="17">
      <c r="B579" s="206" t="s">
        <v>1620</v>
      </c>
      <c r="C579" s="207" t="s">
        <v>595</v>
      </c>
      <c r="D579" s="207" t="s">
        <v>216</v>
      </c>
      <c r="E579" s="210" t="s">
        <v>1621</v>
      </c>
      <c r="F579" s="102" t="str">
        <f t="shared" ref="F579:F642" si="27">UPPER(LEFT(B579,1)) &amp; IFERROR(UPPER(LEFT(MID(B579,FIND(" ",B579)+1,LEN(B579)),1)),"") &amp; IFERROR(UPPER(LEFT(MID(B579,FIND(" ",B579,FIND(" ",B579)+1)+1,LEN(B579)),1)),"") &amp; IFERROR(UPPER(LEFT(MID(B579,FIND(" ",B579,FIND(" ",B579,FIND(" ",B579)+1)+1)+1,LEN(B579)),1)),"")</f>
        <v>MC</v>
      </c>
      <c r="W579" s="209" t="str">
        <f t="shared" ca="1" si="24"/>
        <v/>
      </c>
      <c r="X579" s="209">
        <v>78</v>
      </c>
      <c r="Y579" s="209" t="str" cm="1">
        <f t="array" ref="Y579">SUBSTITUTE(TRIM(_xlfn.CONCAT(P79:P178 &amp; " ")), " ", ", ")</f>
        <v/>
      </c>
      <c r="Z579" s="309" t="str" cm="1">
        <f t="array" aca="1" ref="Z579" ca="1">IFERROR(LEFT(Y579, MATCH(FALSE, ISNUMBER(MID(Y579, ROW(INDIRECT("1:"&amp;LEN(Y579)+1)), 1) *1), 0) -1),"")</f>
        <v/>
      </c>
      <c r="AA579" s="209" t="str">
        <f t="shared" ca="1" si="26"/>
        <v/>
      </c>
      <c r="AB579" s="209" t="str">
        <f ca="1">IFERROR(AA579*SUMPRODUCT(Items!A$242:A$254,Items!AQ$242:AQ$254)/SUM(Items!A$242:A$254),"")</f>
        <v/>
      </c>
    </row>
    <row r="580" spans="2:28" ht="17">
      <c r="B580" s="206" t="s">
        <v>1624</v>
      </c>
      <c r="C580" s="207" t="s">
        <v>305</v>
      </c>
      <c r="D580" s="207" t="s">
        <v>305</v>
      </c>
      <c r="F580" s="102" t="str">
        <f t="shared" si="27"/>
        <v>MS-S</v>
      </c>
      <c r="W580" s="209" t="str">
        <f t="shared" ca="1" si="24"/>
        <v/>
      </c>
      <c r="X580" s="209">
        <v>79</v>
      </c>
      <c r="Y580" s="209" t="str" cm="1">
        <f t="array" ref="Y580">SUBSTITUTE(TRIM(_xlfn.CONCAT(P80:P179 &amp; " ")), " ", ", ")</f>
        <v/>
      </c>
      <c r="Z580" s="309" t="str" cm="1">
        <f t="array" aca="1" ref="Z580" ca="1">IFERROR(LEFT(Y580, MATCH(FALSE, ISNUMBER(MID(Y580, ROW(INDIRECT("1:"&amp;LEN(Y580)+1)), 1) *1), 0) -1),"")</f>
        <v/>
      </c>
      <c r="AA580" s="209" t="str">
        <f t="shared" ca="1" si="26"/>
        <v/>
      </c>
      <c r="AB580" s="209" t="str">
        <f ca="1">IFERROR(AA580*SUMPRODUCT(Items!A$242:A$254,Items!AQ$242:AQ$254)/SUM(Items!A$242:A$254),"")</f>
        <v/>
      </c>
    </row>
    <row r="581" spans="2:28" ht="17">
      <c r="B581" s="206" t="s">
        <v>1625</v>
      </c>
      <c r="C581" s="207" t="s">
        <v>305</v>
      </c>
      <c r="D581" s="207" t="s">
        <v>305</v>
      </c>
      <c r="F581" s="102" t="str">
        <f t="shared" si="27"/>
        <v>MS-P</v>
      </c>
      <c r="W581" s="209" t="str">
        <f t="shared" ref="W581:W601" ca="1" si="28">IF(AND($AB581&gt;=AB565,$AB581&lt;150),1,IF(AND($AB581&gt;=150,$AB581&lt;250),2,IF(AND($AB581&gt;=250,$AB581&lt;450),3,"")))</f>
        <v/>
      </c>
      <c r="X581" s="209">
        <v>80</v>
      </c>
      <c r="Y581" s="209" t="str" cm="1">
        <f t="array" ref="Y581">SUBSTITUTE(TRIM(_xlfn.CONCAT(P81:P180 &amp; " ")), " ", ", ")</f>
        <v/>
      </c>
      <c r="Z581" s="309" t="str" cm="1">
        <f t="array" aca="1" ref="Z581" ca="1">IFERROR(LEFT(Y581, MATCH(FALSE, ISNUMBER(MID(Y581, ROW(INDIRECT("1:"&amp;LEN(Y581)+1)), 1) *1), 0) -1),"")</f>
        <v/>
      </c>
      <c r="AA581" s="209" t="str">
        <f t="shared" ca="1" si="26"/>
        <v/>
      </c>
      <c r="AB581" s="209" t="str">
        <f ca="1">IFERROR(AA581*SUMPRODUCT(Items!A$242:A$254,Items!AQ$242:AQ$254)/SUM(Items!A$242:A$254),"")</f>
        <v/>
      </c>
    </row>
    <row r="582" spans="2:28" ht="17">
      <c r="B582" s="206" t="s">
        <v>1626</v>
      </c>
      <c r="C582" s="207" t="s">
        <v>305</v>
      </c>
      <c r="D582" s="207" t="s">
        <v>305</v>
      </c>
      <c r="F582" s="102" t="str">
        <f t="shared" si="27"/>
        <v>MS-L</v>
      </c>
      <c r="W582" s="209" t="str">
        <f t="shared" ca="1" si="28"/>
        <v/>
      </c>
      <c r="X582" s="209">
        <v>81</v>
      </c>
      <c r="Y582" s="209" t="str" cm="1">
        <f t="array" ref="Y582">SUBSTITUTE(TRIM(_xlfn.CONCAT(P82:P181 &amp; " ")), " ", ", ")</f>
        <v/>
      </c>
      <c r="Z582" s="309" t="str" cm="1">
        <f t="array" aca="1" ref="Z582" ca="1">IFERROR(LEFT(Y582, MATCH(FALSE, ISNUMBER(MID(Y582, ROW(INDIRECT("1:"&amp;LEN(Y582)+1)), 1) *1), 0) -1),"")</f>
        <v/>
      </c>
      <c r="AA582" s="209" t="str">
        <f t="shared" ca="1" si="26"/>
        <v/>
      </c>
      <c r="AB582" s="209" t="str">
        <f ca="1">IFERROR(AA582*SUMPRODUCT(Items!A$242:A$254,Items!AQ$242:AQ$254)/SUM(Items!A$242:A$254),"")</f>
        <v/>
      </c>
    </row>
    <row r="583" spans="2:28" ht="17">
      <c r="B583" s="206" t="s">
        <v>1627</v>
      </c>
      <c r="C583" s="207" t="s">
        <v>305</v>
      </c>
      <c r="D583" s="207" t="s">
        <v>305</v>
      </c>
      <c r="F583" s="102" t="str">
        <f t="shared" si="27"/>
        <v>MS-F</v>
      </c>
      <c r="W583" s="209" t="str">
        <f t="shared" ca="1" si="28"/>
        <v/>
      </c>
      <c r="X583" s="209">
        <v>82</v>
      </c>
      <c r="Y583" s="209" t="str" cm="1">
        <f t="array" ref="Y583">SUBSTITUTE(TRIM(_xlfn.CONCAT(P83:P182 &amp; " ")), " ", ", ")</f>
        <v/>
      </c>
      <c r="Z583" s="309" t="str" cm="1">
        <f t="array" aca="1" ref="Z583" ca="1">IFERROR(LEFT(Y583, MATCH(FALSE, ISNUMBER(MID(Y583, ROW(INDIRECT("1:"&amp;LEN(Y583)+1)), 1) *1), 0) -1),"")</f>
        <v/>
      </c>
      <c r="AA583" s="209" t="str">
        <f t="shared" ca="1" si="26"/>
        <v/>
      </c>
      <c r="AB583" s="209" t="str">
        <f ca="1">IFERROR(AA583*SUMPRODUCT(Items!A$242:A$254,Items!AQ$242:AQ$254)/SUM(Items!A$242:A$254),"")</f>
        <v/>
      </c>
    </row>
    <row r="584" spans="2:28" ht="17">
      <c r="B584" s="206" t="s">
        <v>1628</v>
      </c>
      <c r="C584" s="207" t="s">
        <v>305</v>
      </c>
      <c r="D584" s="207" t="s">
        <v>305</v>
      </c>
      <c r="F584" s="102" t="str">
        <f t="shared" si="27"/>
        <v>MS-B</v>
      </c>
      <c r="W584" s="209" t="str">
        <f t="shared" ca="1" si="28"/>
        <v/>
      </c>
      <c r="X584" s="209">
        <v>83</v>
      </c>
      <c r="Y584" s="209" t="str" cm="1">
        <f t="array" ref="Y584">SUBSTITUTE(TRIM(_xlfn.CONCAT(P84:P183 &amp; " ")), " ", ", ")</f>
        <v/>
      </c>
      <c r="Z584" s="309" t="str" cm="1">
        <f t="array" aca="1" ref="Z584" ca="1">IFERROR(LEFT(Y584, MATCH(FALSE, ISNUMBER(MID(Y584, ROW(INDIRECT("1:"&amp;LEN(Y584)+1)), 1) *1), 0) -1),"")</f>
        <v/>
      </c>
      <c r="AA584" s="209" t="str">
        <f t="shared" ca="1" si="26"/>
        <v/>
      </c>
      <c r="AB584" s="209" t="str">
        <f ca="1">IFERROR(AA584*SUMPRODUCT(Items!A$242:A$254,Items!AQ$242:AQ$254)/SUM(Items!A$242:A$254),"")</f>
        <v/>
      </c>
    </row>
    <row r="585" spans="2:28" ht="17">
      <c r="B585" s="206" t="s">
        <v>1629</v>
      </c>
      <c r="C585" s="207" t="s">
        <v>305</v>
      </c>
      <c r="D585" s="207" t="s">
        <v>305</v>
      </c>
      <c r="F585" s="102" t="str">
        <f t="shared" si="27"/>
        <v>MS-B</v>
      </c>
      <c r="W585" s="209" t="str">
        <f t="shared" ca="1" si="28"/>
        <v/>
      </c>
      <c r="X585" s="209">
        <v>84</v>
      </c>
      <c r="Y585" s="209" t="str" cm="1">
        <f t="array" ref="Y585">SUBSTITUTE(TRIM(_xlfn.CONCAT(P85:P184 &amp; " ")), " ", ", ")</f>
        <v/>
      </c>
      <c r="Z585" s="309" t="str" cm="1">
        <f t="array" aca="1" ref="Z585" ca="1">IFERROR(LEFT(Y585, MATCH(FALSE, ISNUMBER(MID(Y585, ROW(INDIRECT("1:"&amp;LEN(Y585)+1)), 1) *1), 0) -1),"")</f>
        <v/>
      </c>
      <c r="AA585" s="209" t="str">
        <f t="shared" ca="1" si="26"/>
        <v/>
      </c>
      <c r="AB585" s="209" t="str">
        <f ca="1">IFERROR(AA585*SUMPRODUCT(Items!A$242:A$254,Items!AQ$242:AQ$254)/SUM(Items!A$242:A$254),"")</f>
        <v/>
      </c>
    </row>
    <row r="586" spans="2:28" ht="17">
      <c r="B586" s="206" t="s">
        <v>1630</v>
      </c>
      <c r="C586" s="207" t="s">
        <v>305</v>
      </c>
      <c r="D586" s="207" t="s">
        <v>305</v>
      </c>
      <c r="F586" s="102" t="str">
        <f t="shared" si="27"/>
        <v>MS-A</v>
      </c>
      <c r="W586" s="209" t="str">
        <f t="shared" ca="1" si="28"/>
        <v/>
      </c>
      <c r="X586" s="209">
        <v>85</v>
      </c>
      <c r="Y586" s="209" t="str" cm="1">
        <f t="array" ref="Y586">SUBSTITUTE(TRIM(_xlfn.CONCAT(P86:P185 &amp; " ")), " ", ", ")</f>
        <v/>
      </c>
      <c r="Z586" s="309" t="str" cm="1">
        <f t="array" aca="1" ref="Z586" ca="1">IFERROR(LEFT(Y586, MATCH(FALSE, ISNUMBER(MID(Y586, ROW(INDIRECT("1:"&amp;LEN(Y586)+1)), 1) *1), 0) -1),"")</f>
        <v/>
      </c>
      <c r="AA586" s="209" t="str">
        <f t="shared" ca="1" si="26"/>
        <v/>
      </c>
      <c r="AB586" s="209" t="str">
        <f ca="1">IFERROR(AA586*SUMPRODUCT(Items!A$242:A$254,Items!AQ$242:AQ$254)/SUM(Items!A$242:A$254),"")</f>
        <v/>
      </c>
    </row>
    <row r="587" spans="2:28" ht="17">
      <c r="B587" s="206" t="s">
        <v>1632</v>
      </c>
      <c r="C587" s="207" t="s">
        <v>120</v>
      </c>
      <c r="D587" s="207" t="s">
        <v>216</v>
      </c>
      <c r="F587" s="102" t="str">
        <f t="shared" si="27"/>
        <v>ACI</v>
      </c>
      <c r="W587" s="209" t="str">
        <f t="shared" ca="1" si="28"/>
        <v/>
      </c>
      <c r="X587" s="209">
        <v>86</v>
      </c>
      <c r="Y587" s="209" t="str" cm="1">
        <f t="array" ref="Y587">SUBSTITUTE(TRIM(_xlfn.CONCAT(P87:P186 &amp; " ")), " ", ", ")</f>
        <v/>
      </c>
      <c r="Z587" s="309" t="str" cm="1">
        <f t="array" aca="1" ref="Z587" ca="1">IFERROR(LEFT(Y587, MATCH(FALSE, ISNUMBER(MID(Y587, ROW(INDIRECT("1:"&amp;LEN(Y587)+1)), 1) *1), 0) -1),"")</f>
        <v/>
      </c>
      <c r="AA587" s="209" t="str">
        <f t="shared" ca="1" si="26"/>
        <v/>
      </c>
      <c r="AB587" s="209" t="str">
        <f ca="1">IFERROR(AA587*SUMPRODUCT(Items!A$242:A$254,Items!AQ$242:AQ$254)/SUM(Items!A$242:A$254),"")</f>
        <v/>
      </c>
    </row>
    <row r="588" spans="2:28" ht="51">
      <c r="B588" s="206" t="s">
        <v>1646</v>
      </c>
      <c r="C588" s="207" t="s">
        <v>1647</v>
      </c>
      <c r="D588" s="207" t="s">
        <v>35</v>
      </c>
      <c r="F588" s="102" t="str">
        <f t="shared" si="27"/>
        <v>RA</v>
      </c>
      <c r="H588" s="219" t="s">
        <v>1648</v>
      </c>
      <c r="W588" s="209" t="str">
        <f t="shared" ca="1" si="28"/>
        <v/>
      </c>
      <c r="X588" s="209">
        <v>87</v>
      </c>
      <c r="Y588" s="209" t="str" cm="1">
        <f t="array" ref="Y588">SUBSTITUTE(TRIM(_xlfn.CONCAT(P88:P187 &amp; " ")), " ", ", ")</f>
        <v/>
      </c>
      <c r="Z588" s="309" t="str" cm="1">
        <f t="array" aca="1" ref="Z588" ca="1">IFERROR(LEFT(Y588, MATCH(FALSE, ISNUMBER(MID(Y588, ROW(INDIRECT("1:"&amp;LEN(Y588)+1)), 1) *1), 0) -1),"")</f>
        <v/>
      </c>
      <c r="AA588" s="209" t="str">
        <f t="shared" ca="1" si="26"/>
        <v/>
      </c>
      <c r="AB588" s="209" t="str">
        <f ca="1">IFERROR(AA588*SUMPRODUCT(Items!A$242:A$254,Items!AQ$242:AQ$254)/SUM(Items!A$242:A$254),"")</f>
        <v/>
      </c>
    </row>
    <row r="589" spans="2:28" ht="17">
      <c r="B589" s="206" t="s">
        <v>1650</v>
      </c>
      <c r="C589" s="207" t="s">
        <v>1651</v>
      </c>
      <c r="D589" s="207" t="s">
        <v>954</v>
      </c>
      <c r="F589" s="102" t="str">
        <f t="shared" si="27"/>
        <v>MO</v>
      </c>
      <c r="W589" s="209" t="str">
        <f t="shared" ca="1" si="28"/>
        <v/>
      </c>
      <c r="X589" s="209">
        <v>88</v>
      </c>
      <c r="Y589" s="209" t="str" cm="1">
        <f t="array" ref="Y589">SUBSTITUTE(TRIM(_xlfn.CONCAT(P89:P188 &amp; " ")), " ", ", ")</f>
        <v/>
      </c>
      <c r="Z589" s="309" t="str" cm="1">
        <f t="array" aca="1" ref="Z589" ca="1">IFERROR(LEFT(Y589, MATCH(FALSE, ISNUMBER(MID(Y589, ROW(INDIRECT("1:"&amp;LEN(Y589)+1)), 1) *1), 0) -1),"")</f>
        <v/>
      </c>
      <c r="AA589" s="209" t="str">
        <f t="shared" ca="1" si="26"/>
        <v/>
      </c>
      <c r="AB589" s="209" t="str">
        <f ca="1">IFERROR(AA589*SUMPRODUCT(Items!A$242:A$254,Items!AQ$242:AQ$254)/SUM(Items!A$242:A$254),"")</f>
        <v/>
      </c>
    </row>
    <row r="590" spans="2:28" ht="17">
      <c r="B590" s="206" t="s">
        <v>1556</v>
      </c>
      <c r="C590" s="207" t="s">
        <v>1653</v>
      </c>
      <c r="D590" s="207" t="s">
        <v>35</v>
      </c>
      <c r="E590" s="210" t="s">
        <v>1654</v>
      </c>
      <c r="F590" s="102" t="str">
        <f t="shared" si="27"/>
        <v>GN</v>
      </c>
      <c r="W590" s="209" t="str">
        <f t="shared" ca="1" si="28"/>
        <v/>
      </c>
      <c r="X590" s="209">
        <v>89</v>
      </c>
      <c r="Y590" s="209" t="str" cm="1">
        <f t="array" ref="Y590">SUBSTITUTE(TRIM(_xlfn.CONCAT(P90:P189 &amp; " ")), " ", ", ")</f>
        <v/>
      </c>
      <c r="Z590" s="309" t="str" cm="1">
        <f t="array" aca="1" ref="Z590" ca="1">IFERROR(LEFT(Y590, MATCH(FALSE, ISNUMBER(MID(Y590, ROW(INDIRECT("1:"&amp;LEN(Y590)+1)), 1) *1), 0) -1),"")</f>
        <v/>
      </c>
      <c r="AA590" s="209" t="str">
        <f t="shared" ca="1" si="26"/>
        <v/>
      </c>
      <c r="AB590" s="209" t="str">
        <f ca="1">IFERROR(AA590*SUMPRODUCT(Items!A$242:A$254,Items!AQ$242:AQ$254)/SUM(Items!A$242:A$254),"")</f>
        <v/>
      </c>
    </row>
    <row r="591" spans="2:28" ht="17">
      <c r="B591" s="206" t="s">
        <v>1663</v>
      </c>
      <c r="C591" s="207" t="s">
        <v>770</v>
      </c>
      <c r="D591" s="207" t="s">
        <v>35</v>
      </c>
      <c r="E591" s="210" t="s">
        <v>1664</v>
      </c>
      <c r="F591" s="102" t="str">
        <f t="shared" si="27"/>
        <v>GA</v>
      </c>
      <c r="W591" s="209" t="str">
        <f t="shared" ca="1" si="28"/>
        <v/>
      </c>
      <c r="X591" s="209">
        <v>90</v>
      </c>
      <c r="Y591" s="209" t="str" cm="1">
        <f t="array" ref="Y591">SUBSTITUTE(TRIM(_xlfn.CONCAT(P91:P190 &amp; " ")), " ", ", ")</f>
        <v/>
      </c>
      <c r="Z591" s="309" t="str" cm="1">
        <f t="array" aca="1" ref="Z591" ca="1">IFERROR(LEFT(Y591, MATCH(FALSE, ISNUMBER(MID(Y591, ROW(INDIRECT("1:"&amp;LEN(Y591)+1)), 1) *1), 0) -1),"")</f>
        <v/>
      </c>
      <c r="AA591" s="209" t="str">
        <f t="shared" ca="1" si="26"/>
        <v/>
      </c>
      <c r="AB591" s="209" t="str">
        <f ca="1">IFERROR(AA591*SUMPRODUCT(Items!A$242:A$254,Items!AQ$242:AQ$254)/SUM(Items!A$242:A$254),"")</f>
        <v/>
      </c>
    </row>
    <row r="592" spans="2:28" ht="17">
      <c r="B592" s="206" t="s">
        <v>1665</v>
      </c>
      <c r="C592" s="207" t="s">
        <v>1666</v>
      </c>
      <c r="D592" s="207" t="s">
        <v>216</v>
      </c>
      <c r="E592" s="210" t="s">
        <v>1667</v>
      </c>
      <c r="F592" s="102" t="str">
        <f t="shared" si="27"/>
        <v>A</v>
      </c>
      <c r="W592" s="209" t="str">
        <f t="shared" ca="1" si="28"/>
        <v/>
      </c>
      <c r="X592" s="209">
        <v>91</v>
      </c>
      <c r="Y592" s="209" t="str" cm="1">
        <f t="array" ref="Y592">SUBSTITUTE(TRIM(_xlfn.CONCAT(P92:P191 &amp; " ")), " ", ", ")</f>
        <v/>
      </c>
      <c r="Z592" s="309" t="str" cm="1">
        <f t="array" aca="1" ref="Z592" ca="1">IFERROR(LEFT(Y592, MATCH(FALSE, ISNUMBER(MID(Y592, ROW(INDIRECT("1:"&amp;LEN(Y592)+1)), 1) *1), 0) -1),"")</f>
        <v/>
      </c>
      <c r="AA592" s="209" t="str">
        <f t="shared" ca="1" si="26"/>
        <v/>
      </c>
      <c r="AB592" s="209" t="str">
        <f ca="1">IFERROR(AA592*SUMPRODUCT(Items!A$242:A$254,Items!AQ$242:AQ$254)/SUM(Items!A$242:A$254),"")</f>
        <v/>
      </c>
    </row>
    <row r="593" spans="2:28" ht="17">
      <c r="B593" s="206" t="s">
        <v>1668</v>
      </c>
      <c r="C593" s="207" t="s">
        <v>1669</v>
      </c>
      <c r="D593" s="207" t="s">
        <v>35</v>
      </c>
      <c r="E593" s="210" t="s">
        <v>1670</v>
      </c>
      <c r="F593" s="102" t="str">
        <f t="shared" si="27"/>
        <v>VSL</v>
      </c>
      <c r="W593" s="209" t="str">
        <f t="shared" ca="1" si="28"/>
        <v/>
      </c>
      <c r="X593" s="209">
        <v>92</v>
      </c>
      <c r="Y593" s="209" t="str" cm="1">
        <f t="array" ref="Y593">SUBSTITUTE(TRIM(_xlfn.CONCAT(P93:P192 &amp; " ")), " ", ", ")</f>
        <v/>
      </c>
      <c r="Z593" s="309" t="str" cm="1">
        <f t="array" aca="1" ref="Z593" ca="1">IFERROR(LEFT(Y593, MATCH(FALSE, ISNUMBER(MID(Y593, ROW(INDIRECT("1:"&amp;LEN(Y593)+1)), 1) *1), 0) -1),"")</f>
        <v/>
      </c>
      <c r="AA593" s="209" t="str">
        <f t="shared" ca="1" si="26"/>
        <v/>
      </c>
      <c r="AB593" s="209" t="str">
        <f ca="1">IFERROR(AA593*SUMPRODUCT(Items!A$242:A$254,Items!AQ$242:AQ$254)/SUM(Items!A$242:A$254),"")</f>
        <v/>
      </c>
    </row>
    <row r="594" spans="2:28" ht="17">
      <c r="B594" s="206" t="s">
        <v>1671</v>
      </c>
      <c r="C594" s="207" t="s">
        <v>120</v>
      </c>
      <c r="D594" s="207" t="s">
        <v>216</v>
      </c>
      <c r="E594" s="210" t="s">
        <v>1673</v>
      </c>
      <c r="F594" s="102" t="str">
        <f t="shared" si="27"/>
        <v>IVPG</v>
      </c>
      <c r="G594" s="217" t="s">
        <v>1672</v>
      </c>
      <c r="W594" s="209" t="str">
        <f t="shared" ca="1" si="28"/>
        <v/>
      </c>
      <c r="X594" s="209">
        <v>93</v>
      </c>
      <c r="Y594" s="209" t="str" cm="1">
        <f t="array" ref="Y594">SUBSTITUTE(TRIM(_xlfn.CONCAT(P94:P193 &amp; " ")), " ", ", ")</f>
        <v/>
      </c>
      <c r="Z594" s="309" t="str" cm="1">
        <f t="array" aca="1" ref="Z594" ca="1">IFERROR(LEFT(Y594, MATCH(FALSE, ISNUMBER(MID(Y594, ROW(INDIRECT("1:"&amp;LEN(Y594)+1)), 1) *1), 0) -1),"")</f>
        <v/>
      </c>
      <c r="AA594" s="209" t="str">
        <f t="shared" ca="1" si="26"/>
        <v/>
      </c>
      <c r="AB594" s="209" t="str">
        <f ca="1">IFERROR(AA594*SUMPRODUCT(Items!A$242:A$254,Items!AQ$242:AQ$254)/SUM(Items!A$242:A$254),"")</f>
        <v/>
      </c>
    </row>
    <row r="595" spans="2:28" ht="17">
      <c r="B595" s="206" t="s">
        <v>662</v>
      </c>
      <c r="C595" s="207" t="s">
        <v>1674</v>
      </c>
      <c r="D595" s="207" t="s">
        <v>954</v>
      </c>
      <c r="E595" s="210" t="s">
        <v>663</v>
      </c>
      <c r="F595" s="102" t="str">
        <f t="shared" si="27"/>
        <v>APS</v>
      </c>
      <c r="W595" s="209" t="str">
        <f t="shared" ca="1" si="28"/>
        <v/>
      </c>
      <c r="X595" s="209">
        <v>94</v>
      </c>
      <c r="Y595" s="209" t="str" cm="1">
        <f t="array" ref="Y595">SUBSTITUTE(TRIM(_xlfn.CONCAT(P95:P194 &amp; " ")), " ", ", ")</f>
        <v/>
      </c>
      <c r="Z595" s="309" t="str" cm="1">
        <f t="array" aca="1" ref="Z595" ca="1">IFERROR(LEFT(Y595, MATCH(FALSE, ISNUMBER(MID(Y595, ROW(INDIRECT("1:"&amp;LEN(Y595)+1)), 1) *1), 0) -1),"")</f>
        <v/>
      </c>
      <c r="AA595" s="209" t="str">
        <f t="shared" ca="1" si="26"/>
        <v/>
      </c>
      <c r="AB595" s="209" t="str">
        <f ca="1">IFERROR(AA595*SUMPRODUCT(Items!A$242:A$254,Items!AQ$242:AQ$254)/SUM(Items!A$242:A$254),"")</f>
        <v/>
      </c>
    </row>
    <row r="596" spans="2:28" ht="17">
      <c r="B596" s="206" t="s">
        <v>1677</v>
      </c>
      <c r="C596" s="207" t="s">
        <v>1678</v>
      </c>
      <c r="D596" s="207" t="s">
        <v>216</v>
      </c>
      <c r="E596" s="210" t="s">
        <v>1679</v>
      </c>
      <c r="F596" s="102" t="str">
        <f t="shared" si="27"/>
        <v>A-JP</v>
      </c>
      <c r="W596" s="209" t="str">
        <f t="shared" ca="1" si="28"/>
        <v/>
      </c>
      <c r="X596" s="209">
        <v>95</v>
      </c>
      <c r="Y596" s="209" t="str" cm="1">
        <f t="array" ref="Y596">SUBSTITUTE(TRIM(_xlfn.CONCAT(P96:P195 &amp; " ")), " ", ", ")</f>
        <v/>
      </c>
      <c r="Z596" s="309" t="str" cm="1">
        <f t="array" aca="1" ref="Z596" ca="1">IFERROR(LEFT(Y596, MATCH(FALSE, ISNUMBER(MID(Y596, ROW(INDIRECT("1:"&amp;LEN(Y596)+1)), 1) *1), 0) -1),"")</f>
        <v/>
      </c>
      <c r="AA596" s="209" t="str">
        <f t="shared" ca="1" si="26"/>
        <v/>
      </c>
      <c r="AB596" s="209" t="str">
        <f ca="1">IFERROR(AA596*SUMPRODUCT(Items!A$242:A$254,Items!AQ$242:AQ$254)/SUM(Items!A$242:A$254),"")</f>
        <v/>
      </c>
    </row>
    <row r="597" spans="2:28" ht="17">
      <c r="B597" s="206" t="s">
        <v>1680</v>
      </c>
      <c r="C597" s="207" t="s">
        <v>32</v>
      </c>
      <c r="D597" s="207" t="s">
        <v>216</v>
      </c>
      <c r="E597" s="210" t="s">
        <v>1682</v>
      </c>
      <c r="F597" s="102" t="str">
        <f t="shared" si="27"/>
        <v>O&amp;A</v>
      </c>
      <c r="G597" s="217" t="s">
        <v>1681</v>
      </c>
      <c r="W597" s="209" t="str">
        <f t="shared" ca="1" si="28"/>
        <v/>
      </c>
      <c r="X597" s="209">
        <v>96</v>
      </c>
      <c r="Y597" s="209" t="str" cm="1">
        <f t="array" ref="Y597">SUBSTITUTE(TRIM(_xlfn.CONCAT(P97:P196 &amp; " ")), " ", ", ")</f>
        <v/>
      </c>
      <c r="Z597" s="309" t="str" cm="1">
        <f t="array" aca="1" ref="Z597" ca="1">IFERROR(LEFT(Y597, MATCH(FALSE, ISNUMBER(MID(Y597, ROW(INDIRECT("1:"&amp;LEN(Y597)+1)), 1) *1), 0) -1),"")</f>
        <v/>
      </c>
      <c r="AA597" s="209" t="str">
        <f t="shared" ca="1" si="26"/>
        <v/>
      </c>
      <c r="AB597" s="209" t="str">
        <f ca="1">IFERROR(AA597*SUMPRODUCT(Items!A$242:A$254,Items!AQ$242:AQ$254)/SUM(Items!A$242:A$254),"")</f>
        <v/>
      </c>
    </row>
    <row r="598" spans="2:28" ht="17">
      <c r="B598" s="206" t="s">
        <v>1683</v>
      </c>
      <c r="C598" s="207" t="s">
        <v>216</v>
      </c>
      <c r="D598" s="207" t="s">
        <v>216</v>
      </c>
      <c r="E598" s="210" t="s">
        <v>1684</v>
      </c>
      <c r="F598" s="102" t="str">
        <f t="shared" si="27"/>
        <v>EAQ</v>
      </c>
      <c r="W598" s="209" t="str">
        <f t="shared" ca="1" si="28"/>
        <v/>
      </c>
      <c r="X598" s="209">
        <v>97</v>
      </c>
      <c r="Y598" s="209" t="str" cm="1">
        <f t="array" ref="Y598">SUBSTITUTE(TRIM(_xlfn.CONCAT(P98:P197 &amp; " ")), " ", ", ")</f>
        <v/>
      </c>
      <c r="Z598" s="309" t="str" cm="1">
        <f t="array" aca="1" ref="Z598" ca="1">IFERROR(LEFT(Y598, MATCH(FALSE, ISNUMBER(MID(Y598, ROW(INDIRECT("1:"&amp;LEN(Y598)+1)), 1) *1), 0) -1),"")</f>
        <v/>
      </c>
      <c r="AA598" s="209" t="str">
        <f t="shared" ca="1" si="26"/>
        <v/>
      </c>
      <c r="AB598" s="209" t="str">
        <f ca="1">IFERROR(AA598*SUMPRODUCT(Items!A$242:A$254,Items!AQ$242:AQ$254)/SUM(Items!A$242:A$254),"")</f>
        <v/>
      </c>
    </row>
    <row r="599" spans="2:28" ht="17">
      <c r="B599" s="206" t="s">
        <v>1685</v>
      </c>
      <c r="C599" s="207" t="s">
        <v>216</v>
      </c>
      <c r="D599" s="207" t="s">
        <v>216</v>
      </c>
      <c r="F599" s="102" t="str">
        <f t="shared" si="27"/>
        <v>A</v>
      </c>
      <c r="W599" s="209" t="str">
        <f t="shared" ca="1" si="28"/>
        <v/>
      </c>
      <c r="X599" s="209">
        <v>98</v>
      </c>
      <c r="Y599" s="209" t="str" cm="1">
        <f t="array" ref="Y599">SUBSTITUTE(TRIM(_xlfn.CONCAT(P99:P198 &amp; " ")), " ", ", ")</f>
        <v/>
      </c>
      <c r="Z599" s="309" t="str" cm="1">
        <f t="array" aca="1" ref="Z599" ca="1">IFERROR(LEFT(Y599, MATCH(FALSE, ISNUMBER(MID(Y599, ROW(INDIRECT("1:"&amp;LEN(Y599)+1)), 1) *1), 0) -1),"")</f>
        <v/>
      </c>
      <c r="AA599" s="209" t="str">
        <f t="shared" ca="1" si="26"/>
        <v/>
      </c>
      <c r="AB599" s="209" t="str">
        <f ca="1">IFERROR(AA599*SUMPRODUCT(Items!A$242:A$254,Items!AQ$242:AQ$254)/SUM(Items!A$242:A$254),"")</f>
        <v/>
      </c>
    </row>
    <row r="600" spans="2:28" ht="17">
      <c r="B600" s="206" t="s">
        <v>1689</v>
      </c>
      <c r="C600" s="207" t="s">
        <v>438</v>
      </c>
      <c r="D600" s="207" t="s">
        <v>216</v>
      </c>
      <c r="E600" s="210" t="s">
        <v>1688</v>
      </c>
      <c r="F600" s="102" t="str">
        <f t="shared" si="27"/>
        <v>A-T</v>
      </c>
      <c r="W600" s="209" t="str">
        <f t="shared" ca="1" si="28"/>
        <v/>
      </c>
      <c r="X600" s="209">
        <v>99</v>
      </c>
      <c r="Y600" s="209" t="str" cm="1">
        <f t="array" ref="Y600">SUBSTITUTE(TRIM(_xlfn.CONCAT(P100:P199 &amp; " ")), " ", ", ")</f>
        <v/>
      </c>
      <c r="Z600" s="309" t="str" cm="1">
        <f t="array" aca="1" ref="Z600" ca="1">IFERROR(LEFT(Y600, MATCH(FALSE, ISNUMBER(MID(Y600, ROW(INDIRECT("1:"&amp;LEN(Y600)+1)), 1) *1), 0) -1),"")</f>
        <v/>
      </c>
      <c r="AA600" s="209" t="str">
        <f t="shared" ca="1" si="26"/>
        <v/>
      </c>
      <c r="AB600" s="209" t="str">
        <f ca="1">IFERROR(AA600*SUMPRODUCT(Items!A$242:A$254,Items!AQ$242:AQ$254)/SUM(Items!A$242:A$254),"")</f>
        <v/>
      </c>
    </row>
    <row r="601" spans="2:28" ht="17">
      <c r="B601" s="206" t="s">
        <v>1690</v>
      </c>
      <c r="C601" s="207" t="s">
        <v>32</v>
      </c>
      <c r="D601" s="207" t="s">
        <v>216</v>
      </c>
      <c r="E601" s="210" t="s">
        <v>1691</v>
      </c>
      <c r="F601" s="102" t="str">
        <f t="shared" si="27"/>
        <v>AL</v>
      </c>
      <c r="W601" s="209" t="str">
        <f t="shared" ca="1" si="28"/>
        <v/>
      </c>
      <c r="X601" s="209">
        <v>100</v>
      </c>
      <c r="Y601" s="209" t="str" cm="1">
        <f t="array" ref="Y601">SUBSTITUTE(TRIM(_xlfn.CONCAT(P101:P200 &amp; " ")), " ", ", ")</f>
        <v/>
      </c>
      <c r="Z601" s="309" t="str" cm="1">
        <f t="array" aca="1" ref="Z601" ca="1">IFERROR(LEFT(Y601, MATCH(FALSE, ISNUMBER(MID(Y601, ROW(INDIRECT("1:"&amp;LEN(Y601)+1)), 1) *1), 0) -1),"")</f>
        <v/>
      </c>
      <c r="AA601" s="209" t="str">
        <f t="shared" ca="1" si="26"/>
        <v/>
      </c>
      <c r="AB601" s="209" t="str">
        <f ca="1">IFERROR(AA601*SUMPRODUCT(Items!A$242:A$254,Items!AQ$242:AQ$254)/SUM(Items!A$242:A$254),"")</f>
        <v/>
      </c>
    </row>
    <row r="602" spans="2:28" ht="17">
      <c r="B602" s="206" t="s">
        <v>1694</v>
      </c>
      <c r="C602" s="207" t="s">
        <v>38</v>
      </c>
      <c r="D602" s="207" t="s">
        <v>216</v>
      </c>
      <c r="E602" s="210" t="s">
        <v>1693</v>
      </c>
      <c r="F602" s="102" t="str">
        <f t="shared" si="27"/>
        <v>A</v>
      </c>
      <c r="Z602" s="309"/>
    </row>
    <row r="603" spans="2:28" ht="17">
      <c r="B603" s="206" t="s">
        <v>1697</v>
      </c>
      <c r="C603" s="207" t="s">
        <v>446</v>
      </c>
      <c r="D603" s="207" t="s">
        <v>35</v>
      </c>
      <c r="E603" s="210" t="s">
        <v>1698</v>
      </c>
      <c r="F603" s="102" t="str">
        <f t="shared" si="27"/>
        <v>DA</v>
      </c>
    </row>
    <row r="604" spans="2:28" ht="17">
      <c r="B604" s="206" t="s">
        <v>1699</v>
      </c>
      <c r="C604" s="207" t="s">
        <v>1618</v>
      </c>
      <c r="D604" s="207" t="s">
        <v>1618</v>
      </c>
      <c r="E604" s="210" t="s">
        <v>1700</v>
      </c>
      <c r="F604" s="102" t="str">
        <f t="shared" si="27"/>
        <v>AP</v>
      </c>
    </row>
    <row r="605" spans="2:28" ht="17">
      <c r="B605" s="206" t="s">
        <v>1701</v>
      </c>
      <c r="C605" s="207" t="s">
        <v>438</v>
      </c>
      <c r="D605" s="207" t="s">
        <v>216</v>
      </c>
      <c r="E605" s="210" t="s">
        <v>1702</v>
      </c>
      <c r="F605" s="102" t="str">
        <f t="shared" si="27"/>
        <v>S</v>
      </c>
      <c r="G605" s="208" t="s">
        <v>1703</v>
      </c>
    </row>
    <row r="606" spans="2:28" ht="17">
      <c r="B606" s="206" t="s">
        <v>1709</v>
      </c>
      <c r="C606" s="207" t="s">
        <v>342</v>
      </c>
      <c r="D606" s="207" t="s">
        <v>342</v>
      </c>
      <c r="E606" s="210" t="s">
        <v>1710</v>
      </c>
      <c r="F606" s="102" t="str">
        <f t="shared" si="27"/>
        <v>T-T</v>
      </c>
    </row>
    <row r="607" spans="2:28" ht="17">
      <c r="B607" s="206" t="s">
        <v>1711</v>
      </c>
      <c r="C607" s="207" t="s">
        <v>438</v>
      </c>
      <c r="D607" s="207" t="s">
        <v>216</v>
      </c>
      <c r="E607" s="210" t="s">
        <v>1712</v>
      </c>
      <c r="F607" s="102" t="str">
        <f t="shared" si="27"/>
        <v>MR</v>
      </c>
    </row>
    <row r="608" spans="2:28" ht="17">
      <c r="B608" s="206" t="s">
        <v>1713</v>
      </c>
      <c r="C608" s="207" t="s">
        <v>1716</v>
      </c>
      <c r="D608" s="207" t="s">
        <v>216</v>
      </c>
      <c r="E608" s="210" t="s">
        <v>1714</v>
      </c>
      <c r="F608" s="102" t="str">
        <f t="shared" si="27"/>
        <v>QIC</v>
      </c>
      <c r="G608" s="208" t="s">
        <v>1715</v>
      </c>
    </row>
    <row r="609" spans="2:8" ht="17">
      <c r="B609" s="206" t="s">
        <v>1717</v>
      </c>
      <c r="C609" s="207" t="s">
        <v>192</v>
      </c>
      <c r="D609" s="207" t="s">
        <v>216</v>
      </c>
      <c r="E609" s="210" t="s">
        <v>1718</v>
      </c>
      <c r="F609" s="102" t="str">
        <f t="shared" si="27"/>
        <v>T</v>
      </c>
    </row>
    <row r="610" spans="2:8" ht="17">
      <c r="B610" s="206" t="s">
        <v>1719</v>
      </c>
      <c r="C610" s="207" t="s">
        <v>342</v>
      </c>
      <c r="D610" s="207" t="s">
        <v>342</v>
      </c>
      <c r="E610" s="210" t="s">
        <v>1720</v>
      </c>
      <c r="F610" s="102" t="str">
        <f t="shared" si="27"/>
        <v>A</v>
      </c>
    </row>
    <row r="611" spans="2:8" ht="17">
      <c r="B611" s="206" t="s">
        <v>1721</v>
      </c>
      <c r="C611" s="207" t="s">
        <v>1722</v>
      </c>
      <c r="D611" s="207" t="s">
        <v>216</v>
      </c>
      <c r="F611" s="102" t="str">
        <f t="shared" si="27"/>
        <v>AK</v>
      </c>
    </row>
    <row r="612" spans="2:8" ht="17">
      <c r="B612" s="206" t="s">
        <v>1723</v>
      </c>
      <c r="C612" s="207" t="s">
        <v>182</v>
      </c>
      <c r="D612" s="207" t="s">
        <v>216</v>
      </c>
      <c r="E612" s="210" t="s">
        <v>1724</v>
      </c>
      <c r="F612" s="102" t="str">
        <f t="shared" si="27"/>
        <v>SE</v>
      </c>
      <c r="G612" s="208" t="s">
        <v>1725</v>
      </c>
      <c r="H612" s="219" t="s">
        <v>1727</v>
      </c>
    </row>
    <row r="613" spans="2:8" ht="17">
      <c r="B613" s="206" t="s">
        <v>1728</v>
      </c>
      <c r="C613" s="207" t="s">
        <v>216</v>
      </c>
      <c r="D613" s="207" t="s">
        <v>216</v>
      </c>
      <c r="E613" s="210" t="s">
        <v>1729</v>
      </c>
      <c r="F613" s="102" t="str">
        <f t="shared" si="27"/>
        <v>JA</v>
      </c>
    </row>
    <row r="614" spans="2:8" ht="17">
      <c r="B614" s="206" t="s">
        <v>1730</v>
      </c>
      <c r="C614" s="207" t="s">
        <v>971</v>
      </c>
      <c r="D614" s="207" t="s">
        <v>216</v>
      </c>
      <c r="E614" s="210" t="s">
        <v>1731</v>
      </c>
      <c r="F614" s="102" t="str">
        <f t="shared" si="27"/>
        <v>BS</v>
      </c>
    </row>
    <row r="615" spans="2:8" ht="17">
      <c r="B615" s="206" t="s">
        <v>1734</v>
      </c>
      <c r="C615" s="207" t="s">
        <v>1732</v>
      </c>
      <c r="D615" s="207" t="s">
        <v>957</v>
      </c>
      <c r="E615" s="210" t="s">
        <v>1733</v>
      </c>
      <c r="F615" s="102" t="str">
        <f t="shared" si="27"/>
        <v>E-E</v>
      </c>
    </row>
    <row r="616" spans="2:8" ht="34">
      <c r="B616" s="206" t="s">
        <v>1737</v>
      </c>
      <c r="C616" s="207" t="s">
        <v>1735</v>
      </c>
      <c r="D616" s="207" t="s">
        <v>216</v>
      </c>
      <c r="E616" s="210" t="s">
        <v>1736</v>
      </c>
      <c r="F616" s="102" t="str">
        <f t="shared" si="27"/>
        <v>MS</v>
      </c>
    </row>
    <row r="617" spans="2:8" ht="17">
      <c r="B617" s="206" t="s">
        <v>1740</v>
      </c>
      <c r="C617" s="207" t="s">
        <v>426</v>
      </c>
      <c r="D617" s="207" t="s">
        <v>216</v>
      </c>
      <c r="F617" s="102" t="str">
        <f t="shared" si="27"/>
        <v>AIS</v>
      </c>
    </row>
    <row r="618" spans="2:8" ht="34">
      <c r="B618" s="206" t="s">
        <v>1756</v>
      </c>
      <c r="C618" s="207" t="s">
        <v>35</v>
      </c>
      <c r="D618" s="207" t="s">
        <v>35</v>
      </c>
      <c r="E618" s="210" t="s">
        <v>1757</v>
      </c>
      <c r="F618" s="102" t="str">
        <f t="shared" si="27"/>
        <v>CWL</v>
      </c>
      <c r="G618" s="208" t="s">
        <v>1758</v>
      </c>
    </row>
    <row r="619" spans="2:8" ht="17">
      <c r="B619" s="206" t="s">
        <v>1759</v>
      </c>
      <c r="C619" s="207" t="s">
        <v>216</v>
      </c>
      <c r="D619" s="207" t="s">
        <v>216</v>
      </c>
      <c r="E619" s="210" t="s">
        <v>1760</v>
      </c>
      <c r="F619" s="102" t="str">
        <f t="shared" si="27"/>
        <v>R</v>
      </c>
    </row>
    <row r="620" spans="2:8" ht="17">
      <c r="B620" s="206" t="s">
        <v>1761</v>
      </c>
      <c r="C620" s="207" t="s">
        <v>216</v>
      </c>
      <c r="D620" s="207" t="s">
        <v>216</v>
      </c>
      <c r="E620" s="210" t="s">
        <v>1762</v>
      </c>
      <c r="F620" s="102" t="str">
        <f t="shared" si="27"/>
        <v>PA</v>
      </c>
    </row>
    <row r="621" spans="2:8" ht="17">
      <c r="B621" s="206" t="s">
        <v>2826</v>
      </c>
      <c r="C621" s="207" t="s">
        <v>216</v>
      </c>
      <c r="D621" s="207" t="s">
        <v>216</v>
      </c>
      <c r="E621" s="210" t="s">
        <v>1763</v>
      </c>
      <c r="F621" s="102" t="str">
        <f t="shared" si="27"/>
        <v>J-EC</v>
      </c>
    </row>
    <row r="622" spans="2:8" ht="17">
      <c r="B622" s="206" t="s">
        <v>1764</v>
      </c>
      <c r="C622" s="207" t="s">
        <v>803</v>
      </c>
      <c r="D622" s="207" t="s">
        <v>216</v>
      </c>
      <c r="E622" s="210" t="s">
        <v>1765</v>
      </c>
      <c r="F622" s="102" t="str">
        <f t="shared" si="27"/>
        <v>GA</v>
      </c>
    </row>
    <row r="623" spans="2:8" ht="17">
      <c r="B623" s="206" t="s">
        <v>1766</v>
      </c>
      <c r="C623" s="207" t="s">
        <v>1178</v>
      </c>
      <c r="D623" s="207" t="s">
        <v>216</v>
      </c>
      <c r="E623" s="210" t="s">
        <v>1767</v>
      </c>
      <c r="F623" s="102" t="str">
        <f t="shared" si="27"/>
        <v>LB</v>
      </c>
    </row>
    <row r="624" spans="2:8" ht="17">
      <c r="B624" s="206" t="s">
        <v>1769</v>
      </c>
      <c r="C624" s="207" t="s">
        <v>216</v>
      </c>
      <c r="D624" s="207" t="s">
        <v>216</v>
      </c>
      <c r="F624" s="102" t="str">
        <f t="shared" si="27"/>
        <v>KA</v>
      </c>
    </row>
    <row r="625" spans="2:7" ht="17">
      <c r="B625" s="206" t="s">
        <v>1771</v>
      </c>
      <c r="C625" s="207" t="s">
        <v>305</v>
      </c>
      <c r="D625" s="207" t="s">
        <v>305</v>
      </c>
      <c r="F625" s="102" t="str">
        <f t="shared" si="27"/>
        <v>H9LP</v>
      </c>
    </row>
    <row r="626" spans="2:7" ht="17">
      <c r="B626" s="206" t="s">
        <v>1773</v>
      </c>
      <c r="C626" s="207" t="s">
        <v>182</v>
      </c>
      <c r="D626" s="207" t="s">
        <v>216</v>
      </c>
      <c r="F626" s="102" t="str">
        <f t="shared" si="27"/>
        <v>SJTE</v>
      </c>
    </row>
    <row r="627" spans="2:7" ht="17">
      <c r="B627" s="206" t="s">
        <v>1778</v>
      </c>
      <c r="C627" s="207" t="s">
        <v>216</v>
      </c>
      <c r="D627" s="207" t="s">
        <v>216</v>
      </c>
      <c r="F627" s="102" t="str">
        <f t="shared" si="27"/>
        <v>IL</v>
      </c>
    </row>
    <row r="628" spans="2:7" ht="17">
      <c r="B628" s="206" t="s">
        <v>1779</v>
      </c>
      <c r="C628" s="207" t="s">
        <v>120</v>
      </c>
      <c r="D628" s="207" t="s">
        <v>216</v>
      </c>
      <c r="E628" s="210" t="s">
        <v>1780</v>
      </c>
      <c r="F628" s="102" t="str">
        <f t="shared" si="27"/>
        <v>E</v>
      </c>
    </row>
    <row r="629" spans="2:7" ht="17">
      <c r="B629" s="206" t="s">
        <v>1781</v>
      </c>
      <c r="C629" s="207" t="s">
        <v>342</v>
      </c>
      <c r="D629" s="207" t="s">
        <v>342</v>
      </c>
      <c r="E629" s="210" t="s">
        <v>1782</v>
      </c>
      <c r="F629" s="102" t="str">
        <f t="shared" si="27"/>
        <v>L</v>
      </c>
    </row>
    <row r="630" spans="2:7" ht="17">
      <c r="B630" s="206" t="s">
        <v>1783</v>
      </c>
      <c r="C630" s="207" t="s">
        <v>856</v>
      </c>
      <c r="D630" s="207" t="s">
        <v>856</v>
      </c>
      <c r="E630" s="210" t="s">
        <v>1784</v>
      </c>
      <c r="F630" s="102" t="str">
        <f t="shared" si="27"/>
        <v>UOEA</v>
      </c>
      <c r="G630" s="208" t="s">
        <v>1785</v>
      </c>
    </row>
    <row r="631" spans="2:7" ht="34">
      <c r="B631" s="206" t="s">
        <v>1786</v>
      </c>
      <c r="C631" s="207" t="s">
        <v>1787</v>
      </c>
      <c r="D631" s="207" t="s">
        <v>216</v>
      </c>
      <c r="F631" s="102" t="str">
        <f t="shared" si="27"/>
        <v>R</v>
      </c>
    </row>
    <row r="632" spans="2:7" ht="17">
      <c r="B632" s="206" t="s">
        <v>1788</v>
      </c>
      <c r="C632" s="207" t="s">
        <v>216</v>
      </c>
      <c r="D632" s="207" t="s">
        <v>216</v>
      </c>
      <c r="E632" s="210" t="s">
        <v>1</v>
      </c>
      <c r="F632" s="102" t="str">
        <f t="shared" si="27"/>
        <v>PC</v>
      </c>
    </row>
    <row r="633" spans="2:7" ht="17">
      <c r="B633" s="206" t="s">
        <v>1789</v>
      </c>
      <c r="C633" s="207" t="s">
        <v>29</v>
      </c>
      <c r="D633" s="207" t="s">
        <v>955</v>
      </c>
      <c r="E633" s="210" t="s">
        <v>1790</v>
      </c>
      <c r="F633" s="102" t="str">
        <f t="shared" si="27"/>
        <v>P</v>
      </c>
    </row>
    <row r="634" spans="2:7" ht="17">
      <c r="B634" s="206" t="s">
        <v>1791</v>
      </c>
      <c r="C634" s="207" t="s">
        <v>1576</v>
      </c>
      <c r="D634" s="207" t="s">
        <v>35</v>
      </c>
      <c r="E634" s="210" t="s">
        <v>1792</v>
      </c>
      <c r="F634" s="102" t="str">
        <f t="shared" si="27"/>
        <v>MMOG</v>
      </c>
      <c r="G634" s="208" t="s">
        <v>1793</v>
      </c>
    </row>
    <row r="635" spans="2:7" ht="34">
      <c r="B635" s="206" t="s">
        <v>1794</v>
      </c>
      <c r="C635" s="207" t="s">
        <v>1795</v>
      </c>
      <c r="D635" s="207" t="s">
        <v>35</v>
      </c>
      <c r="E635" s="210" t="s">
        <v>1792</v>
      </c>
      <c r="F635" s="102" t="str">
        <f t="shared" si="27"/>
        <v>CA</v>
      </c>
    </row>
    <row r="636" spans="2:7" ht="17">
      <c r="B636" s="206" t="s">
        <v>1797</v>
      </c>
      <c r="C636" s="207" t="s">
        <v>554</v>
      </c>
      <c r="D636" s="207" t="s">
        <v>216</v>
      </c>
      <c r="F636" s="102" t="str">
        <f t="shared" si="27"/>
        <v>D</v>
      </c>
    </row>
    <row r="637" spans="2:7" ht="17">
      <c r="B637" s="206" t="s">
        <v>1798</v>
      </c>
      <c r="C637" s="207" t="s">
        <v>1799</v>
      </c>
      <c r="D637" s="207" t="s">
        <v>216</v>
      </c>
      <c r="E637" s="210" t="s">
        <v>1800</v>
      </c>
      <c r="F637" s="102" t="str">
        <f t="shared" si="27"/>
        <v>R-SH</v>
      </c>
    </row>
    <row r="638" spans="2:7" ht="51">
      <c r="B638" s="206" t="s">
        <v>1808</v>
      </c>
      <c r="C638" s="207" t="s">
        <v>1809</v>
      </c>
      <c r="D638" s="207" t="s">
        <v>49</v>
      </c>
      <c r="E638" s="210" t="s">
        <v>1811</v>
      </c>
      <c r="F638" s="102" t="str">
        <f t="shared" si="27"/>
        <v>NL</v>
      </c>
      <c r="G638" s="208" t="s">
        <v>1810</v>
      </c>
    </row>
    <row r="639" spans="2:7" ht="17">
      <c r="B639" s="206" t="s">
        <v>1826</v>
      </c>
      <c r="C639" s="207" t="s">
        <v>1827</v>
      </c>
      <c r="D639" s="207" t="s">
        <v>216</v>
      </c>
      <c r="F639" s="102" t="str">
        <f t="shared" si="27"/>
        <v>RY</v>
      </c>
    </row>
    <row r="640" spans="2:7" ht="17">
      <c r="B640" s="206" t="s">
        <v>1842</v>
      </c>
      <c r="C640" s="207" t="s">
        <v>250</v>
      </c>
      <c r="D640" s="207" t="s">
        <v>216</v>
      </c>
      <c r="F640" s="102" t="str">
        <f t="shared" si="27"/>
        <v>MB</v>
      </c>
    </row>
    <row r="641" spans="2:7" ht="17">
      <c r="B641" s="206" t="s">
        <v>1844</v>
      </c>
      <c r="C641" s="207" t="s">
        <v>216</v>
      </c>
      <c r="D641" s="207" t="s">
        <v>216</v>
      </c>
      <c r="E641" s="210" t="s">
        <v>1845</v>
      </c>
      <c r="F641" s="102" t="str">
        <f t="shared" si="27"/>
        <v>PJ</v>
      </c>
    </row>
    <row r="642" spans="2:7" ht="17">
      <c r="B642" s="206" t="s">
        <v>1846</v>
      </c>
      <c r="C642" s="207" t="s">
        <v>1254</v>
      </c>
      <c r="D642" s="207" t="s">
        <v>1254</v>
      </c>
      <c r="E642" s="210" t="s">
        <v>1847</v>
      </c>
      <c r="F642" s="102" t="str">
        <f t="shared" si="27"/>
        <v>IKK</v>
      </c>
    </row>
    <row r="643" spans="2:7" ht="17">
      <c r="B643" s="206" t="s">
        <v>1851</v>
      </c>
      <c r="C643" s="207" t="s">
        <v>392</v>
      </c>
      <c r="D643" s="207" t="s">
        <v>216</v>
      </c>
      <c r="E643" s="210" t="s">
        <v>1850</v>
      </c>
      <c r="F643" s="102" t="str">
        <f t="shared" ref="F643:F706" si="29">UPPER(LEFT(B643,1)) &amp; IFERROR(UPPER(LEFT(MID(B643,FIND(" ",B643)+1,LEN(B643)),1)),"") &amp; IFERROR(UPPER(LEFT(MID(B643,FIND(" ",B643,FIND(" ",B643)+1)+1,LEN(B643)),1)),"") &amp; IFERROR(UPPER(LEFT(MID(B643,FIND(" ",B643,FIND(" ",B643,FIND(" ",B643)+1)+1)+1,LEN(B643)),1)),"")</f>
        <v>N-D</v>
      </c>
    </row>
    <row r="644" spans="2:7" ht="17">
      <c r="B644" s="206" t="s">
        <v>1852</v>
      </c>
      <c r="C644" s="207" t="s">
        <v>1178</v>
      </c>
      <c r="D644" s="207" t="s">
        <v>216</v>
      </c>
      <c r="E644" s="210" t="s">
        <v>1853</v>
      </c>
      <c r="F644" s="102" t="str">
        <f t="shared" si="29"/>
        <v>SRB</v>
      </c>
      <c r="G644" s="208" t="s">
        <v>1854</v>
      </c>
    </row>
    <row r="645" spans="2:7" ht="17">
      <c r="B645" s="206" t="s">
        <v>1855</v>
      </c>
      <c r="C645" s="207" t="s">
        <v>1856</v>
      </c>
      <c r="D645" s="207" t="s">
        <v>1856</v>
      </c>
      <c r="E645" s="210" t="s">
        <v>1857</v>
      </c>
      <c r="F645" s="102" t="str">
        <f t="shared" si="29"/>
        <v>LMZ</v>
      </c>
    </row>
    <row r="646" spans="2:7" ht="17">
      <c r="B646" s="206" t="s">
        <v>1859</v>
      </c>
      <c r="C646" s="207" t="s">
        <v>216</v>
      </c>
      <c r="D646" s="207" t="s">
        <v>216</v>
      </c>
      <c r="F646" s="102" t="str">
        <f t="shared" si="29"/>
        <v>KTH</v>
      </c>
    </row>
    <row r="647" spans="2:7" ht="17">
      <c r="B647" s="206" t="s">
        <v>1860</v>
      </c>
      <c r="C647" s="207" t="s">
        <v>466</v>
      </c>
      <c r="D647" s="207" t="s">
        <v>954</v>
      </c>
      <c r="F647" s="102" t="str">
        <f t="shared" si="29"/>
        <v>BS</v>
      </c>
    </row>
    <row r="648" spans="2:7" ht="17">
      <c r="B648" s="206" t="s">
        <v>1861</v>
      </c>
      <c r="C648" s="207" t="s">
        <v>274</v>
      </c>
      <c r="D648" s="207" t="s">
        <v>216</v>
      </c>
      <c r="E648" s="210" t="s">
        <v>1862</v>
      </c>
      <c r="F648" s="102" t="str">
        <f t="shared" si="29"/>
        <v>JA-J</v>
      </c>
    </row>
    <row r="649" spans="2:7" ht="17">
      <c r="B649" s="206" t="s">
        <v>1863</v>
      </c>
      <c r="C649" s="207" t="s">
        <v>1864</v>
      </c>
      <c r="D649" s="207" t="s">
        <v>216</v>
      </c>
      <c r="F649" s="102" t="str">
        <f t="shared" si="29"/>
        <v>ABG</v>
      </c>
      <c r="G649" s="208" t="s">
        <v>1184</v>
      </c>
    </row>
    <row r="650" spans="2:7" ht="17">
      <c r="B650" s="206" t="s">
        <v>1866</v>
      </c>
      <c r="C650" s="207" t="s">
        <v>216</v>
      </c>
      <c r="D650" s="207" t="s">
        <v>216</v>
      </c>
      <c r="E650" s="210" t="s">
        <v>1867</v>
      </c>
      <c r="F650" s="102" t="str">
        <f t="shared" si="29"/>
        <v>KICA</v>
      </c>
      <c r="G650" s="208" t="s">
        <v>1868</v>
      </c>
    </row>
    <row r="651" spans="2:7" ht="17">
      <c r="B651" s="206" t="s">
        <v>1869</v>
      </c>
      <c r="C651" s="207" t="s">
        <v>216</v>
      </c>
      <c r="D651" s="207" t="s">
        <v>216</v>
      </c>
      <c r="E651" s="210" t="s">
        <v>1870</v>
      </c>
      <c r="F651" s="102" t="str">
        <f t="shared" si="29"/>
        <v>KA</v>
      </c>
    </row>
    <row r="652" spans="2:7" ht="17">
      <c r="B652" s="206" t="s">
        <v>1871</v>
      </c>
      <c r="C652" s="207" t="s">
        <v>1872</v>
      </c>
      <c r="D652" s="207" t="s">
        <v>216</v>
      </c>
      <c r="F652" s="102" t="str">
        <f t="shared" si="29"/>
        <v>MA</v>
      </c>
    </row>
    <row r="653" spans="2:7" ht="17">
      <c r="B653" s="206" t="s">
        <v>1873</v>
      </c>
      <c r="C653" s="207" t="s">
        <v>117</v>
      </c>
      <c r="D653" s="207" t="s">
        <v>216</v>
      </c>
      <c r="E653" s="210" t="s">
        <v>1874</v>
      </c>
      <c r="F653" s="102" t="str">
        <f t="shared" si="29"/>
        <v>WD</v>
      </c>
    </row>
    <row r="654" spans="2:7" ht="17">
      <c r="B654" s="206" t="s">
        <v>1875</v>
      </c>
      <c r="C654" s="207" t="s">
        <v>1396</v>
      </c>
      <c r="D654" s="207" t="s">
        <v>216</v>
      </c>
      <c r="E654" s="210" t="s">
        <v>1876</v>
      </c>
      <c r="F654" s="102" t="str">
        <f t="shared" si="29"/>
        <v>PO</v>
      </c>
    </row>
    <row r="655" spans="2:7" ht="17">
      <c r="B655" s="206" t="s">
        <v>1877</v>
      </c>
      <c r="C655" s="207" t="s">
        <v>216</v>
      </c>
      <c r="D655" s="207" t="s">
        <v>216</v>
      </c>
      <c r="E655" s="207" t="s">
        <v>1878</v>
      </c>
      <c r="F655" s="102" t="str">
        <f t="shared" si="29"/>
        <v>D</v>
      </c>
    </row>
    <row r="656" spans="2:7" ht="17">
      <c r="B656" s="206" t="s">
        <v>1880</v>
      </c>
      <c r="C656" s="207" t="s">
        <v>216</v>
      </c>
      <c r="D656" s="207" t="s">
        <v>216</v>
      </c>
      <c r="E656" s="210" t="s">
        <v>1881</v>
      </c>
      <c r="F656" s="102" t="str">
        <f t="shared" si="29"/>
        <v>M</v>
      </c>
    </row>
    <row r="657" spans="2:8" ht="17">
      <c r="B657" s="206" t="s">
        <v>2437</v>
      </c>
      <c r="C657" s="207" t="s">
        <v>576</v>
      </c>
      <c r="D657" s="207" t="s">
        <v>1082</v>
      </c>
      <c r="E657" s="210" t="s">
        <v>1881</v>
      </c>
      <c r="F657" s="102" t="str">
        <f t="shared" si="29"/>
        <v>M-N</v>
      </c>
    </row>
    <row r="658" spans="2:8" ht="17">
      <c r="B658" s="206" t="s">
        <v>1900</v>
      </c>
      <c r="C658" s="207" t="s">
        <v>216</v>
      </c>
      <c r="D658" s="207" t="s">
        <v>216</v>
      </c>
      <c r="E658" s="210" t="s">
        <v>1901</v>
      </c>
      <c r="F658" s="102" t="str">
        <f t="shared" si="29"/>
        <v>I</v>
      </c>
      <c r="G658" s="208" t="s">
        <v>1902</v>
      </c>
    </row>
    <row r="659" spans="2:8" ht="17">
      <c r="B659" s="206" t="s">
        <v>1904</v>
      </c>
      <c r="C659" s="207" t="s">
        <v>1905</v>
      </c>
      <c r="D659" s="207" t="s">
        <v>35</v>
      </c>
      <c r="E659" s="220" t="s">
        <v>1906</v>
      </c>
      <c r="F659" s="102" t="str">
        <f t="shared" si="29"/>
        <v>GGC</v>
      </c>
      <c r="G659" s="208" t="s">
        <v>1903</v>
      </c>
    </row>
    <row r="660" spans="2:8" ht="17">
      <c r="B660" s="206" t="s">
        <v>1910</v>
      </c>
      <c r="C660" s="207" t="s">
        <v>57</v>
      </c>
      <c r="D660" s="207" t="s">
        <v>954</v>
      </c>
      <c r="F660" s="102" t="str">
        <f t="shared" si="29"/>
        <v>GM</v>
      </c>
    </row>
    <row r="661" spans="2:8" ht="17">
      <c r="B661" s="206" t="s">
        <v>1928</v>
      </c>
      <c r="C661" s="207" t="s">
        <v>216</v>
      </c>
      <c r="D661" s="207" t="s">
        <v>216</v>
      </c>
      <c r="E661" s="210" t="s">
        <v>1926</v>
      </c>
      <c r="F661" s="102" t="str">
        <f t="shared" si="29"/>
        <v>TO</v>
      </c>
      <c r="H661" s="219" t="s">
        <v>1927</v>
      </c>
    </row>
    <row r="662" spans="2:8" ht="17">
      <c r="B662" s="206" t="s">
        <v>1929</v>
      </c>
      <c r="C662" s="207" t="s">
        <v>438</v>
      </c>
      <c r="D662" s="207" t="s">
        <v>216</v>
      </c>
      <c r="E662" s="210" t="s">
        <v>2193</v>
      </c>
      <c r="F662" s="102" t="str">
        <f t="shared" si="29"/>
        <v>CS</v>
      </c>
    </row>
    <row r="663" spans="2:8" ht="17">
      <c r="B663" s="206" t="s">
        <v>1939</v>
      </c>
      <c r="C663" s="207" t="s">
        <v>1940</v>
      </c>
      <c r="D663" s="207" t="s">
        <v>216</v>
      </c>
      <c r="E663" s="210" t="s">
        <v>1941</v>
      </c>
      <c r="F663" s="102" t="str">
        <f t="shared" si="29"/>
        <v>JK</v>
      </c>
    </row>
    <row r="664" spans="2:8" ht="17">
      <c r="B664" s="206" t="s">
        <v>1943</v>
      </c>
      <c r="C664" s="207" t="s">
        <v>295</v>
      </c>
      <c r="D664" s="207" t="s">
        <v>295</v>
      </c>
      <c r="E664" s="210" t="s">
        <v>1944</v>
      </c>
      <c r="F664" s="102" t="str">
        <f t="shared" si="29"/>
        <v>A</v>
      </c>
    </row>
    <row r="665" spans="2:8" ht="17">
      <c r="B665" s="206" t="s">
        <v>2189</v>
      </c>
      <c r="C665" s="207" t="s">
        <v>2190</v>
      </c>
      <c r="D665" s="207" t="s">
        <v>216</v>
      </c>
      <c r="E665" s="210" t="s">
        <v>2191</v>
      </c>
      <c r="F665" s="102" t="str">
        <f t="shared" si="29"/>
        <v>PT</v>
      </c>
      <c r="H665" s="219" t="s">
        <v>2192</v>
      </c>
    </row>
    <row r="666" spans="2:8" ht="17">
      <c r="B666" s="206" t="s">
        <v>2319</v>
      </c>
      <c r="C666" s="207" t="s">
        <v>274</v>
      </c>
      <c r="D666" s="207" t="s">
        <v>216</v>
      </c>
      <c r="E666" s="210" t="s">
        <v>2320</v>
      </c>
      <c r="F666" s="102" t="str">
        <f t="shared" si="29"/>
        <v>EA</v>
      </c>
      <c r="H666" s="219" t="s">
        <v>2321</v>
      </c>
    </row>
    <row r="667" spans="2:8" ht="34">
      <c r="B667" s="206" t="s">
        <v>2322</v>
      </c>
      <c r="C667" s="207" t="s">
        <v>2323</v>
      </c>
      <c r="D667" s="207" t="s">
        <v>216</v>
      </c>
      <c r="E667" s="210" t="s">
        <v>2324</v>
      </c>
      <c r="F667" s="102" t="str">
        <f t="shared" si="29"/>
        <v>T</v>
      </c>
    </row>
    <row r="668" spans="2:8" ht="17">
      <c r="B668" s="206" t="s">
        <v>2325</v>
      </c>
      <c r="C668" s="207" t="s">
        <v>1533</v>
      </c>
      <c r="D668" s="207" t="s">
        <v>216</v>
      </c>
      <c r="E668" s="210" t="s">
        <v>1724</v>
      </c>
      <c r="F668" s="102" t="str">
        <f t="shared" si="29"/>
        <v>SICC</v>
      </c>
    </row>
    <row r="669" spans="2:8" ht="17">
      <c r="B669" s="206" t="s">
        <v>2326</v>
      </c>
      <c r="C669" s="207" t="s">
        <v>1533</v>
      </c>
      <c r="D669" s="207" t="s">
        <v>216</v>
      </c>
      <c r="E669" s="210" t="s">
        <v>1724</v>
      </c>
      <c r="F669" s="102" t="str">
        <f t="shared" si="29"/>
        <v>SICC</v>
      </c>
    </row>
    <row r="670" spans="2:8" ht="17">
      <c r="B670" s="206" t="s">
        <v>2328</v>
      </c>
      <c r="C670" s="207" t="s">
        <v>216</v>
      </c>
      <c r="D670" s="207" t="s">
        <v>216</v>
      </c>
      <c r="E670" s="210" t="s">
        <v>2329</v>
      </c>
      <c r="F670" s="102" t="str">
        <f t="shared" si="29"/>
        <v>B</v>
      </c>
    </row>
    <row r="671" spans="2:8" ht="17">
      <c r="B671" s="206" t="s">
        <v>2330</v>
      </c>
      <c r="C671" s="207" t="s">
        <v>801</v>
      </c>
      <c r="D671" s="207" t="s">
        <v>954</v>
      </c>
      <c r="F671" s="102" t="str">
        <f t="shared" si="29"/>
        <v>AK-A</v>
      </c>
    </row>
    <row r="672" spans="2:8" ht="17">
      <c r="B672" s="206" t="s">
        <v>2331</v>
      </c>
      <c r="C672" s="207" t="s">
        <v>612</v>
      </c>
      <c r="D672" s="207" t="s">
        <v>216</v>
      </c>
      <c r="E672" s="210" t="s">
        <v>2332</v>
      </c>
      <c r="F672" s="102" t="str">
        <f t="shared" si="29"/>
        <v>CA</v>
      </c>
    </row>
    <row r="673" spans="2:8" ht="17">
      <c r="B673" s="206" t="s">
        <v>2333</v>
      </c>
      <c r="C673" s="207" t="s">
        <v>2334</v>
      </c>
      <c r="D673" s="207" t="s">
        <v>955</v>
      </c>
      <c r="E673" s="210" t="s">
        <v>2335</v>
      </c>
      <c r="F673" s="102" t="str">
        <f t="shared" si="29"/>
        <v>MB</v>
      </c>
      <c r="H673" s="219" t="s">
        <v>2336</v>
      </c>
    </row>
    <row r="674" spans="2:8" ht="17">
      <c r="B674" s="206" t="s">
        <v>2353</v>
      </c>
      <c r="C674" s="207" t="s">
        <v>216</v>
      </c>
      <c r="D674" s="207" t="s">
        <v>216</v>
      </c>
      <c r="F674" s="102" t="str">
        <f t="shared" si="29"/>
        <v>AG</v>
      </c>
    </row>
    <row r="675" spans="2:8" ht="17">
      <c r="B675" s="206" t="s">
        <v>2354</v>
      </c>
      <c r="C675" s="207" t="s">
        <v>2355</v>
      </c>
      <c r="D675" s="207" t="s">
        <v>954</v>
      </c>
      <c r="E675" s="210" t="s">
        <v>2356</v>
      </c>
      <c r="F675" s="102" t="str">
        <f t="shared" si="29"/>
        <v>M</v>
      </c>
    </row>
    <row r="676" spans="2:8" ht="17">
      <c r="B676" s="206" t="s">
        <v>2357</v>
      </c>
      <c r="C676" s="207" t="s">
        <v>995</v>
      </c>
      <c r="D676" s="207" t="s">
        <v>955</v>
      </c>
      <c r="E676" s="210" t="s">
        <v>2358</v>
      </c>
      <c r="F676" s="102" t="str">
        <f t="shared" si="29"/>
        <v>EA</v>
      </c>
    </row>
    <row r="677" spans="2:8" ht="17">
      <c r="B677" s="206" t="s">
        <v>2359</v>
      </c>
      <c r="C677" s="207" t="s">
        <v>2360</v>
      </c>
      <c r="D677" s="207" t="s">
        <v>954</v>
      </c>
      <c r="E677" s="210" t="s">
        <v>2361</v>
      </c>
      <c r="F677" s="102" t="str">
        <f t="shared" si="29"/>
        <v>AB</v>
      </c>
    </row>
    <row r="678" spans="2:8" ht="51">
      <c r="B678" s="206" t="s">
        <v>2362</v>
      </c>
      <c r="C678" s="207" t="s">
        <v>2364</v>
      </c>
      <c r="D678" s="207" t="s">
        <v>216</v>
      </c>
      <c r="E678" s="210" t="s">
        <v>2363</v>
      </c>
      <c r="F678" s="102" t="str">
        <f t="shared" si="29"/>
        <v>EGAO</v>
      </c>
    </row>
    <row r="679" spans="2:8" ht="17">
      <c r="B679" s="206" t="s">
        <v>2365</v>
      </c>
      <c r="C679" s="207" t="s">
        <v>216</v>
      </c>
      <c r="D679" s="207" t="s">
        <v>216</v>
      </c>
      <c r="E679" s="210" t="s">
        <v>2366</v>
      </c>
      <c r="F679" s="102" t="str">
        <f t="shared" si="29"/>
        <v>J</v>
      </c>
    </row>
    <row r="680" spans="2:8" ht="34">
      <c r="B680" s="206" t="s">
        <v>2367</v>
      </c>
      <c r="C680" s="207" t="s">
        <v>2368</v>
      </c>
      <c r="D680" s="207" t="s">
        <v>216</v>
      </c>
      <c r="E680" s="210" t="s">
        <v>2369</v>
      </c>
      <c r="F680" s="102" t="str">
        <f t="shared" si="29"/>
        <v>DBA</v>
      </c>
    </row>
    <row r="681" spans="2:8" ht="17">
      <c r="B681" s="206" t="s">
        <v>2370</v>
      </c>
      <c r="C681" s="207" t="s">
        <v>216</v>
      </c>
      <c r="D681" s="207" t="s">
        <v>216</v>
      </c>
      <c r="F681" s="102" t="str">
        <f t="shared" si="29"/>
        <v>RB</v>
      </c>
    </row>
    <row r="682" spans="2:8" ht="17">
      <c r="B682" s="206" t="s">
        <v>2371</v>
      </c>
      <c r="C682" s="207" t="s">
        <v>216</v>
      </c>
      <c r="D682" s="207" t="s">
        <v>216</v>
      </c>
      <c r="E682" s="210" t="s">
        <v>2372</v>
      </c>
      <c r="F682" s="102" t="str">
        <f t="shared" si="29"/>
        <v>TO</v>
      </c>
    </row>
    <row r="683" spans="2:8" ht="17">
      <c r="B683" s="206" t="s">
        <v>2374</v>
      </c>
      <c r="C683" s="207" t="s">
        <v>2375</v>
      </c>
      <c r="D683" s="207" t="s">
        <v>51</v>
      </c>
      <c r="E683" s="210" t="s">
        <v>2376</v>
      </c>
      <c r="F683" s="102" t="str">
        <f t="shared" si="29"/>
        <v>PV</v>
      </c>
      <c r="G683" s="208" t="s">
        <v>2373</v>
      </c>
    </row>
    <row r="684" spans="2:8" ht="17">
      <c r="B684" s="206" t="s">
        <v>2377</v>
      </c>
      <c r="C684" s="207" t="s">
        <v>216</v>
      </c>
      <c r="D684" s="207" t="s">
        <v>216</v>
      </c>
      <c r="F684" s="102" t="str">
        <f t="shared" si="29"/>
        <v>T</v>
      </c>
    </row>
    <row r="685" spans="2:8" ht="17">
      <c r="B685" s="206" t="s">
        <v>2378</v>
      </c>
      <c r="C685" s="207" t="s">
        <v>49</v>
      </c>
      <c r="D685" s="207" t="s">
        <v>49</v>
      </c>
      <c r="F685" s="102" t="str">
        <f t="shared" si="29"/>
        <v>CB</v>
      </c>
    </row>
    <row r="686" spans="2:8" ht="17">
      <c r="B686" s="206" t="s">
        <v>2385</v>
      </c>
      <c r="C686" s="207" t="s">
        <v>216</v>
      </c>
      <c r="D686" s="207" t="s">
        <v>216</v>
      </c>
      <c r="E686" s="210" t="s">
        <v>2386</v>
      </c>
      <c r="F686" s="102" t="str">
        <f t="shared" si="29"/>
        <v>K</v>
      </c>
    </row>
    <row r="687" spans="2:8" ht="17">
      <c r="B687" s="206" t="s">
        <v>2387</v>
      </c>
      <c r="C687" s="207" t="s">
        <v>216</v>
      </c>
      <c r="D687" s="207" t="s">
        <v>216</v>
      </c>
      <c r="F687" s="102" t="str">
        <f t="shared" si="29"/>
        <v>AT</v>
      </c>
    </row>
    <row r="688" spans="2:8" ht="51">
      <c r="B688" s="206" t="s">
        <v>2388</v>
      </c>
      <c r="C688" s="207" t="s">
        <v>2389</v>
      </c>
      <c r="D688" s="207" t="s">
        <v>216</v>
      </c>
      <c r="E688" s="210" t="s">
        <v>680</v>
      </c>
      <c r="F688" s="102" t="str">
        <f t="shared" si="29"/>
        <v>KAGL</v>
      </c>
    </row>
    <row r="689" spans="2:6" ht="17">
      <c r="B689" s="206" t="s">
        <v>2390</v>
      </c>
      <c r="C689" s="207" t="s">
        <v>35</v>
      </c>
      <c r="D689" s="207" t="s">
        <v>216</v>
      </c>
      <c r="F689" s="102" t="str">
        <f t="shared" si="29"/>
        <v>ES</v>
      </c>
    </row>
    <row r="690" spans="2:6" ht="17">
      <c r="B690" s="206" t="s">
        <v>2391</v>
      </c>
      <c r="C690" s="207" t="s">
        <v>216</v>
      </c>
      <c r="D690" s="207" t="s">
        <v>216</v>
      </c>
      <c r="E690" s="210" t="s">
        <v>2392</v>
      </c>
      <c r="F690" s="102" t="str">
        <f t="shared" si="29"/>
        <v>KA</v>
      </c>
    </row>
    <row r="691" spans="2:6" ht="17">
      <c r="B691" s="206" t="s">
        <v>2393</v>
      </c>
      <c r="C691" s="207" t="s">
        <v>216</v>
      </c>
      <c r="D691" s="207" t="s">
        <v>216</v>
      </c>
      <c r="E691" s="210" t="s">
        <v>2394</v>
      </c>
      <c r="F691" s="102" t="str">
        <f t="shared" si="29"/>
        <v>IIKB</v>
      </c>
    </row>
    <row r="692" spans="2:6" ht="17">
      <c r="B692" s="206" t="s">
        <v>2395</v>
      </c>
      <c r="C692" s="207" t="s">
        <v>80</v>
      </c>
      <c r="D692" s="207" t="s">
        <v>216</v>
      </c>
      <c r="E692" s="210" t="s">
        <v>2396</v>
      </c>
      <c r="F692" s="102" t="str">
        <f t="shared" si="29"/>
        <v>PA</v>
      </c>
    </row>
    <row r="693" spans="2:6" ht="17">
      <c r="B693" s="206" t="s">
        <v>2397</v>
      </c>
      <c r="C693" s="207" t="s">
        <v>352</v>
      </c>
      <c r="D693" s="207" t="s">
        <v>216</v>
      </c>
      <c r="E693" s="210" t="s">
        <v>2398</v>
      </c>
      <c r="F693" s="102" t="str">
        <f t="shared" si="29"/>
        <v>ME</v>
      </c>
    </row>
    <row r="694" spans="2:6" ht="17">
      <c r="B694" s="206" t="s">
        <v>2399</v>
      </c>
      <c r="C694" s="207" t="s">
        <v>271</v>
      </c>
      <c r="D694" s="207" t="s">
        <v>216</v>
      </c>
      <c r="E694" s="210" t="s">
        <v>2400</v>
      </c>
      <c r="F694" s="102" t="str">
        <f t="shared" si="29"/>
        <v>KSA</v>
      </c>
    </row>
    <row r="695" spans="2:6" ht="17">
      <c r="B695" s="206" t="s">
        <v>2406</v>
      </c>
      <c r="C695" s="207" t="s">
        <v>38</v>
      </c>
      <c r="D695" s="207" t="s">
        <v>216</v>
      </c>
      <c r="E695" s="210" t="s">
        <v>2407</v>
      </c>
      <c r="F695" s="102" t="str">
        <f t="shared" si="29"/>
        <v>AAY</v>
      </c>
    </row>
    <row r="696" spans="2:6" ht="17">
      <c r="B696" s="206" t="s">
        <v>2408</v>
      </c>
      <c r="C696" s="207" t="s">
        <v>69</v>
      </c>
      <c r="D696" s="207" t="s">
        <v>216</v>
      </c>
      <c r="E696" s="207" t="s">
        <v>2409</v>
      </c>
      <c r="F696" s="102" t="str">
        <f t="shared" si="29"/>
        <v>E-K</v>
      </c>
    </row>
    <row r="697" spans="2:6" ht="17">
      <c r="B697" s="206" t="s">
        <v>1550</v>
      </c>
      <c r="C697" s="207" t="s">
        <v>46</v>
      </c>
      <c r="D697" s="207" t="s">
        <v>216</v>
      </c>
      <c r="F697" s="102" t="str">
        <f t="shared" si="29"/>
        <v>I</v>
      </c>
    </row>
    <row r="698" spans="2:6" ht="17">
      <c r="B698" s="206" t="s">
        <v>2410</v>
      </c>
      <c r="C698" s="207" t="s">
        <v>29</v>
      </c>
      <c r="D698" s="207" t="s">
        <v>216</v>
      </c>
      <c r="E698" s="210" t="s">
        <v>2411</v>
      </c>
      <c r="F698" s="102" t="str">
        <f t="shared" si="29"/>
        <v>EBY</v>
      </c>
    </row>
    <row r="699" spans="2:6" ht="17">
      <c r="B699" s="206" t="s">
        <v>2412</v>
      </c>
      <c r="C699" s="207" t="s">
        <v>216</v>
      </c>
      <c r="D699" s="207" t="s">
        <v>216</v>
      </c>
      <c r="E699" s="207" t="s">
        <v>2413</v>
      </c>
      <c r="F699" s="102" t="str">
        <f t="shared" si="29"/>
        <v>EP</v>
      </c>
    </row>
    <row r="700" spans="2:6" ht="17">
      <c r="B700" s="206" t="s">
        <v>2414</v>
      </c>
      <c r="C700" s="207" t="s">
        <v>29</v>
      </c>
      <c r="D700" s="207" t="s">
        <v>216</v>
      </c>
      <c r="E700" s="210" t="s">
        <v>2415</v>
      </c>
      <c r="F700" s="102" t="str">
        <f t="shared" si="29"/>
        <v>K</v>
      </c>
    </row>
    <row r="701" spans="2:6" ht="17">
      <c r="B701" s="206" t="s">
        <v>2418</v>
      </c>
      <c r="C701" s="207" t="s">
        <v>216</v>
      </c>
      <c r="D701" s="207" t="s">
        <v>216</v>
      </c>
      <c r="E701" s="210" t="s">
        <v>2419</v>
      </c>
      <c r="F701" s="102" t="str">
        <f t="shared" si="29"/>
        <v>H</v>
      </c>
    </row>
    <row r="702" spans="2:6" ht="17">
      <c r="B702" s="206" t="s">
        <v>2420</v>
      </c>
      <c r="C702" s="207" t="s">
        <v>1081</v>
      </c>
      <c r="D702" s="207" t="s">
        <v>1081</v>
      </c>
      <c r="E702" s="210" t="s">
        <v>2421</v>
      </c>
      <c r="F702" s="102" t="str">
        <f t="shared" si="29"/>
        <v>DJA</v>
      </c>
    </row>
    <row r="703" spans="2:6" ht="17">
      <c r="B703" s="206" t="s">
        <v>2422</v>
      </c>
      <c r="C703" s="207" t="s">
        <v>216</v>
      </c>
      <c r="D703" s="207" t="s">
        <v>216</v>
      </c>
      <c r="E703" s="210" t="s">
        <v>2423</v>
      </c>
      <c r="F703" s="102" t="str">
        <f t="shared" si="29"/>
        <v>PM</v>
      </c>
    </row>
    <row r="704" spans="2:6" ht="17">
      <c r="B704" s="206" t="s">
        <v>2425</v>
      </c>
      <c r="C704" s="207" t="s">
        <v>216</v>
      </c>
      <c r="D704" s="207" t="s">
        <v>216</v>
      </c>
      <c r="E704" s="210" t="s">
        <v>2424</v>
      </c>
      <c r="F704" s="102" t="str">
        <f t="shared" si="29"/>
        <v>T-V</v>
      </c>
    </row>
    <row r="705" spans="2:7" ht="17">
      <c r="B705" s="206" t="s">
        <v>1575</v>
      </c>
      <c r="C705" s="207" t="s">
        <v>216</v>
      </c>
      <c r="D705" s="207" t="s">
        <v>216</v>
      </c>
      <c r="E705" s="210" t="s">
        <v>1614</v>
      </c>
      <c r="F705" s="102" t="str">
        <f t="shared" si="29"/>
        <v>F</v>
      </c>
    </row>
    <row r="706" spans="2:7" ht="17">
      <c r="B706" s="206" t="s">
        <v>1358</v>
      </c>
      <c r="C706" s="207" t="s">
        <v>216</v>
      </c>
      <c r="D706" s="207" t="s">
        <v>216</v>
      </c>
      <c r="E706" s="210" t="s">
        <v>2427</v>
      </c>
      <c r="F706" s="102" t="str">
        <f t="shared" si="29"/>
        <v>JC</v>
      </c>
    </row>
    <row r="707" spans="2:7" ht="17">
      <c r="B707" s="206" t="s">
        <v>2428</v>
      </c>
      <c r="C707" s="207" t="s">
        <v>216</v>
      </c>
      <c r="D707" s="207" t="s">
        <v>216</v>
      </c>
      <c r="E707" s="210" t="s">
        <v>2429</v>
      </c>
      <c r="F707" s="102" t="str">
        <f t="shared" ref="F707:F770" si="30">UPPER(LEFT(B707,1)) &amp; IFERROR(UPPER(LEFT(MID(B707,FIND(" ",B707)+1,LEN(B707)),1)),"") &amp; IFERROR(UPPER(LEFT(MID(B707,FIND(" ",B707,FIND(" ",B707)+1)+1,LEN(B707)),1)),"") &amp; IFERROR(UPPER(LEFT(MID(B707,FIND(" ",B707,FIND(" ",B707,FIND(" ",B707)+1)+1)+1,LEN(B707)),1)),"")</f>
        <v>BN</v>
      </c>
    </row>
    <row r="708" spans="2:7" ht="17">
      <c r="B708" s="206" t="s">
        <v>2430</v>
      </c>
      <c r="C708" s="207" t="s">
        <v>216</v>
      </c>
      <c r="D708" s="207" t="s">
        <v>216</v>
      </c>
      <c r="F708" s="102" t="str">
        <f t="shared" si="30"/>
        <v>SE/P</v>
      </c>
    </row>
    <row r="709" spans="2:7" ht="17">
      <c r="B709" s="206" t="s">
        <v>2431</v>
      </c>
      <c r="C709" s="207" t="s">
        <v>858</v>
      </c>
      <c r="D709" s="207" t="s">
        <v>858</v>
      </c>
      <c r="E709" s="210" t="s">
        <v>2432</v>
      </c>
      <c r="F709" s="102" t="str">
        <f t="shared" si="30"/>
        <v>S</v>
      </c>
    </row>
    <row r="710" spans="2:7" ht="17">
      <c r="B710" s="206" t="s">
        <v>2433</v>
      </c>
      <c r="C710" s="207" t="s">
        <v>389</v>
      </c>
      <c r="D710" s="207" t="s">
        <v>954</v>
      </c>
      <c r="F710" s="102" t="str">
        <f t="shared" si="30"/>
        <v>PRH</v>
      </c>
      <c r="G710" s="208" t="s">
        <v>2434</v>
      </c>
    </row>
    <row r="711" spans="2:7" ht="17">
      <c r="B711" s="206" t="s">
        <v>2436</v>
      </c>
      <c r="C711" s="207" t="s">
        <v>216</v>
      </c>
      <c r="D711" s="207" t="s">
        <v>216</v>
      </c>
      <c r="E711" s="210" t="s">
        <v>2435</v>
      </c>
      <c r="F711" s="102" t="str">
        <f t="shared" si="30"/>
        <v>E-</v>
      </c>
    </row>
    <row r="712" spans="2:7" ht="17">
      <c r="B712" s="206" t="s">
        <v>2438</v>
      </c>
      <c r="C712" s="207" t="s">
        <v>856</v>
      </c>
      <c r="D712" s="207" t="s">
        <v>856</v>
      </c>
      <c r="E712" s="210" t="s">
        <v>2439</v>
      </c>
      <c r="F712" s="102" t="str">
        <f t="shared" si="30"/>
        <v>MA</v>
      </c>
    </row>
    <row r="713" spans="2:7" ht="17">
      <c r="B713" s="206" t="s">
        <v>2440</v>
      </c>
      <c r="C713" s="207" t="s">
        <v>93</v>
      </c>
      <c r="D713" s="207" t="s">
        <v>216</v>
      </c>
      <c r="E713" s="210" t="s">
        <v>2441</v>
      </c>
      <c r="F713" s="102" t="str">
        <f t="shared" si="30"/>
        <v>K</v>
      </c>
    </row>
    <row r="714" spans="2:7" ht="17">
      <c r="B714" s="206" t="s">
        <v>2442</v>
      </c>
      <c r="C714" s="207" t="s">
        <v>216</v>
      </c>
      <c r="D714" s="207" t="s">
        <v>216</v>
      </c>
      <c r="E714" s="210" t="s">
        <v>2443</v>
      </c>
      <c r="F714" s="102" t="str">
        <f t="shared" si="30"/>
        <v>MJ</v>
      </c>
    </row>
    <row r="715" spans="2:7" ht="17">
      <c r="B715" s="206" t="s">
        <v>2444</v>
      </c>
      <c r="C715" s="207" t="s">
        <v>32</v>
      </c>
      <c r="D715" s="207" t="s">
        <v>216</v>
      </c>
      <c r="E715" s="210" t="s">
        <v>2445</v>
      </c>
      <c r="F715" s="102" t="str">
        <f t="shared" si="30"/>
        <v>AY</v>
      </c>
    </row>
    <row r="716" spans="2:7" ht="17">
      <c r="B716" s="206" t="s">
        <v>2446</v>
      </c>
      <c r="C716" s="207" t="s">
        <v>409</v>
      </c>
      <c r="D716" s="207" t="s">
        <v>216</v>
      </c>
      <c r="E716" s="210" t="s">
        <v>2447</v>
      </c>
      <c r="F716" s="102" t="str">
        <f t="shared" si="30"/>
        <v>MF</v>
      </c>
    </row>
    <row r="717" spans="2:7" ht="17">
      <c r="B717" s="206" t="s">
        <v>2448</v>
      </c>
      <c r="C717" s="207" t="s">
        <v>2451</v>
      </c>
      <c r="D717" s="207" t="s">
        <v>216</v>
      </c>
      <c r="E717" s="210" t="s">
        <v>2450</v>
      </c>
      <c r="F717" s="102" t="str">
        <f t="shared" si="30"/>
        <v>SMMC</v>
      </c>
      <c r="G717" s="208" t="s">
        <v>2449</v>
      </c>
    </row>
    <row r="718" spans="2:7" ht="17">
      <c r="B718" s="206" t="s">
        <v>2453</v>
      </c>
      <c r="C718" s="207" t="s">
        <v>305</v>
      </c>
      <c r="D718" s="207" t="s">
        <v>955</v>
      </c>
      <c r="E718" s="210" t="s">
        <v>2452</v>
      </c>
      <c r="F718" s="102" t="str">
        <f t="shared" si="30"/>
        <v>PAB</v>
      </c>
    </row>
    <row r="719" spans="2:7" ht="34">
      <c r="B719" s="206" t="s">
        <v>2454</v>
      </c>
      <c r="C719" s="207" t="s">
        <v>628</v>
      </c>
      <c r="D719" s="207" t="s">
        <v>216</v>
      </c>
      <c r="E719" s="210" t="s">
        <v>2455</v>
      </c>
      <c r="F719" s="102" t="str">
        <f t="shared" si="30"/>
        <v>C</v>
      </c>
    </row>
    <row r="720" spans="2:7" ht="17">
      <c r="B720" s="206" t="s">
        <v>2480</v>
      </c>
      <c r="C720" s="207" t="s">
        <v>216</v>
      </c>
      <c r="D720" s="207" t="s">
        <v>216</v>
      </c>
      <c r="F720" s="102" t="str">
        <f t="shared" si="30"/>
        <v>SA</v>
      </c>
    </row>
    <row r="721" spans="2:8" ht="34">
      <c r="B721" s="206" t="s">
        <v>2481</v>
      </c>
      <c r="C721" s="207" t="s">
        <v>2482</v>
      </c>
      <c r="D721" s="207" t="s">
        <v>216</v>
      </c>
      <c r="F721" s="102" t="str">
        <f t="shared" si="30"/>
        <v>MFA</v>
      </c>
    </row>
    <row r="722" spans="2:8" ht="17">
      <c r="B722" s="206" t="s">
        <v>2483</v>
      </c>
      <c r="C722" s="207" t="s">
        <v>29</v>
      </c>
      <c r="D722" s="207" t="s">
        <v>216</v>
      </c>
      <c r="F722" s="102" t="str">
        <f t="shared" si="30"/>
        <v>GNCU</v>
      </c>
    </row>
    <row r="723" spans="2:8" ht="17">
      <c r="B723" s="206" t="s">
        <v>2487</v>
      </c>
      <c r="C723" s="207" t="s">
        <v>93</v>
      </c>
      <c r="D723" s="207" t="s">
        <v>216</v>
      </c>
      <c r="E723" s="210" t="s">
        <v>2488</v>
      </c>
      <c r="F723" s="102" t="str">
        <f t="shared" si="30"/>
        <v>MG</v>
      </c>
    </row>
    <row r="724" spans="2:8" ht="17">
      <c r="B724" s="206" t="s">
        <v>2496</v>
      </c>
      <c r="C724" s="207" t="s">
        <v>628</v>
      </c>
      <c r="D724" s="207" t="s">
        <v>216</v>
      </c>
      <c r="E724" s="210" t="s">
        <v>2497</v>
      </c>
      <c r="F724" s="102" t="str">
        <f t="shared" si="30"/>
        <v>V</v>
      </c>
    </row>
    <row r="725" spans="2:8" ht="17">
      <c r="B725" s="206" t="s">
        <v>2511</v>
      </c>
      <c r="C725" s="207" t="s">
        <v>219</v>
      </c>
      <c r="D725" s="207" t="s">
        <v>216</v>
      </c>
      <c r="E725" s="210" t="s">
        <v>2510</v>
      </c>
      <c r="F725" s="102" t="str">
        <f t="shared" si="30"/>
        <v>SO</v>
      </c>
      <c r="G725" s="211"/>
      <c r="H725" s="211" t="s">
        <v>2509</v>
      </c>
    </row>
    <row r="726" spans="2:8" ht="17">
      <c r="B726" s="206" t="s">
        <v>2512</v>
      </c>
      <c r="C726" s="207" t="s">
        <v>216</v>
      </c>
      <c r="D726" s="207" t="s">
        <v>216</v>
      </c>
      <c r="E726" s="210" t="s">
        <v>2513</v>
      </c>
      <c r="F726" s="102" t="str">
        <f t="shared" si="30"/>
        <v>MS</v>
      </c>
    </row>
    <row r="727" spans="2:8" ht="17">
      <c r="B727" s="206" t="s">
        <v>2514</v>
      </c>
      <c r="C727" s="207" t="s">
        <v>216</v>
      </c>
      <c r="D727" s="207" t="s">
        <v>216</v>
      </c>
      <c r="E727" s="210" t="s">
        <v>2516</v>
      </c>
      <c r="F727" s="102" t="str">
        <f t="shared" si="30"/>
        <v>E</v>
      </c>
      <c r="G727" s="208" t="s">
        <v>2515</v>
      </c>
    </row>
    <row r="728" spans="2:8" ht="15">
      <c r="B728" s="221" t="s">
        <v>2517</v>
      </c>
      <c r="C728" s="222" t="s">
        <v>216</v>
      </c>
      <c r="D728" s="222" t="s">
        <v>216</v>
      </c>
      <c r="E728" s="223" t="s">
        <v>1500</v>
      </c>
      <c r="F728" s="102" t="str">
        <f t="shared" si="30"/>
        <v>JA</v>
      </c>
    </row>
    <row r="729" spans="2:8" ht="15">
      <c r="B729" s="221" t="s">
        <v>2518</v>
      </c>
      <c r="C729" s="222" t="s">
        <v>216</v>
      </c>
      <c r="D729" s="222" t="s">
        <v>216</v>
      </c>
      <c r="E729" s="223" t="s">
        <v>2519</v>
      </c>
      <c r="F729" s="102" t="str">
        <f t="shared" si="30"/>
        <v>MT</v>
      </c>
      <c r="H729" s="219" t="s">
        <v>2523</v>
      </c>
    </row>
    <row r="730" spans="2:8" ht="15">
      <c r="B730" s="221" t="s">
        <v>2520</v>
      </c>
      <c r="C730" s="222" t="s">
        <v>2521</v>
      </c>
      <c r="D730" s="222" t="s">
        <v>216</v>
      </c>
      <c r="E730" s="223" t="s">
        <v>2522</v>
      </c>
      <c r="F730" s="102" t="str">
        <f t="shared" si="30"/>
        <v>MFE</v>
      </c>
    </row>
    <row r="731" spans="2:8" ht="15">
      <c r="B731" s="221" t="s">
        <v>2524</v>
      </c>
      <c r="C731" s="222" t="s">
        <v>392</v>
      </c>
      <c r="D731" s="222" t="s">
        <v>216</v>
      </c>
      <c r="E731" s="223" t="s">
        <v>2525</v>
      </c>
      <c r="F731" s="102" t="str">
        <f t="shared" si="30"/>
        <v>F</v>
      </c>
    </row>
    <row r="732" spans="2:8" ht="15">
      <c r="B732" s="221" t="s">
        <v>2526</v>
      </c>
      <c r="C732" s="223" t="s">
        <v>216</v>
      </c>
      <c r="D732" s="222" t="s">
        <v>216</v>
      </c>
      <c r="E732" s="223" t="s">
        <v>2527</v>
      </c>
      <c r="F732" s="102" t="str">
        <f t="shared" si="30"/>
        <v>MK</v>
      </c>
    </row>
    <row r="733" spans="2:8" ht="15">
      <c r="B733" s="221" t="s">
        <v>2528</v>
      </c>
      <c r="C733" s="222" t="s">
        <v>313</v>
      </c>
      <c r="D733" s="222" t="s">
        <v>216</v>
      </c>
      <c r="E733" s="223" t="s">
        <v>2529</v>
      </c>
      <c r="F733" s="102" t="str">
        <f t="shared" si="30"/>
        <v>E</v>
      </c>
    </row>
    <row r="734" spans="2:8" ht="17">
      <c r="B734" s="206" t="s">
        <v>2530</v>
      </c>
      <c r="C734" s="207" t="s">
        <v>35</v>
      </c>
      <c r="D734" s="207" t="s">
        <v>216</v>
      </c>
      <c r="E734" s="210" t="s">
        <v>2531</v>
      </c>
      <c r="F734" s="102" t="str">
        <f t="shared" si="30"/>
        <v>TGL</v>
      </c>
      <c r="G734" s="208" t="s">
        <v>2532</v>
      </c>
    </row>
    <row r="735" spans="2:8" ht="17">
      <c r="B735" s="206" t="s">
        <v>2534</v>
      </c>
      <c r="C735" s="207" t="s">
        <v>170</v>
      </c>
      <c r="D735" s="207" t="s">
        <v>216</v>
      </c>
      <c r="E735" s="210" t="s">
        <v>2533</v>
      </c>
      <c r="F735" s="102" t="str">
        <f t="shared" si="30"/>
        <v>MC</v>
      </c>
    </row>
    <row r="736" spans="2:8" ht="17">
      <c r="B736" s="206" t="s">
        <v>2535</v>
      </c>
      <c r="C736" s="207" t="s">
        <v>29</v>
      </c>
      <c r="D736" s="207" t="s">
        <v>216</v>
      </c>
      <c r="F736" s="102" t="str">
        <f t="shared" si="30"/>
        <v>MAS/</v>
      </c>
    </row>
    <row r="737" spans="2:8" ht="17">
      <c r="B737" s="206" t="s">
        <v>2536</v>
      </c>
      <c r="C737" s="207" t="s">
        <v>117</v>
      </c>
      <c r="D737" s="207" t="s">
        <v>216</v>
      </c>
      <c r="E737" s="210" t="s">
        <v>2537</v>
      </c>
      <c r="F737" s="102" t="str">
        <f t="shared" si="30"/>
        <v>ML</v>
      </c>
    </row>
    <row r="738" spans="2:8" ht="17">
      <c r="B738" s="206" t="s">
        <v>2538</v>
      </c>
      <c r="C738" s="207" t="s">
        <v>182</v>
      </c>
      <c r="D738" s="207" t="s">
        <v>216</v>
      </c>
      <c r="E738" s="210" t="s">
        <v>2539</v>
      </c>
      <c r="F738" s="102" t="str">
        <f t="shared" si="30"/>
        <v>OA</v>
      </c>
    </row>
    <row r="739" spans="2:8" ht="17">
      <c r="B739" s="206" t="s">
        <v>2540</v>
      </c>
      <c r="C739" s="207" t="s">
        <v>392</v>
      </c>
      <c r="D739" s="207" t="s">
        <v>216</v>
      </c>
      <c r="E739" s="210" t="s">
        <v>2541</v>
      </c>
      <c r="F739" s="102" t="str">
        <f t="shared" si="30"/>
        <v>MB</v>
      </c>
    </row>
    <row r="740" spans="2:8" ht="17">
      <c r="B740" s="206" t="s">
        <v>1246</v>
      </c>
      <c r="C740" s="207" t="s">
        <v>588</v>
      </c>
      <c r="D740" s="207" t="s">
        <v>216</v>
      </c>
      <c r="E740" s="210" t="s">
        <v>2542</v>
      </c>
      <c r="F740" s="102" t="str">
        <f t="shared" si="30"/>
        <v>D</v>
      </c>
    </row>
    <row r="741" spans="2:8" ht="34">
      <c r="B741" s="206" t="s">
        <v>2543</v>
      </c>
      <c r="C741" s="207" t="s">
        <v>2544</v>
      </c>
      <c r="D741" s="207" t="s">
        <v>216</v>
      </c>
      <c r="E741" s="210" t="s">
        <v>2546</v>
      </c>
      <c r="F741" s="102" t="str">
        <f t="shared" si="30"/>
        <v>AA</v>
      </c>
      <c r="H741" s="219" t="s">
        <v>2545</v>
      </c>
    </row>
    <row r="742" spans="2:8" ht="17">
      <c r="B742" s="209" t="s">
        <v>2547</v>
      </c>
      <c r="C742" s="207" t="s">
        <v>2550</v>
      </c>
      <c r="D742" s="207" t="s">
        <v>216</v>
      </c>
      <c r="E742" s="210" t="s">
        <v>2548</v>
      </c>
      <c r="F742" s="102" t="str">
        <f t="shared" si="30"/>
        <v>HA</v>
      </c>
      <c r="H742" s="219" t="s">
        <v>2549</v>
      </c>
    </row>
    <row r="743" spans="2:8" ht="17">
      <c r="B743" s="206" t="s">
        <v>2551</v>
      </c>
      <c r="C743" s="207" t="s">
        <v>1576</v>
      </c>
      <c r="D743" s="207" t="s">
        <v>216</v>
      </c>
      <c r="E743" s="210" t="s">
        <v>2553</v>
      </c>
      <c r="F743" s="102" t="str">
        <f t="shared" si="30"/>
        <v>GA</v>
      </c>
      <c r="H743" s="219" t="s">
        <v>2552</v>
      </c>
    </row>
    <row r="744" spans="2:8" ht="17">
      <c r="B744" s="206" t="s">
        <v>2554</v>
      </c>
      <c r="C744" s="207" t="s">
        <v>2557</v>
      </c>
      <c r="D744" s="207" t="s">
        <v>216</v>
      </c>
      <c r="E744" s="210" t="s">
        <v>2555</v>
      </c>
      <c r="F744" s="102" t="str">
        <f t="shared" si="30"/>
        <v>SA</v>
      </c>
      <c r="H744" s="219" t="s">
        <v>2556</v>
      </c>
    </row>
    <row r="745" spans="2:8" ht="17">
      <c r="B745" s="206" t="s">
        <v>2558</v>
      </c>
      <c r="C745" s="207" t="s">
        <v>216</v>
      </c>
      <c r="D745" s="207" t="s">
        <v>216</v>
      </c>
      <c r="E745" s="210" t="s">
        <v>2559</v>
      </c>
      <c r="F745" s="102" t="str">
        <f t="shared" si="30"/>
        <v>HI</v>
      </c>
    </row>
    <row r="746" spans="2:8" ht="17">
      <c r="B746" s="206" t="s">
        <v>2560</v>
      </c>
      <c r="C746" s="207" t="s">
        <v>29</v>
      </c>
      <c r="D746" s="207" t="s">
        <v>216</v>
      </c>
      <c r="E746" s="210" t="s">
        <v>2561</v>
      </c>
      <c r="F746" s="102" t="str">
        <f t="shared" si="30"/>
        <v>WG</v>
      </c>
    </row>
    <row r="747" spans="2:8" ht="17">
      <c r="B747" s="206" t="s">
        <v>2562</v>
      </c>
      <c r="C747" s="207" t="s">
        <v>1576</v>
      </c>
      <c r="D747" s="207" t="s">
        <v>216</v>
      </c>
      <c r="E747" s="210" t="s">
        <v>2563</v>
      </c>
      <c r="F747" s="102" t="str">
        <f t="shared" si="30"/>
        <v>C</v>
      </c>
    </row>
    <row r="748" spans="2:8" ht="17">
      <c r="B748" s="206" t="s">
        <v>2564</v>
      </c>
      <c r="C748" s="207" t="s">
        <v>216</v>
      </c>
      <c r="D748" s="207" t="s">
        <v>216</v>
      </c>
      <c r="F748" s="102" t="str">
        <f t="shared" si="30"/>
        <v>EB</v>
      </c>
    </row>
    <row r="749" spans="2:8" ht="17">
      <c r="B749" s="206" t="s">
        <v>2565</v>
      </c>
      <c r="C749" s="207" t="s">
        <v>216</v>
      </c>
      <c r="D749" s="207" t="s">
        <v>216</v>
      </c>
      <c r="E749" s="210" t="s">
        <v>2566</v>
      </c>
      <c r="F749" s="102" t="str">
        <f t="shared" si="30"/>
        <v>DO</v>
      </c>
    </row>
    <row r="750" spans="2:8" ht="17">
      <c r="B750" s="206" t="s">
        <v>2567</v>
      </c>
      <c r="C750" s="207" t="s">
        <v>216</v>
      </c>
      <c r="D750" s="207" t="s">
        <v>216</v>
      </c>
      <c r="E750" s="210" t="s">
        <v>2568</v>
      </c>
      <c r="F750" s="102" t="str">
        <f t="shared" si="30"/>
        <v>MA</v>
      </c>
    </row>
    <row r="751" spans="2:8" ht="17">
      <c r="B751" s="206" t="s">
        <v>2569</v>
      </c>
      <c r="C751" s="207" t="s">
        <v>339</v>
      </c>
      <c r="D751" s="207" t="s">
        <v>216</v>
      </c>
      <c r="E751" s="210" t="s">
        <v>2570</v>
      </c>
      <c r="F751" s="102" t="str">
        <f t="shared" si="30"/>
        <v>MJ</v>
      </c>
    </row>
    <row r="752" spans="2:8" ht="17">
      <c r="B752" s="206" t="s">
        <v>2571</v>
      </c>
      <c r="C752" s="207" t="s">
        <v>51</v>
      </c>
      <c r="D752" s="207" t="s">
        <v>51</v>
      </c>
      <c r="F752" s="102" t="str">
        <f t="shared" si="30"/>
        <v>WPC</v>
      </c>
    </row>
    <row r="753" spans="2:8" ht="17">
      <c r="B753" s="206" t="s">
        <v>2572</v>
      </c>
      <c r="C753" s="207" t="s">
        <v>337</v>
      </c>
      <c r="D753" s="207" t="s">
        <v>216</v>
      </c>
      <c r="E753" s="210" t="s">
        <v>2573</v>
      </c>
      <c r="F753" s="102" t="str">
        <f t="shared" si="30"/>
        <v>MKF</v>
      </c>
    </row>
    <row r="754" spans="2:8" ht="17">
      <c r="B754" s="206" t="s">
        <v>2574</v>
      </c>
      <c r="C754" s="207" t="s">
        <v>389</v>
      </c>
      <c r="D754" s="207" t="s">
        <v>389</v>
      </c>
      <c r="F754" s="102" t="str">
        <f t="shared" si="30"/>
        <v>KZG-</v>
      </c>
    </row>
    <row r="755" spans="2:8" ht="17">
      <c r="B755" s="206" t="s">
        <v>2575</v>
      </c>
      <c r="C755" s="207" t="s">
        <v>2576</v>
      </c>
      <c r="D755" s="207" t="s">
        <v>216</v>
      </c>
      <c r="E755" s="210" t="s">
        <v>2577</v>
      </c>
      <c r="F755" s="102" t="str">
        <f t="shared" si="30"/>
        <v>RA</v>
      </c>
    </row>
    <row r="756" spans="2:8" ht="17">
      <c r="B756" s="206" t="s">
        <v>2578</v>
      </c>
      <c r="C756" s="207" t="s">
        <v>305</v>
      </c>
      <c r="D756" s="207" t="s">
        <v>305</v>
      </c>
      <c r="E756" s="210" t="s">
        <v>2579</v>
      </c>
      <c r="F756" s="102" t="str">
        <f t="shared" si="30"/>
        <v>MK</v>
      </c>
    </row>
    <row r="757" spans="2:8" ht="17">
      <c r="B757" s="206" t="s">
        <v>2588</v>
      </c>
      <c r="C757" s="207" t="s">
        <v>2586</v>
      </c>
      <c r="D757" s="207" t="s">
        <v>216</v>
      </c>
      <c r="E757" s="210" t="s">
        <v>2587</v>
      </c>
      <c r="F757" s="102" t="str">
        <f t="shared" si="30"/>
        <v>SD</v>
      </c>
      <c r="H757" s="219" t="s">
        <v>2589</v>
      </c>
    </row>
    <row r="758" spans="2:8" ht="17">
      <c r="B758" s="206" t="s">
        <v>2597</v>
      </c>
      <c r="C758" s="207" t="s">
        <v>69</v>
      </c>
      <c r="D758" s="207" t="s">
        <v>216</v>
      </c>
      <c r="F758" s="102" t="str">
        <f t="shared" si="30"/>
        <v>HAAA</v>
      </c>
    </row>
    <row r="759" spans="2:8" ht="17">
      <c r="B759" s="206" t="s">
        <v>2598</v>
      </c>
      <c r="C759" s="207" t="s">
        <v>69</v>
      </c>
      <c r="D759" s="207" t="s">
        <v>216</v>
      </c>
      <c r="F759" s="102" t="str">
        <f t="shared" si="30"/>
        <v>AA</v>
      </c>
    </row>
    <row r="760" spans="2:8" ht="17">
      <c r="B760" s="206" t="s">
        <v>2608</v>
      </c>
      <c r="C760" s="207" t="s">
        <v>2606</v>
      </c>
      <c r="D760" s="207" t="s">
        <v>216</v>
      </c>
      <c r="E760" s="210" t="s">
        <v>2607</v>
      </c>
      <c r="F760" s="102" t="str">
        <f t="shared" si="30"/>
        <v>AR</v>
      </c>
      <c r="H760" s="219" t="s">
        <v>2605</v>
      </c>
    </row>
    <row r="761" spans="2:8" ht="17">
      <c r="B761" s="206" t="s">
        <v>2609</v>
      </c>
      <c r="C761" s="207" t="s">
        <v>69</v>
      </c>
      <c r="D761" s="207" t="s">
        <v>216</v>
      </c>
      <c r="E761" s="210" t="s">
        <v>2610</v>
      </c>
      <c r="F761" s="102" t="str">
        <f t="shared" si="30"/>
        <v>SOS</v>
      </c>
      <c r="H761" s="219" t="s">
        <v>2611</v>
      </c>
    </row>
    <row r="762" spans="2:8" ht="17">
      <c r="B762" s="206" t="s">
        <v>2614</v>
      </c>
      <c r="C762" s="207" t="s">
        <v>1678</v>
      </c>
      <c r="D762" s="207" t="s">
        <v>216</v>
      </c>
      <c r="E762" s="210" t="s">
        <v>2615</v>
      </c>
      <c r="F762" s="102" t="str">
        <f t="shared" si="30"/>
        <v>MA</v>
      </c>
    </row>
    <row r="763" spans="2:8" ht="17">
      <c r="B763" s="206" t="s">
        <v>2617</v>
      </c>
      <c r="C763" s="207" t="s">
        <v>216</v>
      </c>
      <c r="D763" s="207" t="s">
        <v>216</v>
      </c>
      <c r="E763" s="210" t="s">
        <v>2618</v>
      </c>
      <c r="F763" s="102" t="str">
        <f t="shared" si="30"/>
        <v>MJ</v>
      </c>
    </row>
    <row r="764" spans="2:8" ht="17">
      <c r="B764" s="206" t="s">
        <v>2619</v>
      </c>
      <c r="C764" s="207" t="s">
        <v>216</v>
      </c>
      <c r="D764" s="207" t="s">
        <v>216</v>
      </c>
      <c r="E764" s="210" t="s">
        <v>2620</v>
      </c>
      <c r="F764" s="102" t="str">
        <f t="shared" si="30"/>
        <v>DEL</v>
      </c>
      <c r="G764" s="208" t="s">
        <v>2622</v>
      </c>
      <c r="H764" s="209" t="s">
        <v>2621</v>
      </c>
    </row>
    <row r="765" spans="2:8" ht="17">
      <c r="B765" s="206" t="s">
        <v>2624</v>
      </c>
      <c r="C765" s="207" t="s">
        <v>216</v>
      </c>
      <c r="D765" s="207" t="s">
        <v>216</v>
      </c>
      <c r="E765" s="210" t="s">
        <v>2625</v>
      </c>
      <c r="F765" s="102" t="str">
        <f t="shared" si="30"/>
        <v>PB</v>
      </c>
    </row>
    <row r="766" spans="2:8" ht="17">
      <c r="B766" s="206" t="s">
        <v>2626</v>
      </c>
      <c r="C766" s="207" t="s">
        <v>216</v>
      </c>
      <c r="D766" s="207" t="s">
        <v>216</v>
      </c>
      <c r="F766" s="102" t="str">
        <f t="shared" si="30"/>
        <v>FD</v>
      </c>
    </row>
    <row r="767" spans="2:8" ht="17">
      <c r="B767" s="206" t="s">
        <v>2627</v>
      </c>
      <c r="C767" s="207" t="s">
        <v>216</v>
      </c>
      <c r="D767" s="207" t="s">
        <v>216</v>
      </c>
      <c r="E767" s="210" t="s">
        <v>2628</v>
      </c>
      <c r="F767" s="102" t="str">
        <f t="shared" si="30"/>
        <v>J</v>
      </c>
    </row>
    <row r="768" spans="2:8" ht="17">
      <c r="B768" s="206" t="s">
        <v>1553</v>
      </c>
      <c r="C768" s="207" t="s">
        <v>216</v>
      </c>
      <c r="D768" s="207" t="s">
        <v>216</v>
      </c>
      <c r="F768" s="102" t="str">
        <f t="shared" si="30"/>
        <v>C</v>
      </c>
    </row>
    <row r="769" spans="2:7" ht="17">
      <c r="B769" s="206" t="s">
        <v>2629</v>
      </c>
      <c r="C769" s="207" t="s">
        <v>2630</v>
      </c>
      <c r="D769" s="207" t="s">
        <v>955</v>
      </c>
      <c r="E769" s="210" t="s">
        <v>2631</v>
      </c>
      <c r="F769" s="102" t="str">
        <f t="shared" si="30"/>
        <v>MBH</v>
      </c>
    </row>
    <row r="770" spans="2:7" ht="17">
      <c r="B770" s="206" t="s">
        <v>2632</v>
      </c>
      <c r="C770" s="207" t="s">
        <v>634</v>
      </c>
      <c r="D770" s="207" t="s">
        <v>958</v>
      </c>
      <c r="E770" s="210" t="s">
        <v>2633</v>
      </c>
      <c r="F770" s="102" t="str">
        <f t="shared" si="30"/>
        <v>SE</v>
      </c>
    </row>
    <row r="771" spans="2:7" ht="17">
      <c r="B771" s="206" t="s">
        <v>2634</v>
      </c>
      <c r="C771" s="207" t="s">
        <v>414</v>
      </c>
      <c r="D771" s="207" t="s">
        <v>216</v>
      </c>
      <c r="E771" s="210" t="s">
        <v>2635</v>
      </c>
      <c r="F771" s="102" t="str">
        <f t="shared" ref="F771:F834" si="31">UPPER(LEFT(B771,1)) &amp; IFERROR(UPPER(LEFT(MID(B771,FIND(" ",B771)+1,LEN(B771)),1)),"") &amp; IFERROR(UPPER(LEFT(MID(B771,FIND(" ",B771,FIND(" ",B771)+1)+1,LEN(B771)),1)),"") &amp; IFERROR(UPPER(LEFT(MID(B771,FIND(" ",B771,FIND(" ",B771,FIND(" ",B771)+1)+1)+1,LEN(B771)),1)),"")</f>
        <v>DDO</v>
      </c>
    </row>
    <row r="772" spans="2:7" ht="17">
      <c r="B772" s="206" t="s">
        <v>2636</v>
      </c>
      <c r="C772" s="207" t="s">
        <v>216</v>
      </c>
      <c r="D772" s="207" t="s">
        <v>216</v>
      </c>
      <c r="F772" s="102" t="str">
        <f t="shared" si="31"/>
        <v>E</v>
      </c>
    </row>
    <row r="773" spans="2:7" ht="17">
      <c r="B773" s="206" t="s">
        <v>2637</v>
      </c>
      <c r="C773" s="210" t="s">
        <v>216</v>
      </c>
      <c r="D773" s="207" t="s">
        <v>216</v>
      </c>
      <c r="E773" s="210" t="s">
        <v>2638</v>
      </c>
      <c r="F773" s="102" t="str">
        <f t="shared" si="31"/>
        <v>MY</v>
      </c>
    </row>
    <row r="774" spans="2:7" ht="17">
      <c r="B774" s="206" t="s">
        <v>2640</v>
      </c>
      <c r="C774" s="207" t="s">
        <v>216</v>
      </c>
      <c r="D774" s="207" t="s">
        <v>216</v>
      </c>
      <c r="F774" s="102" t="str">
        <f t="shared" si="31"/>
        <v>MEA</v>
      </c>
    </row>
    <row r="775" spans="2:7" ht="17">
      <c r="B775" s="206" t="s">
        <v>2641</v>
      </c>
      <c r="C775" s="207" t="s">
        <v>216</v>
      </c>
      <c r="D775" s="207" t="s">
        <v>216</v>
      </c>
      <c r="E775" s="210" t="s">
        <v>2642</v>
      </c>
      <c r="F775" s="102" t="str">
        <f t="shared" si="31"/>
        <v>F</v>
      </c>
    </row>
    <row r="776" spans="2:7" ht="17">
      <c r="B776" s="206" t="s">
        <v>2643</v>
      </c>
      <c r="C776" s="207" t="s">
        <v>216</v>
      </c>
      <c r="D776" s="207" t="s">
        <v>216</v>
      </c>
      <c r="E776" s="210" t="s">
        <v>2644</v>
      </c>
      <c r="F776" s="102" t="str">
        <f t="shared" si="31"/>
        <v>DY</v>
      </c>
    </row>
    <row r="777" spans="2:7" ht="34">
      <c r="B777" s="206" t="s">
        <v>2645</v>
      </c>
      <c r="C777" s="207" t="s">
        <v>216</v>
      </c>
      <c r="D777" s="207" t="s">
        <v>216</v>
      </c>
      <c r="E777" s="210" t="s">
        <v>2646</v>
      </c>
      <c r="F777" s="102" t="str">
        <f t="shared" si="31"/>
        <v>G</v>
      </c>
    </row>
    <row r="778" spans="2:7" ht="17">
      <c r="B778" s="206" t="s">
        <v>2647</v>
      </c>
      <c r="C778" s="207" t="s">
        <v>216</v>
      </c>
      <c r="D778" s="207" t="s">
        <v>216</v>
      </c>
      <c r="E778" s="210" t="s">
        <v>2648</v>
      </c>
      <c r="F778" s="102" t="str">
        <f t="shared" si="31"/>
        <v>N</v>
      </c>
    </row>
    <row r="779" spans="2:7" ht="17">
      <c r="B779" s="206" t="s">
        <v>2651</v>
      </c>
      <c r="C779" s="207" t="s">
        <v>414</v>
      </c>
      <c r="D779" s="207" t="s">
        <v>216</v>
      </c>
      <c r="F779" s="102" t="str">
        <f t="shared" si="31"/>
        <v>KIS-</v>
      </c>
    </row>
    <row r="780" spans="2:7" ht="34">
      <c r="B780" s="206" t="s">
        <v>2653</v>
      </c>
      <c r="C780" s="207" t="s">
        <v>216</v>
      </c>
      <c r="D780" s="207" t="s">
        <v>216</v>
      </c>
      <c r="E780" s="210" t="s">
        <v>2654</v>
      </c>
      <c r="F780" s="102" t="str">
        <f t="shared" si="31"/>
        <v>KOA</v>
      </c>
    </row>
    <row r="781" spans="2:7" ht="34">
      <c r="B781" s="206" t="s">
        <v>2656</v>
      </c>
      <c r="C781" s="207" t="s">
        <v>216</v>
      </c>
      <c r="D781" s="207" t="s">
        <v>216</v>
      </c>
      <c r="E781" s="210" t="s">
        <v>2657</v>
      </c>
      <c r="F781" s="102" t="str">
        <f t="shared" si="31"/>
        <v>CK</v>
      </c>
    </row>
    <row r="782" spans="2:7" ht="17">
      <c r="B782" s="206" t="s">
        <v>2658</v>
      </c>
      <c r="C782" s="207" t="s">
        <v>216</v>
      </c>
      <c r="D782" s="207" t="s">
        <v>216</v>
      </c>
      <c r="E782" s="210" t="s">
        <v>2659</v>
      </c>
      <c r="F782" s="102" t="str">
        <f t="shared" si="31"/>
        <v>KS</v>
      </c>
    </row>
    <row r="783" spans="2:7" ht="17">
      <c r="B783" s="206" t="s">
        <v>2664</v>
      </c>
      <c r="C783" s="207" t="s">
        <v>352</v>
      </c>
      <c r="D783" s="207" t="s">
        <v>216</v>
      </c>
      <c r="E783" s="210" t="s">
        <v>2665</v>
      </c>
      <c r="F783" s="102" t="str">
        <f t="shared" si="31"/>
        <v>DA</v>
      </c>
      <c r="G783" s="208" t="s">
        <v>2666</v>
      </c>
    </row>
    <row r="784" spans="2:7" ht="17">
      <c r="B784" s="206" t="s">
        <v>2672</v>
      </c>
      <c r="C784" s="207" t="s">
        <v>157</v>
      </c>
      <c r="D784" s="207" t="s">
        <v>216</v>
      </c>
      <c r="E784" s="210" t="s">
        <v>2673</v>
      </c>
      <c r="F784" s="102" t="str">
        <f t="shared" si="31"/>
        <v>PI</v>
      </c>
      <c r="G784" s="208" t="s">
        <v>2671</v>
      </c>
    </row>
    <row r="785" spans="2:8" ht="34">
      <c r="B785" s="206" t="s">
        <v>2674</v>
      </c>
      <c r="C785" s="207" t="s">
        <v>2675</v>
      </c>
      <c r="D785" s="207" t="s">
        <v>216</v>
      </c>
      <c r="E785" s="210" t="s">
        <v>2673</v>
      </c>
      <c r="F785" s="102" t="str">
        <f t="shared" si="31"/>
        <v>EGA</v>
      </c>
    </row>
    <row r="786" spans="2:8" ht="17">
      <c r="B786" s="206" t="s">
        <v>2676</v>
      </c>
      <c r="C786" s="207" t="s">
        <v>770</v>
      </c>
      <c r="D786" s="207" t="s">
        <v>216</v>
      </c>
      <c r="F786" s="102" t="str">
        <f t="shared" si="31"/>
        <v>F</v>
      </c>
    </row>
    <row r="787" spans="2:8" ht="17">
      <c r="B787" s="206" t="s">
        <v>2701</v>
      </c>
      <c r="C787" s="207" t="s">
        <v>216</v>
      </c>
      <c r="D787" s="207" t="s">
        <v>216</v>
      </c>
      <c r="E787" s="210" t="s">
        <v>2702</v>
      </c>
      <c r="F787" s="102" t="str">
        <f t="shared" si="31"/>
        <v>R</v>
      </c>
    </row>
    <row r="788" spans="2:8" ht="17">
      <c r="B788" s="206" t="s">
        <v>2703</v>
      </c>
      <c r="C788" s="207" t="s">
        <v>628</v>
      </c>
      <c r="D788" s="207" t="s">
        <v>216</v>
      </c>
      <c r="F788" s="102" t="str">
        <f t="shared" si="31"/>
        <v>MP</v>
      </c>
    </row>
    <row r="789" spans="2:8" ht="17">
      <c r="B789" s="206" t="s">
        <v>2704</v>
      </c>
      <c r="C789" s="207" t="s">
        <v>93</v>
      </c>
      <c r="D789" s="207" t="s">
        <v>216</v>
      </c>
      <c r="F789" s="102" t="str">
        <f t="shared" si="31"/>
        <v>MJ</v>
      </c>
    </row>
    <row r="790" spans="2:8" ht="17">
      <c r="B790" s="206" t="s">
        <v>2705</v>
      </c>
      <c r="C790" s="207" t="s">
        <v>2706</v>
      </c>
      <c r="D790" s="207" t="s">
        <v>216</v>
      </c>
      <c r="F790" s="102" t="str">
        <f t="shared" si="31"/>
        <v>MD</v>
      </c>
      <c r="G790" s="208" t="s">
        <v>2705</v>
      </c>
    </row>
    <row r="791" spans="2:8" ht="17">
      <c r="B791" s="206" t="s">
        <v>2707</v>
      </c>
      <c r="C791" s="207" t="s">
        <v>216</v>
      </c>
      <c r="D791" s="207" t="s">
        <v>216</v>
      </c>
      <c r="F791" s="102" t="str">
        <f t="shared" si="31"/>
        <v>MC</v>
      </c>
    </row>
    <row r="792" spans="2:8" ht="17">
      <c r="B792" s="206" t="s">
        <v>2765</v>
      </c>
      <c r="C792" s="207" t="s">
        <v>32</v>
      </c>
      <c r="D792" s="207" t="s">
        <v>216</v>
      </c>
      <c r="F792" s="102" t="str">
        <f t="shared" si="31"/>
        <v>MM</v>
      </c>
    </row>
    <row r="793" spans="2:8" ht="17">
      <c r="B793" s="206" t="s">
        <v>2766</v>
      </c>
      <c r="C793" s="207" t="s">
        <v>216</v>
      </c>
      <c r="D793" s="207" t="s">
        <v>216</v>
      </c>
      <c r="E793" s="210" t="s">
        <v>2768</v>
      </c>
      <c r="F793" s="102" t="str">
        <f t="shared" si="31"/>
        <v>AE</v>
      </c>
      <c r="G793" s="208" t="s">
        <v>2767</v>
      </c>
    </row>
    <row r="794" spans="2:8" ht="17">
      <c r="B794" s="206" t="s">
        <v>2774</v>
      </c>
      <c r="C794" s="207" t="s">
        <v>216</v>
      </c>
      <c r="D794" s="207" t="s">
        <v>216</v>
      </c>
      <c r="E794" s="210" t="s">
        <v>2775</v>
      </c>
      <c r="F794" s="102" t="str">
        <f t="shared" si="31"/>
        <v>ML</v>
      </c>
    </row>
    <row r="795" spans="2:8" ht="17">
      <c r="B795" s="206" t="s">
        <v>2778</v>
      </c>
      <c r="C795" s="207" t="s">
        <v>466</v>
      </c>
      <c r="D795" s="207" t="s">
        <v>954</v>
      </c>
      <c r="E795" s="210" t="s">
        <v>2779</v>
      </c>
      <c r="F795" s="102" t="str">
        <f t="shared" si="31"/>
        <v>JM</v>
      </c>
    </row>
    <row r="796" spans="2:8" ht="17">
      <c r="B796" s="206" t="s">
        <v>2780</v>
      </c>
      <c r="C796" s="207" t="s">
        <v>2781</v>
      </c>
      <c r="D796" s="207" t="s">
        <v>2782</v>
      </c>
      <c r="F796" s="102" t="str">
        <f t="shared" si="31"/>
        <v>SPGH</v>
      </c>
    </row>
    <row r="797" spans="2:8" ht="17">
      <c r="B797" s="206" t="s">
        <v>2783</v>
      </c>
      <c r="C797" s="207" t="s">
        <v>856</v>
      </c>
      <c r="D797" s="207" t="s">
        <v>856</v>
      </c>
      <c r="E797" s="210" t="s">
        <v>2784</v>
      </c>
      <c r="F797" s="102" t="str">
        <f t="shared" si="31"/>
        <v>E-ST</v>
      </c>
    </row>
    <row r="798" spans="2:8" ht="17">
      <c r="B798" s="206" t="s">
        <v>2785</v>
      </c>
      <c r="C798" s="207" t="s">
        <v>42</v>
      </c>
      <c r="D798" s="207" t="s">
        <v>1499</v>
      </c>
      <c r="E798" s="210" t="s">
        <v>2786</v>
      </c>
      <c r="F798" s="102" t="str">
        <f t="shared" si="31"/>
        <v>PS</v>
      </c>
    </row>
    <row r="799" spans="2:8" ht="17">
      <c r="B799" s="206" t="s">
        <v>2787</v>
      </c>
      <c r="C799" s="207" t="s">
        <v>216</v>
      </c>
      <c r="D799" s="207" t="s">
        <v>216</v>
      </c>
      <c r="E799" s="210" t="s">
        <v>2788</v>
      </c>
      <c r="F799" s="102" t="str">
        <f t="shared" si="31"/>
        <v>BE</v>
      </c>
      <c r="G799" s="208" t="s">
        <v>2789</v>
      </c>
      <c r="H799" s="219" t="s">
        <v>2790</v>
      </c>
    </row>
    <row r="800" spans="2:8" ht="34">
      <c r="B800" s="206" t="s">
        <v>2791</v>
      </c>
      <c r="C800" s="207" t="s">
        <v>2792</v>
      </c>
      <c r="D800" s="207" t="s">
        <v>35</v>
      </c>
      <c r="E800" s="210" t="s">
        <v>2793</v>
      </c>
      <c r="F800" s="102" t="str">
        <f t="shared" si="31"/>
        <v>PGL</v>
      </c>
      <c r="G800" s="208" t="s">
        <v>2794</v>
      </c>
    </row>
    <row r="801" spans="2:7" ht="17">
      <c r="B801" s="206" t="s">
        <v>2797</v>
      </c>
      <c r="C801" s="207" t="s">
        <v>742</v>
      </c>
      <c r="D801" s="207" t="s">
        <v>216</v>
      </c>
      <c r="E801" s="210" t="s">
        <v>2798</v>
      </c>
      <c r="F801" s="102" t="str">
        <f t="shared" si="31"/>
        <v>A</v>
      </c>
    </row>
    <row r="802" spans="2:7" ht="17">
      <c r="B802" s="206" t="s">
        <v>2799</v>
      </c>
      <c r="C802" s="207" t="s">
        <v>2800</v>
      </c>
      <c r="D802" s="207" t="s">
        <v>955</v>
      </c>
      <c r="E802" s="210" t="s">
        <v>2801</v>
      </c>
      <c r="F802" s="102" t="str">
        <f t="shared" si="31"/>
        <v>PEL</v>
      </c>
    </row>
    <row r="803" spans="2:7" ht="17">
      <c r="B803" s="206" t="s">
        <v>2802</v>
      </c>
      <c r="C803" s="207" t="s">
        <v>192</v>
      </c>
      <c r="D803" s="207" t="s">
        <v>216</v>
      </c>
      <c r="E803" s="210" t="s">
        <v>2803</v>
      </c>
      <c r="F803" s="102" t="str">
        <f t="shared" si="31"/>
        <v>S</v>
      </c>
    </row>
    <row r="804" spans="2:7" ht="17">
      <c r="B804" s="206" t="s">
        <v>2804</v>
      </c>
      <c r="C804" s="207" t="s">
        <v>216</v>
      </c>
      <c r="D804" s="207" t="s">
        <v>216</v>
      </c>
      <c r="E804" s="210" t="s">
        <v>2805</v>
      </c>
      <c r="F804" s="102" t="str">
        <f t="shared" si="31"/>
        <v>F-DB</v>
      </c>
    </row>
    <row r="805" spans="2:7" ht="17">
      <c r="B805" s="206" t="s">
        <v>2806</v>
      </c>
      <c r="C805" s="207" t="s">
        <v>856</v>
      </c>
      <c r="D805" s="207" t="s">
        <v>856</v>
      </c>
      <c r="F805" s="102" t="str">
        <f t="shared" si="31"/>
        <v>MB</v>
      </c>
    </row>
    <row r="806" spans="2:7" ht="17">
      <c r="B806" s="206" t="s">
        <v>2807</v>
      </c>
      <c r="C806" s="207" t="s">
        <v>805</v>
      </c>
      <c r="D806" s="207" t="s">
        <v>216</v>
      </c>
      <c r="E806" s="210" t="s">
        <v>2808</v>
      </c>
      <c r="F806" s="102" t="str">
        <f t="shared" si="31"/>
        <v>MN</v>
      </c>
    </row>
    <row r="807" spans="2:7" ht="17">
      <c r="B807" s="206" t="s">
        <v>2809</v>
      </c>
      <c r="C807" s="207" t="s">
        <v>342</v>
      </c>
      <c r="D807" s="207" t="s">
        <v>342</v>
      </c>
      <c r="E807" s="210" t="s">
        <v>1097</v>
      </c>
      <c r="F807" s="102" t="str">
        <f t="shared" si="31"/>
        <v>AB-T</v>
      </c>
    </row>
    <row r="808" spans="2:7" ht="17">
      <c r="B808" s="206" t="s">
        <v>2810</v>
      </c>
      <c r="C808" s="207" t="s">
        <v>29</v>
      </c>
      <c r="D808" s="207" t="s">
        <v>216</v>
      </c>
      <c r="E808" s="210" t="s">
        <v>2811</v>
      </c>
      <c r="F808" s="102" t="str">
        <f t="shared" si="31"/>
        <v>MR</v>
      </c>
    </row>
    <row r="809" spans="2:7" ht="17">
      <c r="B809" s="206" t="s">
        <v>2812</v>
      </c>
      <c r="C809" s="207" t="s">
        <v>2813</v>
      </c>
      <c r="D809" s="207" t="s">
        <v>51</v>
      </c>
      <c r="E809" s="210" t="s">
        <v>2814</v>
      </c>
      <c r="F809" s="102" t="str">
        <f t="shared" si="31"/>
        <v>AV</v>
      </c>
    </row>
    <row r="810" spans="2:7" ht="17">
      <c r="B810" s="206" t="s">
        <v>2815</v>
      </c>
      <c r="C810" s="207" t="s">
        <v>51</v>
      </c>
      <c r="D810" s="207" t="s">
        <v>51</v>
      </c>
      <c r="F810" s="102" t="str">
        <f t="shared" si="31"/>
        <v>PMC</v>
      </c>
      <c r="G810" s="208" t="s">
        <v>2816</v>
      </c>
    </row>
    <row r="811" spans="2:7" ht="17">
      <c r="B811" s="206" t="s">
        <v>2817</v>
      </c>
      <c r="C811" s="207" t="s">
        <v>216</v>
      </c>
      <c r="D811" s="207" t="s">
        <v>216</v>
      </c>
      <c r="E811" s="210" t="s">
        <v>2818</v>
      </c>
      <c r="F811" s="102" t="str">
        <f t="shared" si="31"/>
        <v>AA</v>
      </c>
    </row>
    <row r="812" spans="2:7" ht="34">
      <c r="B812" s="206" t="s">
        <v>2819</v>
      </c>
      <c r="C812" s="207" t="s">
        <v>2675</v>
      </c>
      <c r="D812" s="207" t="s">
        <v>216</v>
      </c>
      <c r="E812" s="210" t="s">
        <v>2820</v>
      </c>
      <c r="F812" s="102" t="str">
        <f t="shared" si="31"/>
        <v>JB</v>
      </c>
    </row>
    <row r="813" spans="2:7" ht="17">
      <c r="B813" s="206" t="s">
        <v>2821</v>
      </c>
      <c r="C813" s="207" t="s">
        <v>2822</v>
      </c>
      <c r="D813" s="207" t="s">
        <v>954</v>
      </c>
      <c r="E813" s="210" t="s">
        <v>2823</v>
      </c>
      <c r="F813" s="102" t="str">
        <f t="shared" si="31"/>
        <v>A</v>
      </c>
    </row>
    <row r="814" spans="2:7" ht="17">
      <c r="B814" s="206" t="s">
        <v>2824</v>
      </c>
      <c r="C814" s="207" t="s">
        <v>627</v>
      </c>
      <c r="D814" s="207" t="s">
        <v>216</v>
      </c>
      <c r="E814" s="210" t="s">
        <v>2825</v>
      </c>
      <c r="F814" s="102" t="str">
        <f t="shared" si="31"/>
        <v>DI</v>
      </c>
    </row>
    <row r="815" spans="2:7" ht="17">
      <c r="B815" s="206" t="s">
        <v>2827</v>
      </c>
      <c r="C815" s="207" t="s">
        <v>566</v>
      </c>
      <c r="D815" s="207" t="s">
        <v>216</v>
      </c>
      <c r="F815" s="102" t="str">
        <f t="shared" si="31"/>
        <v>R-A</v>
      </c>
    </row>
    <row r="816" spans="2:7" ht="17">
      <c r="B816" s="206" t="s">
        <v>2124</v>
      </c>
      <c r="C816" s="207" t="s">
        <v>216</v>
      </c>
      <c r="D816" s="207" t="s">
        <v>216</v>
      </c>
      <c r="F816" s="102" t="str">
        <f t="shared" si="31"/>
        <v>A</v>
      </c>
    </row>
    <row r="817" spans="2:6" ht="17">
      <c r="B817" s="206" t="s">
        <v>2828</v>
      </c>
      <c r="C817" s="207" t="s">
        <v>74</v>
      </c>
      <c r="D817" s="207" t="s">
        <v>216</v>
      </c>
      <c r="F817" s="102" t="str">
        <f t="shared" si="31"/>
        <v>A</v>
      </c>
    </row>
    <row r="818" spans="2:6">
      <c r="F818" s="102" t="str">
        <f t="shared" si="31"/>
        <v/>
      </c>
    </row>
    <row r="819" spans="2:6">
      <c r="F819" s="102" t="str">
        <f t="shared" si="31"/>
        <v/>
      </c>
    </row>
    <row r="820" spans="2:6">
      <c r="F820" s="102" t="str">
        <f t="shared" si="31"/>
        <v/>
      </c>
    </row>
    <row r="821" spans="2:6">
      <c r="F821" s="102" t="str">
        <f t="shared" si="31"/>
        <v/>
      </c>
    </row>
    <row r="822" spans="2:6">
      <c r="F822" s="102" t="str">
        <f t="shared" si="31"/>
        <v/>
      </c>
    </row>
    <row r="823" spans="2:6">
      <c r="F823" s="102" t="str">
        <f t="shared" si="31"/>
        <v/>
      </c>
    </row>
    <row r="824" spans="2:6">
      <c r="F824" s="102" t="str">
        <f t="shared" si="31"/>
        <v/>
      </c>
    </row>
    <row r="825" spans="2:6">
      <c r="F825" s="102" t="str">
        <f t="shared" si="31"/>
        <v/>
      </c>
    </row>
    <row r="826" spans="2:6">
      <c r="F826" s="102" t="str">
        <f t="shared" si="31"/>
        <v/>
      </c>
    </row>
    <row r="827" spans="2:6">
      <c r="F827" s="102" t="str">
        <f t="shared" si="31"/>
        <v/>
      </c>
    </row>
    <row r="828" spans="2:6">
      <c r="F828" s="102" t="str">
        <f t="shared" si="31"/>
        <v/>
      </c>
    </row>
    <row r="829" spans="2:6">
      <c r="F829" s="102" t="str">
        <f t="shared" si="31"/>
        <v/>
      </c>
    </row>
    <row r="830" spans="2:6">
      <c r="F830" s="102" t="str">
        <f t="shared" si="31"/>
        <v/>
      </c>
    </row>
    <row r="831" spans="2:6">
      <c r="F831" s="102" t="str">
        <f t="shared" si="31"/>
        <v/>
      </c>
    </row>
    <row r="832" spans="2:6">
      <c r="F832" s="102" t="str">
        <f t="shared" si="31"/>
        <v/>
      </c>
    </row>
    <row r="833" spans="6:6">
      <c r="F833" s="102" t="str">
        <f t="shared" si="31"/>
        <v/>
      </c>
    </row>
    <row r="834" spans="6:6">
      <c r="F834" s="102" t="str">
        <f t="shared" si="31"/>
        <v/>
      </c>
    </row>
    <row r="835" spans="6:6">
      <c r="F835" s="102" t="str">
        <f t="shared" ref="F835:F898" si="32">UPPER(LEFT(B835,1)) &amp; IFERROR(UPPER(LEFT(MID(B835,FIND(" ",B835)+1,LEN(B835)),1)),"") &amp; IFERROR(UPPER(LEFT(MID(B835,FIND(" ",B835,FIND(" ",B835)+1)+1,LEN(B835)),1)),"") &amp; IFERROR(UPPER(LEFT(MID(B835,FIND(" ",B835,FIND(" ",B835,FIND(" ",B835)+1)+1)+1,LEN(B835)),1)),"")</f>
        <v/>
      </c>
    </row>
    <row r="836" spans="6:6">
      <c r="F836" s="102" t="str">
        <f t="shared" si="32"/>
        <v/>
      </c>
    </row>
    <row r="837" spans="6:6">
      <c r="F837" s="102" t="str">
        <f t="shared" si="32"/>
        <v/>
      </c>
    </row>
    <row r="838" spans="6:6">
      <c r="F838" s="102" t="str">
        <f t="shared" si="32"/>
        <v/>
      </c>
    </row>
    <row r="839" spans="6:6">
      <c r="F839" s="102" t="str">
        <f t="shared" si="32"/>
        <v/>
      </c>
    </row>
    <row r="840" spans="6:6">
      <c r="F840" s="102" t="str">
        <f t="shared" si="32"/>
        <v/>
      </c>
    </row>
    <row r="841" spans="6:6">
      <c r="F841" s="102" t="str">
        <f t="shared" si="32"/>
        <v/>
      </c>
    </row>
    <row r="842" spans="6:6">
      <c r="F842" s="102" t="str">
        <f t="shared" si="32"/>
        <v/>
      </c>
    </row>
    <row r="843" spans="6:6">
      <c r="F843" s="102" t="str">
        <f t="shared" si="32"/>
        <v/>
      </c>
    </row>
    <row r="844" spans="6:6">
      <c r="F844" s="102" t="str">
        <f t="shared" si="32"/>
        <v/>
      </c>
    </row>
    <row r="845" spans="6:6">
      <c r="F845" s="102" t="str">
        <f t="shared" si="32"/>
        <v/>
      </c>
    </row>
    <row r="846" spans="6:6">
      <c r="F846" s="102" t="str">
        <f t="shared" si="32"/>
        <v/>
      </c>
    </row>
    <row r="847" spans="6:6">
      <c r="F847" s="102" t="str">
        <f t="shared" si="32"/>
        <v/>
      </c>
    </row>
    <row r="848" spans="6:6">
      <c r="F848" s="102" t="str">
        <f t="shared" si="32"/>
        <v/>
      </c>
    </row>
    <row r="849" spans="6:6">
      <c r="F849" s="102" t="str">
        <f t="shared" si="32"/>
        <v/>
      </c>
    </row>
    <row r="850" spans="6:6">
      <c r="F850" s="102" t="str">
        <f t="shared" si="32"/>
        <v/>
      </c>
    </row>
    <row r="851" spans="6:6">
      <c r="F851" s="102" t="str">
        <f t="shared" si="32"/>
        <v/>
      </c>
    </row>
    <row r="852" spans="6:6">
      <c r="F852" s="102" t="str">
        <f t="shared" si="32"/>
        <v/>
      </c>
    </row>
    <row r="853" spans="6:6">
      <c r="F853" s="102" t="str">
        <f t="shared" si="32"/>
        <v/>
      </c>
    </row>
    <row r="854" spans="6:6">
      <c r="F854" s="102" t="str">
        <f t="shared" si="32"/>
        <v/>
      </c>
    </row>
    <row r="855" spans="6:6">
      <c r="F855" s="102" t="str">
        <f t="shared" si="32"/>
        <v/>
      </c>
    </row>
    <row r="856" spans="6:6">
      <c r="F856" s="102" t="str">
        <f t="shared" si="32"/>
        <v/>
      </c>
    </row>
    <row r="857" spans="6:6">
      <c r="F857" s="102" t="str">
        <f t="shared" si="32"/>
        <v/>
      </c>
    </row>
    <row r="858" spans="6:6">
      <c r="F858" s="102" t="str">
        <f t="shared" si="32"/>
        <v/>
      </c>
    </row>
    <row r="859" spans="6:6">
      <c r="F859" s="102" t="str">
        <f t="shared" si="32"/>
        <v/>
      </c>
    </row>
    <row r="860" spans="6:6">
      <c r="F860" s="102" t="str">
        <f t="shared" si="32"/>
        <v/>
      </c>
    </row>
    <row r="861" spans="6:6">
      <c r="F861" s="102" t="str">
        <f t="shared" si="32"/>
        <v/>
      </c>
    </row>
    <row r="862" spans="6:6">
      <c r="F862" s="102" t="str">
        <f t="shared" si="32"/>
        <v/>
      </c>
    </row>
    <row r="863" spans="6:6">
      <c r="F863" s="102" t="str">
        <f t="shared" si="32"/>
        <v/>
      </c>
    </row>
    <row r="864" spans="6:6">
      <c r="F864" s="102" t="str">
        <f t="shared" si="32"/>
        <v/>
      </c>
    </row>
    <row r="865" spans="6:6">
      <c r="F865" s="102" t="str">
        <f t="shared" si="32"/>
        <v/>
      </c>
    </row>
    <row r="866" spans="6:6">
      <c r="F866" s="102" t="str">
        <f t="shared" si="32"/>
        <v/>
      </c>
    </row>
    <row r="867" spans="6:6">
      <c r="F867" s="102" t="str">
        <f t="shared" si="32"/>
        <v/>
      </c>
    </row>
    <row r="868" spans="6:6">
      <c r="F868" s="102" t="str">
        <f t="shared" si="32"/>
        <v/>
      </c>
    </row>
    <row r="869" spans="6:6">
      <c r="F869" s="102" t="str">
        <f t="shared" si="32"/>
        <v/>
      </c>
    </row>
    <row r="870" spans="6:6">
      <c r="F870" s="102" t="str">
        <f t="shared" si="32"/>
        <v/>
      </c>
    </row>
    <row r="871" spans="6:6">
      <c r="F871" s="102" t="str">
        <f t="shared" si="32"/>
        <v/>
      </c>
    </row>
    <row r="872" spans="6:6">
      <c r="F872" s="102" t="str">
        <f t="shared" si="32"/>
        <v/>
      </c>
    </row>
    <row r="873" spans="6:6">
      <c r="F873" s="102" t="str">
        <f t="shared" si="32"/>
        <v/>
      </c>
    </row>
    <row r="874" spans="6:6">
      <c r="F874" s="102" t="str">
        <f t="shared" si="32"/>
        <v/>
      </c>
    </row>
    <row r="875" spans="6:6">
      <c r="F875" s="102" t="str">
        <f t="shared" si="32"/>
        <v/>
      </c>
    </row>
    <row r="876" spans="6:6">
      <c r="F876" s="102" t="str">
        <f t="shared" si="32"/>
        <v/>
      </c>
    </row>
    <row r="877" spans="6:6">
      <c r="F877" s="102" t="str">
        <f t="shared" si="32"/>
        <v/>
      </c>
    </row>
    <row r="878" spans="6:6">
      <c r="F878" s="102" t="str">
        <f t="shared" si="32"/>
        <v/>
      </c>
    </row>
    <row r="879" spans="6:6">
      <c r="F879" s="102" t="str">
        <f t="shared" si="32"/>
        <v/>
      </c>
    </row>
    <row r="880" spans="6:6">
      <c r="F880" s="102" t="str">
        <f t="shared" si="32"/>
        <v/>
      </c>
    </row>
    <row r="881" spans="6:6">
      <c r="F881" s="102" t="str">
        <f t="shared" si="32"/>
        <v/>
      </c>
    </row>
    <row r="882" spans="6:6">
      <c r="F882" s="102" t="str">
        <f t="shared" si="32"/>
        <v/>
      </c>
    </row>
    <row r="883" spans="6:6">
      <c r="F883" s="102" t="str">
        <f t="shared" si="32"/>
        <v/>
      </c>
    </row>
    <row r="884" spans="6:6">
      <c r="F884" s="102" t="str">
        <f t="shared" si="32"/>
        <v/>
      </c>
    </row>
    <row r="885" spans="6:6">
      <c r="F885" s="102" t="str">
        <f t="shared" si="32"/>
        <v/>
      </c>
    </row>
    <row r="886" spans="6:6">
      <c r="F886" s="102" t="str">
        <f t="shared" si="32"/>
        <v/>
      </c>
    </row>
    <row r="887" spans="6:6">
      <c r="F887" s="102" t="str">
        <f t="shared" si="32"/>
        <v/>
      </c>
    </row>
    <row r="888" spans="6:6">
      <c r="F888" s="102" t="str">
        <f t="shared" si="32"/>
        <v/>
      </c>
    </row>
    <row r="889" spans="6:6">
      <c r="F889" s="102" t="str">
        <f t="shared" si="32"/>
        <v/>
      </c>
    </row>
    <row r="890" spans="6:6">
      <c r="F890" s="102" t="str">
        <f t="shared" si="32"/>
        <v/>
      </c>
    </row>
    <row r="891" spans="6:6">
      <c r="F891" s="102" t="str">
        <f t="shared" si="32"/>
        <v/>
      </c>
    </row>
    <row r="892" spans="6:6">
      <c r="F892" s="102" t="str">
        <f t="shared" si="32"/>
        <v/>
      </c>
    </row>
    <row r="893" spans="6:6">
      <c r="F893" s="102" t="str">
        <f t="shared" si="32"/>
        <v/>
      </c>
    </row>
    <row r="894" spans="6:6">
      <c r="F894" s="102" t="str">
        <f t="shared" si="32"/>
        <v/>
      </c>
    </row>
    <row r="895" spans="6:6">
      <c r="F895" s="102" t="str">
        <f t="shared" si="32"/>
        <v/>
      </c>
    </row>
    <row r="896" spans="6:6">
      <c r="F896" s="102" t="str">
        <f t="shared" si="32"/>
        <v/>
      </c>
    </row>
    <row r="897" spans="6:6">
      <c r="F897" s="102" t="str">
        <f t="shared" si="32"/>
        <v/>
      </c>
    </row>
    <row r="898" spans="6:6">
      <c r="F898" s="102" t="str">
        <f t="shared" si="32"/>
        <v/>
      </c>
    </row>
    <row r="899" spans="6:6">
      <c r="F899" s="102" t="str">
        <f t="shared" ref="F899:F962" si="33">UPPER(LEFT(B899,1)) &amp; IFERROR(UPPER(LEFT(MID(B899,FIND(" ",B899)+1,LEN(B899)),1)),"") &amp; IFERROR(UPPER(LEFT(MID(B899,FIND(" ",B899,FIND(" ",B899)+1)+1,LEN(B899)),1)),"") &amp; IFERROR(UPPER(LEFT(MID(B899,FIND(" ",B899,FIND(" ",B899,FIND(" ",B899)+1)+1)+1,LEN(B899)),1)),"")</f>
        <v/>
      </c>
    </row>
    <row r="900" spans="6:6">
      <c r="F900" s="102" t="str">
        <f t="shared" si="33"/>
        <v/>
      </c>
    </row>
    <row r="901" spans="6:6">
      <c r="F901" s="102" t="str">
        <f t="shared" si="33"/>
        <v/>
      </c>
    </row>
    <row r="902" spans="6:6">
      <c r="F902" s="102" t="str">
        <f t="shared" si="33"/>
        <v/>
      </c>
    </row>
    <row r="903" spans="6:6">
      <c r="F903" s="102" t="str">
        <f t="shared" si="33"/>
        <v/>
      </c>
    </row>
    <row r="904" spans="6:6">
      <c r="F904" s="102" t="str">
        <f t="shared" si="33"/>
        <v/>
      </c>
    </row>
    <row r="905" spans="6:6">
      <c r="F905" s="102" t="str">
        <f t="shared" si="33"/>
        <v/>
      </c>
    </row>
    <row r="906" spans="6:6">
      <c r="F906" s="102" t="str">
        <f t="shared" si="33"/>
        <v/>
      </c>
    </row>
    <row r="907" spans="6:6">
      <c r="F907" s="102" t="str">
        <f t="shared" si="33"/>
        <v/>
      </c>
    </row>
    <row r="908" spans="6:6">
      <c r="F908" s="102" t="str">
        <f t="shared" si="33"/>
        <v/>
      </c>
    </row>
    <row r="909" spans="6:6">
      <c r="F909" s="102" t="str">
        <f t="shared" si="33"/>
        <v/>
      </c>
    </row>
    <row r="910" spans="6:6">
      <c r="F910" s="102" t="str">
        <f t="shared" si="33"/>
        <v/>
      </c>
    </row>
    <row r="911" spans="6:6">
      <c r="F911" s="102" t="str">
        <f t="shared" si="33"/>
        <v/>
      </c>
    </row>
    <row r="912" spans="6:6">
      <c r="F912" s="102" t="str">
        <f t="shared" si="33"/>
        <v/>
      </c>
    </row>
    <row r="913" spans="6:6">
      <c r="F913" s="102" t="str">
        <f t="shared" si="33"/>
        <v/>
      </c>
    </row>
    <row r="914" spans="6:6">
      <c r="F914" s="102" t="str">
        <f t="shared" si="33"/>
        <v/>
      </c>
    </row>
    <row r="915" spans="6:6">
      <c r="F915" s="102" t="str">
        <f t="shared" si="33"/>
        <v/>
      </c>
    </row>
    <row r="916" spans="6:6">
      <c r="F916" s="102" t="str">
        <f t="shared" si="33"/>
        <v/>
      </c>
    </row>
    <row r="917" spans="6:6">
      <c r="F917" s="102" t="str">
        <f t="shared" si="33"/>
        <v/>
      </c>
    </row>
    <row r="918" spans="6:6">
      <c r="F918" s="102" t="str">
        <f t="shared" si="33"/>
        <v/>
      </c>
    </row>
    <row r="919" spans="6:6">
      <c r="F919" s="102" t="str">
        <f t="shared" si="33"/>
        <v/>
      </c>
    </row>
    <row r="920" spans="6:6">
      <c r="F920" s="102" t="str">
        <f t="shared" si="33"/>
        <v/>
      </c>
    </row>
    <row r="921" spans="6:6">
      <c r="F921" s="102" t="str">
        <f t="shared" si="33"/>
        <v/>
      </c>
    </row>
    <row r="922" spans="6:6">
      <c r="F922" s="102" t="str">
        <f t="shared" si="33"/>
        <v/>
      </c>
    </row>
    <row r="923" spans="6:6">
      <c r="F923" s="102" t="str">
        <f t="shared" si="33"/>
        <v/>
      </c>
    </row>
    <row r="924" spans="6:6">
      <c r="F924" s="102" t="str">
        <f t="shared" si="33"/>
        <v/>
      </c>
    </row>
    <row r="925" spans="6:6">
      <c r="F925" s="102" t="str">
        <f t="shared" si="33"/>
        <v/>
      </c>
    </row>
    <row r="926" spans="6:6">
      <c r="F926" s="102" t="str">
        <f t="shared" si="33"/>
        <v/>
      </c>
    </row>
    <row r="927" spans="6:6">
      <c r="F927" s="102" t="str">
        <f t="shared" si="33"/>
        <v/>
      </c>
    </row>
    <row r="928" spans="6:6">
      <c r="F928" s="102" t="str">
        <f t="shared" si="33"/>
        <v/>
      </c>
    </row>
    <row r="929" spans="6:6">
      <c r="F929" s="102" t="str">
        <f t="shared" si="33"/>
        <v/>
      </c>
    </row>
    <row r="930" spans="6:6">
      <c r="F930" s="102" t="str">
        <f t="shared" si="33"/>
        <v/>
      </c>
    </row>
    <row r="931" spans="6:6">
      <c r="F931" s="102" t="str">
        <f t="shared" si="33"/>
        <v/>
      </c>
    </row>
    <row r="932" spans="6:6">
      <c r="F932" s="102" t="str">
        <f t="shared" si="33"/>
        <v/>
      </c>
    </row>
    <row r="933" spans="6:6">
      <c r="F933" s="102" t="str">
        <f t="shared" si="33"/>
        <v/>
      </c>
    </row>
    <row r="934" spans="6:6">
      <c r="F934" s="102" t="str">
        <f t="shared" si="33"/>
        <v/>
      </c>
    </row>
    <row r="935" spans="6:6">
      <c r="F935" s="102" t="str">
        <f t="shared" si="33"/>
        <v/>
      </c>
    </row>
    <row r="936" spans="6:6">
      <c r="F936" s="102" t="str">
        <f t="shared" si="33"/>
        <v/>
      </c>
    </row>
    <row r="937" spans="6:6">
      <c r="F937" s="102" t="str">
        <f t="shared" si="33"/>
        <v/>
      </c>
    </row>
    <row r="938" spans="6:6">
      <c r="F938" s="102" t="str">
        <f t="shared" si="33"/>
        <v/>
      </c>
    </row>
    <row r="939" spans="6:6">
      <c r="F939" s="102" t="str">
        <f t="shared" si="33"/>
        <v/>
      </c>
    </row>
    <row r="940" spans="6:6">
      <c r="F940" s="102" t="str">
        <f t="shared" si="33"/>
        <v/>
      </c>
    </row>
    <row r="941" spans="6:6">
      <c r="F941" s="102" t="str">
        <f t="shared" si="33"/>
        <v/>
      </c>
    </row>
    <row r="942" spans="6:6">
      <c r="F942" s="102" t="str">
        <f t="shared" si="33"/>
        <v/>
      </c>
    </row>
    <row r="943" spans="6:6">
      <c r="F943" s="102" t="str">
        <f t="shared" si="33"/>
        <v/>
      </c>
    </row>
    <row r="944" spans="6:6">
      <c r="F944" s="102" t="str">
        <f t="shared" si="33"/>
        <v/>
      </c>
    </row>
    <row r="945" spans="6:6">
      <c r="F945" s="102" t="str">
        <f t="shared" si="33"/>
        <v/>
      </c>
    </row>
    <row r="946" spans="6:6">
      <c r="F946" s="102" t="str">
        <f t="shared" si="33"/>
        <v/>
      </c>
    </row>
    <row r="947" spans="6:6">
      <c r="F947" s="102" t="str">
        <f t="shared" si="33"/>
        <v/>
      </c>
    </row>
    <row r="948" spans="6:6">
      <c r="F948" s="102" t="str">
        <f t="shared" si="33"/>
        <v/>
      </c>
    </row>
    <row r="949" spans="6:6">
      <c r="F949" s="102" t="str">
        <f t="shared" si="33"/>
        <v/>
      </c>
    </row>
    <row r="950" spans="6:6">
      <c r="F950" s="102" t="str">
        <f t="shared" si="33"/>
        <v/>
      </c>
    </row>
    <row r="951" spans="6:6">
      <c r="F951" s="102" t="str">
        <f t="shared" si="33"/>
        <v/>
      </c>
    </row>
    <row r="952" spans="6:6">
      <c r="F952" s="102" t="str">
        <f t="shared" si="33"/>
        <v/>
      </c>
    </row>
    <row r="953" spans="6:6">
      <c r="F953" s="102" t="str">
        <f t="shared" si="33"/>
        <v/>
      </c>
    </row>
    <row r="954" spans="6:6">
      <c r="F954" s="102" t="str">
        <f t="shared" si="33"/>
        <v/>
      </c>
    </row>
    <row r="955" spans="6:6">
      <c r="F955" s="102" t="str">
        <f t="shared" si="33"/>
        <v/>
      </c>
    </row>
    <row r="956" spans="6:6">
      <c r="F956" s="102" t="str">
        <f t="shared" si="33"/>
        <v/>
      </c>
    </row>
    <row r="957" spans="6:6">
      <c r="F957" s="102" t="str">
        <f t="shared" si="33"/>
        <v/>
      </c>
    </row>
    <row r="958" spans="6:6">
      <c r="F958" s="102" t="str">
        <f t="shared" si="33"/>
        <v/>
      </c>
    </row>
    <row r="959" spans="6:6">
      <c r="F959" s="102" t="str">
        <f t="shared" si="33"/>
        <v/>
      </c>
    </row>
    <row r="960" spans="6:6">
      <c r="F960" s="102" t="str">
        <f t="shared" si="33"/>
        <v/>
      </c>
    </row>
    <row r="961" spans="6:6">
      <c r="F961" s="102" t="str">
        <f t="shared" si="33"/>
        <v/>
      </c>
    </row>
    <row r="962" spans="6:6">
      <c r="F962" s="102" t="str">
        <f t="shared" si="33"/>
        <v/>
      </c>
    </row>
    <row r="963" spans="6:6">
      <c r="F963" s="102" t="str">
        <f t="shared" ref="F963:F1026" si="34">UPPER(LEFT(B963,1)) &amp; IFERROR(UPPER(LEFT(MID(B963,FIND(" ",B963)+1,LEN(B963)),1)),"") &amp; IFERROR(UPPER(LEFT(MID(B963,FIND(" ",B963,FIND(" ",B963)+1)+1,LEN(B963)),1)),"") &amp; IFERROR(UPPER(LEFT(MID(B963,FIND(" ",B963,FIND(" ",B963,FIND(" ",B963)+1)+1)+1,LEN(B963)),1)),"")</f>
        <v/>
      </c>
    </row>
    <row r="964" spans="6:6">
      <c r="F964" s="102" t="str">
        <f t="shared" si="34"/>
        <v/>
      </c>
    </row>
    <row r="965" spans="6:6">
      <c r="F965" s="102" t="str">
        <f t="shared" si="34"/>
        <v/>
      </c>
    </row>
    <row r="966" spans="6:6">
      <c r="F966" s="102" t="str">
        <f t="shared" si="34"/>
        <v/>
      </c>
    </row>
    <row r="967" spans="6:6">
      <c r="F967" s="102" t="str">
        <f t="shared" si="34"/>
        <v/>
      </c>
    </row>
    <row r="968" spans="6:6">
      <c r="F968" s="102" t="str">
        <f t="shared" si="34"/>
        <v/>
      </c>
    </row>
    <row r="969" spans="6:6">
      <c r="F969" s="102" t="str">
        <f t="shared" si="34"/>
        <v/>
      </c>
    </row>
    <row r="970" spans="6:6">
      <c r="F970" s="102" t="str">
        <f t="shared" si="34"/>
        <v/>
      </c>
    </row>
    <row r="971" spans="6:6">
      <c r="F971" s="102" t="str">
        <f t="shared" si="34"/>
        <v/>
      </c>
    </row>
    <row r="972" spans="6:6">
      <c r="F972" s="102" t="str">
        <f t="shared" si="34"/>
        <v/>
      </c>
    </row>
    <row r="973" spans="6:6">
      <c r="F973" s="102" t="str">
        <f t="shared" si="34"/>
        <v/>
      </c>
    </row>
    <row r="974" spans="6:6">
      <c r="F974" s="102" t="str">
        <f t="shared" si="34"/>
        <v/>
      </c>
    </row>
    <row r="975" spans="6:6">
      <c r="F975" s="102" t="str">
        <f t="shared" si="34"/>
        <v/>
      </c>
    </row>
    <row r="976" spans="6:6">
      <c r="F976" s="102" t="str">
        <f t="shared" si="34"/>
        <v/>
      </c>
    </row>
    <row r="977" spans="6:6">
      <c r="F977" s="102" t="str">
        <f t="shared" si="34"/>
        <v/>
      </c>
    </row>
    <row r="978" spans="6:6">
      <c r="F978" s="102" t="str">
        <f t="shared" si="34"/>
        <v/>
      </c>
    </row>
    <row r="979" spans="6:6">
      <c r="F979" s="102" t="str">
        <f t="shared" si="34"/>
        <v/>
      </c>
    </row>
    <row r="980" spans="6:6">
      <c r="F980" s="102" t="str">
        <f t="shared" si="34"/>
        <v/>
      </c>
    </row>
    <row r="981" spans="6:6">
      <c r="F981" s="102" t="str">
        <f t="shared" si="34"/>
        <v/>
      </c>
    </row>
    <row r="982" spans="6:6">
      <c r="F982" s="102" t="str">
        <f t="shared" si="34"/>
        <v/>
      </c>
    </row>
    <row r="983" spans="6:6">
      <c r="F983" s="102" t="str">
        <f t="shared" si="34"/>
        <v/>
      </c>
    </row>
    <row r="984" spans="6:6">
      <c r="F984" s="102" t="str">
        <f t="shared" si="34"/>
        <v/>
      </c>
    </row>
    <row r="985" spans="6:6">
      <c r="F985" s="102" t="str">
        <f t="shared" si="34"/>
        <v/>
      </c>
    </row>
    <row r="986" spans="6:6">
      <c r="F986" s="102" t="str">
        <f t="shared" si="34"/>
        <v/>
      </c>
    </row>
    <row r="987" spans="6:6">
      <c r="F987" s="102" t="str">
        <f t="shared" si="34"/>
        <v/>
      </c>
    </row>
    <row r="988" spans="6:6">
      <c r="F988" s="102" t="str">
        <f t="shared" si="34"/>
        <v/>
      </c>
    </row>
    <row r="989" spans="6:6">
      <c r="F989" s="102" t="str">
        <f t="shared" si="34"/>
        <v/>
      </c>
    </row>
    <row r="990" spans="6:6">
      <c r="F990" s="102" t="str">
        <f t="shared" si="34"/>
        <v/>
      </c>
    </row>
    <row r="991" spans="6:6">
      <c r="F991" s="102" t="str">
        <f t="shared" si="34"/>
        <v/>
      </c>
    </row>
    <row r="992" spans="6:6">
      <c r="F992" s="102" t="str">
        <f t="shared" si="34"/>
        <v/>
      </c>
    </row>
    <row r="993" spans="6:6">
      <c r="F993" s="102" t="str">
        <f t="shared" si="34"/>
        <v/>
      </c>
    </row>
    <row r="994" spans="6:6">
      <c r="F994" s="102" t="str">
        <f t="shared" si="34"/>
        <v/>
      </c>
    </row>
    <row r="995" spans="6:6">
      <c r="F995" s="102" t="str">
        <f t="shared" si="34"/>
        <v/>
      </c>
    </row>
    <row r="996" spans="6:6">
      <c r="F996" s="102" t="str">
        <f t="shared" si="34"/>
        <v/>
      </c>
    </row>
    <row r="997" spans="6:6">
      <c r="F997" s="102" t="str">
        <f t="shared" si="34"/>
        <v/>
      </c>
    </row>
    <row r="998" spans="6:6">
      <c r="F998" s="102" t="str">
        <f t="shared" si="34"/>
        <v/>
      </c>
    </row>
    <row r="999" spans="6:6">
      <c r="F999" s="102" t="str">
        <f t="shared" si="34"/>
        <v/>
      </c>
    </row>
    <row r="1000" spans="6:6">
      <c r="F1000" s="102" t="str">
        <f t="shared" si="34"/>
        <v/>
      </c>
    </row>
    <row r="1001" spans="6:6">
      <c r="F1001" s="102" t="str">
        <f t="shared" si="34"/>
        <v/>
      </c>
    </row>
    <row r="1002" spans="6:6">
      <c r="F1002" s="102" t="str">
        <f t="shared" si="34"/>
        <v/>
      </c>
    </row>
    <row r="1003" spans="6:6">
      <c r="F1003" s="102" t="str">
        <f t="shared" si="34"/>
        <v/>
      </c>
    </row>
    <row r="1004" spans="6:6">
      <c r="F1004" s="102" t="str">
        <f t="shared" si="34"/>
        <v/>
      </c>
    </row>
    <row r="1005" spans="6:6">
      <c r="F1005" s="102" t="str">
        <f t="shared" si="34"/>
        <v/>
      </c>
    </row>
    <row r="1006" spans="6:6">
      <c r="F1006" s="102" t="str">
        <f t="shared" si="34"/>
        <v/>
      </c>
    </row>
    <row r="1007" spans="6:6">
      <c r="F1007" s="102" t="str">
        <f t="shared" si="34"/>
        <v/>
      </c>
    </row>
    <row r="1008" spans="6:6">
      <c r="F1008" s="102" t="str">
        <f t="shared" si="34"/>
        <v/>
      </c>
    </row>
    <row r="1009" spans="6:6">
      <c r="F1009" s="102" t="str">
        <f t="shared" si="34"/>
        <v/>
      </c>
    </row>
    <row r="1010" spans="6:6">
      <c r="F1010" s="102" t="str">
        <f t="shared" si="34"/>
        <v/>
      </c>
    </row>
    <row r="1011" spans="6:6">
      <c r="F1011" s="102" t="str">
        <f t="shared" si="34"/>
        <v/>
      </c>
    </row>
    <row r="1012" spans="6:6">
      <c r="F1012" s="102" t="str">
        <f t="shared" si="34"/>
        <v/>
      </c>
    </row>
    <row r="1013" spans="6:6">
      <c r="F1013" s="102" t="str">
        <f t="shared" si="34"/>
        <v/>
      </c>
    </row>
    <row r="1014" spans="6:6">
      <c r="F1014" s="102" t="str">
        <f t="shared" si="34"/>
        <v/>
      </c>
    </row>
    <row r="1015" spans="6:6">
      <c r="F1015" s="102" t="str">
        <f t="shared" si="34"/>
        <v/>
      </c>
    </row>
    <row r="1016" spans="6:6">
      <c r="F1016" s="102" t="str">
        <f t="shared" si="34"/>
        <v/>
      </c>
    </row>
    <row r="1017" spans="6:6">
      <c r="F1017" s="102" t="str">
        <f t="shared" si="34"/>
        <v/>
      </c>
    </row>
    <row r="1018" spans="6:6">
      <c r="F1018" s="102" t="str">
        <f t="shared" si="34"/>
        <v/>
      </c>
    </row>
    <row r="1019" spans="6:6">
      <c r="F1019" s="102" t="str">
        <f t="shared" si="34"/>
        <v/>
      </c>
    </row>
    <row r="1020" spans="6:6">
      <c r="F1020" s="102" t="str">
        <f t="shared" si="34"/>
        <v/>
      </c>
    </row>
    <row r="1021" spans="6:6">
      <c r="F1021" s="102" t="str">
        <f t="shared" si="34"/>
        <v/>
      </c>
    </row>
    <row r="1022" spans="6:6">
      <c r="F1022" s="102" t="str">
        <f t="shared" si="34"/>
        <v/>
      </c>
    </row>
    <row r="1023" spans="6:6">
      <c r="F1023" s="102" t="str">
        <f t="shared" si="34"/>
        <v/>
      </c>
    </row>
    <row r="1024" spans="6:6">
      <c r="F1024" s="102" t="str">
        <f t="shared" si="34"/>
        <v/>
      </c>
    </row>
    <row r="1025" spans="6:6">
      <c r="F1025" s="102" t="str">
        <f t="shared" si="34"/>
        <v/>
      </c>
    </row>
    <row r="1026" spans="6:6">
      <c r="F1026" s="102" t="str">
        <f t="shared" si="34"/>
        <v/>
      </c>
    </row>
    <row r="1027" spans="6:6">
      <c r="F1027" s="102" t="str">
        <f t="shared" ref="F1027:F1090" si="35">UPPER(LEFT(B1027,1)) &amp; IFERROR(UPPER(LEFT(MID(B1027,FIND(" ",B1027)+1,LEN(B1027)),1)),"") &amp; IFERROR(UPPER(LEFT(MID(B1027,FIND(" ",B1027,FIND(" ",B1027)+1)+1,LEN(B1027)),1)),"") &amp; IFERROR(UPPER(LEFT(MID(B1027,FIND(" ",B1027,FIND(" ",B1027,FIND(" ",B1027)+1)+1)+1,LEN(B1027)),1)),"")</f>
        <v/>
      </c>
    </row>
    <row r="1028" spans="6:6">
      <c r="F1028" s="102" t="str">
        <f t="shared" si="35"/>
        <v/>
      </c>
    </row>
    <row r="1029" spans="6:6">
      <c r="F1029" s="102" t="str">
        <f t="shared" si="35"/>
        <v/>
      </c>
    </row>
    <row r="1030" spans="6:6">
      <c r="F1030" s="102" t="str">
        <f t="shared" si="35"/>
        <v/>
      </c>
    </row>
    <row r="1031" spans="6:6">
      <c r="F1031" s="102" t="str">
        <f t="shared" si="35"/>
        <v/>
      </c>
    </row>
    <row r="1032" spans="6:6">
      <c r="F1032" s="102" t="str">
        <f t="shared" si="35"/>
        <v/>
      </c>
    </row>
    <row r="1033" spans="6:6">
      <c r="F1033" s="102" t="str">
        <f t="shared" si="35"/>
        <v/>
      </c>
    </row>
    <row r="1034" spans="6:6">
      <c r="F1034" s="102" t="str">
        <f t="shared" si="35"/>
        <v/>
      </c>
    </row>
    <row r="1035" spans="6:6">
      <c r="F1035" s="102" t="str">
        <f t="shared" si="35"/>
        <v/>
      </c>
    </row>
    <row r="1036" spans="6:6">
      <c r="F1036" s="102" t="str">
        <f t="shared" si="35"/>
        <v/>
      </c>
    </row>
    <row r="1037" spans="6:6">
      <c r="F1037" s="102" t="str">
        <f t="shared" si="35"/>
        <v/>
      </c>
    </row>
    <row r="1038" spans="6:6">
      <c r="F1038" s="102" t="str">
        <f t="shared" si="35"/>
        <v/>
      </c>
    </row>
    <row r="1039" spans="6:6">
      <c r="F1039" s="102" t="str">
        <f t="shared" si="35"/>
        <v/>
      </c>
    </row>
    <row r="1040" spans="6:6">
      <c r="F1040" s="102" t="str">
        <f t="shared" si="35"/>
        <v/>
      </c>
    </row>
    <row r="1041" spans="6:6">
      <c r="F1041" s="102" t="str">
        <f t="shared" si="35"/>
        <v/>
      </c>
    </row>
    <row r="1042" spans="6:6">
      <c r="F1042" s="102" t="str">
        <f t="shared" si="35"/>
        <v/>
      </c>
    </row>
    <row r="1043" spans="6:6">
      <c r="F1043" s="102" t="str">
        <f t="shared" si="35"/>
        <v/>
      </c>
    </row>
    <row r="1044" spans="6:6">
      <c r="F1044" s="102" t="str">
        <f t="shared" si="35"/>
        <v/>
      </c>
    </row>
    <row r="1045" spans="6:6">
      <c r="F1045" s="102" t="str">
        <f t="shared" si="35"/>
        <v/>
      </c>
    </row>
    <row r="1046" spans="6:6">
      <c r="F1046" s="102" t="str">
        <f t="shared" si="35"/>
        <v/>
      </c>
    </row>
    <row r="1047" spans="6:6">
      <c r="F1047" s="102" t="str">
        <f t="shared" si="35"/>
        <v/>
      </c>
    </row>
    <row r="1048" spans="6:6">
      <c r="F1048" s="102" t="str">
        <f t="shared" si="35"/>
        <v/>
      </c>
    </row>
    <row r="1049" spans="6:6">
      <c r="F1049" s="102" t="str">
        <f t="shared" si="35"/>
        <v/>
      </c>
    </row>
    <row r="1050" spans="6:6">
      <c r="F1050" s="102" t="str">
        <f t="shared" si="35"/>
        <v/>
      </c>
    </row>
    <row r="1051" spans="6:6">
      <c r="F1051" s="102" t="str">
        <f t="shared" si="35"/>
        <v/>
      </c>
    </row>
    <row r="1052" spans="6:6">
      <c r="F1052" s="102" t="str">
        <f t="shared" si="35"/>
        <v/>
      </c>
    </row>
    <row r="1053" spans="6:6">
      <c r="F1053" s="102" t="str">
        <f t="shared" si="35"/>
        <v/>
      </c>
    </row>
    <row r="1054" spans="6:6">
      <c r="F1054" s="102" t="str">
        <f t="shared" si="35"/>
        <v/>
      </c>
    </row>
    <row r="1055" spans="6:6">
      <c r="F1055" s="102" t="str">
        <f t="shared" si="35"/>
        <v/>
      </c>
    </row>
    <row r="1056" spans="6:6">
      <c r="F1056" s="102" t="str">
        <f t="shared" si="35"/>
        <v/>
      </c>
    </row>
    <row r="1057" spans="6:6">
      <c r="F1057" s="102" t="str">
        <f t="shared" si="35"/>
        <v/>
      </c>
    </row>
    <row r="1058" spans="6:6">
      <c r="F1058" s="102" t="str">
        <f t="shared" si="35"/>
        <v/>
      </c>
    </row>
    <row r="1059" spans="6:6">
      <c r="F1059" s="102" t="str">
        <f t="shared" si="35"/>
        <v/>
      </c>
    </row>
    <row r="1060" spans="6:6">
      <c r="F1060" s="102" t="str">
        <f t="shared" si="35"/>
        <v/>
      </c>
    </row>
    <row r="1061" spans="6:6">
      <c r="F1061" s="102" t="str">
        <f t="shared" si="35"/>
        <v/>
      </c>
    </row>
    <row r="1062" spans="6:6">
      <c r="F1062" s="102" t="str">
        <f t="shared" si="35"/>
        <v/>
      </c>
    </row>
    <row r="1063" spans="6:6">
      <c r="F1063" s="102" t="str">
        <f t="shared" si="35"/>
        <v/>
      </c>
    </row>
    <row r="1064" spans="6:6">
      <c r="F1064" s="102" t="str">
        <f t="shared" si="35"/>
        <v/>
      </c>
    </row>
    <row r="1065" spans="6:6">
      <c r="F1065" s="102" t="str">
        <f t="shared" si="35"/>
        <v/>
      </c>
    </row>
    <row r="1066" spans="6:6">
      <c r="F1066" s="102" t="str">
        <f t="shared" si="35"/>
        <v/>
      </c>
    </row>
    <row r="1067" spans="6:6">
      <c r="F1067" s="102" t="str">
        <f t="shared" si="35"/>
        <v/>
      </c>
    </row>
    <row r="1068" spans="6:6">
      <c r="F1068" s="102" t="str">
        <f t="shared" si="35"/>
        <v/>
      </c>
    </row>
    <row r="1069" spans="6:6">
      <c r="F1069" s="102" t="str">
        <f t="shared" si="35"/>
        <v/>
      </c>
    </row>
    <row r="1070" spans="6:6">
      <c r="F1070" s="102" t="str">
        <f t="shared" si="35"/>
        <v/>
      </c>
    </row>
    <row r="1071" spans="6:6">
      <c r="F1071" s="102" t="str">
        <f t="shared" si="35"/>
        <v/>
      </c>
    </row>
    <row r="1072" spans="6:6">
      <c r="F1072" s="102" t="str">
        <f t="shared" si="35"/>
        <v/>
      </c>
    </row>
    <row r="1073" spans="6:6">
      <c r="F1073" s="102" t="str">
        <f t="shared" si="35"/>
        <v/>
      </c>
    </row>
    <row r="1074" spans="6:6">
      <c r="F1074" s="102" t="str">
        <f t="shared" si="35"/>
        <v/>
      </c>
    </row>
    <row r="1075" spans="6:6">
      <c r="F1075" s="102" t="str">
        <f t="shared" si="35"/>
        <v/>
      </c>
    </row>
    <row r="1076" spans="6:6">
      <c r="F1076" s="102" t="str">
        <f t="shared" si="35"/>
        <v/>
      </c>
    </row>
    <row r="1077" spans="6:6">
      <c r="F1077" s="102" t="str">
        <f t="shared" si="35"/>
        <v/>
      </c>
    </row>
    <row r="1078" spans="6:6">
      <c r="F1078" s="102" t="str">
        <f t="shared" si="35"/>
        <v/>
      </c>
    </row>
    <row r="1079" spans="6:6">
      <c r="F1079" s="102" t="str">
        <f t="shared" si="35"/>
        <v/>
      </c>
    </row>
    <row r="1080" spans="6:6">
      <c r="F1080" s="102" t="str">
        <f t="shared" si="35"/>
        <v/>
      </c>
    </row>
    <row r="1081" spans="6:6">
      <c r="F1081" s="102" t="str">
        <f t="shared" si="35"/>
        <v/>
      </c>
    </row>
    <row r="1082" spans="6:6">
      <c r="F1082" s="102" t="str">
        <f t="shared" si="35"/>
        <v/>
      </c>
    </row>
    <row r="1083" spans="6:6">
      <c r="F1083" s="102" t="str">
        <f t="shared" si="35"/>
        <v/>
      </c>
    </row>
    <row r="1084" spans="6:6">
      <c r="F1084" s="102" t="str">
        <f t="shared" si="35"/>
        <v/>
      </c>
    </row>
    <row r="1085" spans="6:6">
      <c r="F1085" s="102" t="str">
        <f t="shared" si="35"/>
        <v/>
      </c>
    </row>
    <row r="1086" spans="6:6">
      <c r="F1086" s="102" t="str">
        <f t="shared" si="35"/>
        <v/>
      </c>
    </row>
    <row r="1087" spans="6:6">
      <c r="F1087" s="102" t="str">
        <f t="shared" si="35"/>
        <v/>
      </c>
    </row>
    <row r="1088" spans="6:6">
      <c r="F1088" s="102" t="str">
        <f t="shared" si="35"/>
        <v/>
      </c>
    </row>
    <row r="1089" spans="6:6">
      <c r="F1089" s="102" t="str">
        <f t="shared" si="35"/>
        <v/>
      </c>
    </row>
    <row r="1090" spans="6:6">
      <c r="F1090" s="102" t="str">
        <f t="shared" si="35"/>
        <v/>
      </c>
    </row>
    <row r="1091" spans="6:6">
      <c r="F1091" s="102" t="str">
        <f t="shared" ref="F1091:F1154" si="36">UPPER(LEFT(B1091,1)) &amp; IFERROR(UPPER(LEFT(MID(B1091,FIND(" ",B1091)+1,LEN(B1091)),1)),"") &amp; IFERROR(UPPER(LEFT(MID(B1091,FIND(" ",B1091,FIND(" ",B1091)+1)+1,LEN(B1091)),1)),"") &amp; IFERROR(UPPER(LEFT(MID(B1091,FIND(" ",B1091,FIND(" ",B1091,FIND(" ",B1091)+1)+1)+1,LEN(B1091)),1)),"")</f>
        <v/>
      </c>
    </row>
    <row r="1092" spans="6:6">
      <c r="F1092" s="102" t="str">
        <f t="shared" si="36"/>
        <v/>
      </c>
    </row>
    <row r="1093" spans="6:6">
      <c r="F1093" s="102" t="str">
        <f t="shared" si="36"/>
        <v/>
      </c>
    </row>
    <row r="1094" spans="6:6">
      <c r="F1094" s="102" t="str">
        <f t="shared" si="36"/>
        <v/>
      </c>
    </row>
    <row r="1095" spans="6:6">
      <c r="F1095" s="102" t="str">
        <f t="shared" si="36"/>
        <v/>
      </c>
    </row>
    <row r="1096" spans="6:6">
      <c r="F1096" s="102" t="str">
        <f t="shared" si="36"/>
        <v/>
      </c>
    </row>
    <row r="1097" spans="6:6">
      <c r="F1097" s="102" t="str">
        <f t="shared" si="36"/>
        <v/>
      </c>
    </row>
    <row r="1098" spans="6:6">
      <c r="F1098" s="102" t="str">
        <f t="shared" si="36"/>
        <v/>
      </c>
    </row>
    <row r="1099" spans="6:6">
      <c r="F1099" s="102" t="str">
        <f t="shared" si="36"/>
        <v/>
      </c>
    </row>
    <row r="1100" spans="6:6">
      <c r="F1100" s="102" t="str">
        <f t="shared" si="36"/>
        <v/>
      </c>
    </row>
    <row r="1101" spans="6:6">
      <c r="F1101" s="102" t="str">
        <f t="shared" si="36"/>
        <v/>
      </c>
    </row>
    <row r="1102" spans="6:6">
      <c r="F1102" s="102" t="str">
        <f t="shared" si="36"/>
        <v/>
      </c>
    </row>
    <row r="1103" spans="6:6">
      <c r="F1103" s="102" t="str">
        <f t="shared" si="36"/>
        <v/>
      </c>
    </row>
    <row r="1104" spans="6:6">
      <c r="F1104" s="102" t="str">
        <f t="shared" si="36"/>
        <v/>
      </c>
    </row>
    <row r="1105" spans="6:6">
      <c r="F1105" s="102" t="str">
        <f t="shared" si="36"/>
        <v/>
      </c>
    </row>
    <row r="1106" spans="6:6">
      <c r="F1106" s="102" t="str">
        <f t="shared" si="36"/>
        <v/>
      </c>
    </row>
    <row r="1107" spans="6:6">
      <c r="F1107" s="102" t="str">
        <f t="shared" si="36"/>
        <v/>
      </c>
    </row>
    <row r="1108" spans="6:6">
      <c r="F1108" s="102" t="str">
        <f t="shared" si="36"/>
        <v/>
      </c>
    </row>
    <row r="1109" spans="6:6">
      <c r="F1109" s="102" t="str">
        <f t="shared" si="36"/>
        <v/>
      </c>
    </row>
    <row r="1110" spans="6:6">
      <c r="F1110" s="102" t="str">
        <f t="shared" si="36"/>
        <v/>
      </c>
    </row>
    <row r="1111" spans="6:6">
      <c r="F1111" s="102" t="str">
        <f t="shared" si="36"/>
        <v/>
      </c>
    </row>
    <row r="1112" spans="6:6">
      <c r="F1112" s="102" t="str">
        <f t="shared" si="36"/>
        <v/>
      </c>
    </row>
    <row r="1113" spans="6:6">
      <c r="F1113" s="102" t="str">
        <f t="shared" si="36"/>
        <v/>
      </c>
    </row>
    <row r="1114" spans="6:6">
      <c r="F1114" s="102" t="str">
        <f t="shared" si="36"/>
        <v/>
      </c>
    </row>
    <row r="1115" spans="6:6">
      <c r="F1115" s="102" t="str">
        <f t="shared" si="36"/>
        <v/>
      </c>
    </row>
    <row r="1116" spans="6:6">
      <c r="F1116" s="102" t="str">
        <f t="shared" si="36"/>
        <v/>
      </c>
    </row>
    <row r="1117" spans="6:6">
      <c r="F1117" s="102" t="str">
        <f t="shared" si="36"/>
        <v/>
      </c>
    </row>
    <row r="1118" spans="6:6">
      <c r="F1118" s="102" t="str">
        <f t="shared" si="36"/>
        <v/>
      </c>
    </row>
    <row r="1119" spans="6:6">
      <c r="F1119" s="102" t="str">
        <f t="shared" si="36"/>
        <v/>
      </c>
    </row>
    <row r="1120" spans="6:6">
      <c r="F1120" s="102" t="str">
        <f t="shared" si="36"/>
        <v/>
      </c>
    </row>
    <row r="1121" spans="6:6">
      <c r="F1121" s="102" t="str">
        <f t="shared" si="36"/>
        <v/>
      </c>
    </row>
    <row r="1122" spans="6:6">
      <c r="F1122" s="102" t="str">
        <f t="shared" si="36"/>
        <v/>
      </c>
    </row>
    <row r="1123" spans="6:6">
      <c r="F1123" s="102" t="str">
        <f t="shared" si="36"/>
        <v/>
      </c>
    </row>
    <row r="1124" spans="6:6">
      <c r="F1124" s="102" t="str">
        <f t="shared" si="36"/>
        <v/>
      </c>
    </row>
    <row r="1125" spans="6:6">
      <c r="F1125" s="102" t="str">
        <f t="shared" si="36"/>
        <v/>
      </c>
    </row>
    <row r="1126" spans="6:6">
      <c r="F1126" s="102" t="str">
        <f t="shared" si="36"/>
        <v/>
      </c>
    </row>
    <row r="1127" spans="6:6">
      <c r="F1127" s="102" t="str">
        <f t="shared" si="36"/>
        <v/>
      </c>
    </row>
    <row r="1128" spans="6:6">
      <c r="F1128" s="102" t="str">
        <f t="shared" si="36"/>
        <v/>
      </c>
    </row>
    <row r="1129" spans="6:6">
      <c r="F1129" s="102" t="str">
        <f t="shared" si="36"/>
        <v/>
      </c>
    </row>
    <row r="1130" spans="6:6">
      <c r="F1130" s="102" t="str">
        <f t="shared" si="36"/>
        <v/>
      </c>
    </row>
    <row r="1131" spans="6:6">
      <c r="F1131" s="102" t="str">
        <f t="shared" si="36"/>
        <v/>
      </c>
    </row>
    <row r="1132" spans="6:6">
      <c r="F1132" s="102" t="str">
        <f t="shared" si="36"/>
        <v/>
      </c>
    </row>
    <row r="1133" spans="6:6">
      <c r="F1133" s="102" t="str">
        <f t="shared" si="36"/>
        <v/>
      </c>
    </row>
    <row r="1134" spans="6:6">
      <c r="F1134" s="102" t="str">
        <f t="shared" si="36"/>
        <v/>
      </c>
    </row>
    <row r="1135" spans="6:6">
      <c r="F1135" s="102" t="str">
        <f t="shared" si="36"/>
        <v/>
      </c>
    </row>
    <row r="1136" spans="6:6">
      <c r="F1136" s="102" t="str">
        <f t="shared" si="36"/>
        <v/>
      </c>
    </row>
    <row r="1137" spans="6:6">
      <c r="F1137" s="102" t="str">
        <f t="shared" si="36"/>
        <v/>
      </c>
    </row>
    <row r="1138" spans="6:6">
      <c r="F1138" s="102" t="str">
        <f t="shared" si="36"/>
        <v/>
      </c>
    </row>
    <row r="1139" spans="6:6">
      <c r="F1139" s="102" t="str">
        <f t="shared" si="36"/>
        <v/>
      </c>
    </row>
    <row r="1140" spans="6:6">
      <c r="F1140" s="102" t="str">
        <f t="shared" si="36"/>
        <v/>
      </c>
    </row>
    <row r="1141" spans="6:6">
      <c r="F1141" s="102" t="str">
        <f t="shared" si="36"/>
        <v/>
      </c>
    </row>
    <row r="1142" spans="6:6">
      <c r="F1142" s="102" t="str">
        <f t="shared" si="36"/>
        <v/>
      </c>
    </row>
    <row r="1143" spans="6:6">
      <c r="F1143" s="102" t="str">
        <f t="shared" si="36"/>
        <v/>
      </c>
    </row>
    <row r="1144" spans="6:6">
      <c r="F1144" s="102" t="str">
        <f t="shared" si="36"/>
        <v/>
      </c>
    </row>
    <row r="1145" spans="6:6">
      <c r="F1145" s="102" t="str">
        <f t="shared" si="36"/>
        <v/>
      </c>
    </row>
    <row r="1146" spans="6:6">
      <c r="F1146" s="102" t="str">
        <f t="shared" si="36"/>
        <v/>
      </c>
    </row>
    <row r="1147" spans="6:6">
      <c r="F1147" s="102" t="str">
        <f t="shared" si="36"/>
        <v/>
      </c>
    </row>
    <row r="1148" spans="6:6">
      <c r="F1148" s="102" t="str">
        <f t="shared" si="36"/>
        <v/>
      </c>
    </row>
    <row r="1149" spans="6:6">
      <c r="F1149" s="102" t="str">
        <f t="shared" si="36"/>
        <v/>
      </c>
    </row>
    <row r="1150" spans="6:6">
      <c r="F1150" s="102" t="str">
        <f t="shared" si="36"/>
        <v/>
      </c>
    </row>
    <row r="1151" spans="6:6">
      <c r="F1151" s="102" t="str">
        <f t="shared" si="36"/>
        <v/>
      </c>
    </row>
    <row r="1152" spans="6:6">
      <c r="F1152" s="102" t="str">
        <f t="shared" si="36"/>
        <v/>
      </c>
    </row>
    <row r="1153" spans="6:6">
      <c r="F1153" s="102" t="str">
        <f t="shared" si="36"/>
        <v/>
      </c>
    </row>
    <row r="1154" spans="6:6">
      <c r="F1154" s="102" t="str">
        <f t="shared" si="36"/>
        <v/>
      </c>
    </row>
    <row r="1155" spans="6:6">
      <c r="F1155" s="102" t="str">
        <f t="shared" ref="F1155:F1218" si="37">UPPER(LEFT(B1155,1)) &amp; IFERROR(UPPER(LEFT(MID(B1155,FIND(" ",B1155)+1,LEN(B1155)),1)),"") &amp; IFERROR(UPPER(LEFT(MID(B1155,FIND(" ",B1155,FIND(" ",B1155)+1)+1,LEN(B1155)),1)),"") &amp; IFERROR(UPPER(LEFT(MID(B1155,FIND(" ",B1155,FIND(" ",B1155,FIND(" ",B1155)+1)+1)+1,LEN(B1155)),1)),"")</f>
        <v/>
      </c>
    </row>
    <row r="1156" spans="6:6">
      <c r="F1156" s="102" t="str">
        <f t="shared" si="37"/>
        <v/>
      </c>
    </row>
    <row r="1157" spans="6:6">
      <c r="F1157" s="102" t="str">
        <f t="shared" si="37"/>
        <v/>
      </c>
    </row>
    <row r="1158" spans="6:6">
      <c r="F1158" s="102" t="str">
        <f t="shared" si="37"/>
        <v/>
      </c>
    </row>
    <row r="1159" spans="6:6">
      <c r="F1159" s="102" t="str">
        <f t="shared" si="37"/>
        <v/>
      </c>
    </row>
    <row r="1160" spans="6:6">
      <c r="F1160" s="102" t="str">
        <f t="shared" si="37"/>
        <v/>
      </c>
    </row>
    <row r="1161" spans="6:6">
      <c r="F1161" s="102" t="str">
        <f t="shared" si="37"/>
        <v/>
      </c>
    </row>
    <row r="1162" spans="6:6">
      <c r="F1162" s="102" t="str">
        <f t="shared" si="37"/>
        <v/>
      </c>
    </row>
    <row r="1163" spans="6:6">
      <c r="F1163" s="102" t="str">
        <f t="shared" si="37"/>
        <v/>
      </c>
    </row>
    <row r="1164" spans="6:6">
      <c r="F1164" s="102" t="str">
        <f t="shared" si="37"/>
        <v/>
      </c>
    </row>
    <row r="1165" spans="6:6">
      <c r="F1165" s="102" t="str">
        <f t="shared" si="37"/>
        <v/>
      </c>
    </row>
    <row r="1166" spans="6:6">
      <c r="F1166" s="102" t="str">
        <f t="shared" si="37"/>
        <v/>
      </c>
    </row>
    <row r="1167" spans="6:6">
      <c r="F1167" s="102" t="str">
        <f t="shared" si="37"/>
        <v/>
      </c>
    </row>
    <row r="1168" spans="6:6">
      <c r="F1168" s="102" t="str">
        <f t="shared" si="37"/>
        <v/>
      </c>
    </row>
    <row r="1169" spans="6:6">
      <c r="F1169" s="102" t="str">
        <f t="shared" si="37"/>
        <v/>
      </c>
    </row>
    <row r="1170" spans="6:6">
      <c r="F1170" s="102" t="str">
        <f t="shared" si="37"/>
        <v/>
      </c>
    </row>
    <row r="1171" spans="6:6">
      <c r="F1171" s="102" t="str">
        <f t="shared" si="37"/>
        <v/>
      </c>
    </row>
    <row r="1172" spans="6:6">
      <c r="F1172" s="102" t="str">
        <f t="shared" si="37"/>
        <v/>
      </c>
    </row>
    <row r="1173" spans="6:6">
      <c r="F1173" s="102" t="str">
        <f t="shared" si="37"/>
        <v/>
      </c>
    </row>
    <row r="1174" spans="6:6">
      <c r="F1174" s="102" t="str">
        <f t="shared" si="37"/>
        <v/>
      </c>
    </row>
    <row r="1175" spans="6:6">
      <c r="F1175" s="102" t="str">
        <f t="shared" si="37"/>
        <v/>
      </c>
    </row>
    <row r="1176" spans="6:6">
      <c r="F1176" s="102" t="str">
        <f t="shared" si="37"/>
        <v/>
      </c>
    </row>
    <row r="1177" spans="6:6">
      <c r="F1177" s="102" t="str">
        <f t="shared" si="37"/>
        <v/>
      </c>
    </row>
    <row r="1178" spans="6:6">
      <c r="F1178" s="102" t="str">
        <f t="shared" si="37"/>
        <v/>
      </c>
    </row>
    <row r="1179" spans="6:6">
      <c r="F1179" s="102" t="str">
        <f t="shared" si="37"/>
        <v/>
      </c>
    </row>
    <row r="1180" spans="6:6">
      <c r="F1180" s="102" t="str">
        <f t="shared" si="37"/>
        <v/>
      </c>
    </row>
    <row r="1181" spans="6:6">
      <c r="F1181" s="102" t="str">
        <f t="shared" si="37"/>
        <v/>
      </c>
    </row>
    <row r="1182" spans="6:6">
      <c r="F1182" s="102" t="str">
        <f t="shared" si="37"/>
        <v/>
      </c>
    </row>
    <row r="1183" spans="6:6">
      <c r="F1183" s="102" t="str">
        <f t="shared" si="37"/>
        <v/>
      </c>
    </row>
    <row r="1184" spans="6:6">
      <c r="F1184" s="102" t="str">
        <f t="shared" si="37"/>
        <v/>
      </c>
    </row>
    <row r="1185" spans="6:6">
      <c r="F1185" s="102" t="str">
        <f t="shared" si="37"/>
        <v/>
      </c>
    </row>
    <row r="1186" spans="6:6">
      <c r="F1186" s="102" t="str">
        <f t="shared" si="37"/>
        <v/>
      </c>
    </row>
    <row r="1187" spans="6:6">
      <c r="F1187" s="102" t="str">
        <f t="shared" si="37"/>
        <v/>
      </c>
    </row>
    <row r="1188" spans="6:6">
      <c r="F1188" s="102" t="str">
        <f t="shared" si="37"/>
        <v/>
      </c>
    </row>
    <row r="1189" spans="6:6">
      <c r="F1189" s="102" t="str">
        <f t="shared" si="37"/>
        <v/>
      </c>
    </row>
    <row r="1190" spans="6:6">
      <c r="F1190" s="102" t="str">
        <f t="shared" si="37"/>
        <v/>
      </c>
    </row>
    <row r="1191" spans="6:6">
      <c r="F1191" s="102" t="str">
        <f t="shared" si="37"/>
        <v/>
      </c>
    </row>
    <row r="1192" spans="6:6">
      <c r="F1192" s="102" t="str">
        <f t="shared" si="37"/>
        <v/>
      </c>
    </row>
    <row r="1193" spans="6:6">
      <c r="F1193" s="102" t="str">
        <f t="shared" si="37"/>
        <v/>
      </c>
    </row>
    <row r="1194" spans="6:6">
      <c r="F1194" s="102" t="str">
        <f t="shared" si="37"/>
        <v/>
      </c>
    </row>
    <row r="1195" spans="6:6">
      <c r="F1195" s="102" t="str">
        <f t="shared" si="37"/>
        <v/>
      </c>
    </row>
    <row r="1196" spans="6:6">
      <c r="F1196" s="102" t="str">
        <f t="shared" si="37"/>
        <v/>
      </c>
    </row>
    <row r="1197" spans="6:6">
      <c r="F1197" s="102" t="str">
        <f t="shared" si="37"/>
        <v/>
      </c>
    </row>
    <row r="1198" spans="6:6">
      <c r="F1198" s="102" t="str">
        <f t="shared" si="37"/>
        <v/>
      </c>
    </row>
    <row r="1199" spans="6:6">
      <c r="F1199" s="102" t="str">
        <f t="shared" si="37"/>
        <v/>
      </c>
    </row>
    <row r="1200" spans="6:6">
      <c r="F1200" s="102" t="str">
        <f t="shared" si="37"/>
        <v/>
      </c>
    </row>
    <row r="1201" spans="6:6">
      <c r="F1201" s="102" t="str">
        <f t="shared" si="37"/>
        <v/>
      </c>
    </row>
    <row r="1202" spans="6:6">
      <c r="F1202" s="102" t="str">
        <f t="shared" si="37"/>
        <v/>
      </c>
    </row>
    <row r="1203" spans="6:6">
      <c r="F1203" s="102" t="str">
        <f t="shared" si="37"/>
        <v/>
      </c>
    </row>
    <row r="1204" spans="6:6">
      <c r="F1204" s="102" t="str">
        <f t="shared" si="37"/>
        <v/>
      </c>
    </row>
    <row r="1205" spans="6:6">
      <c r="F1205" s="102" t="str">
        <f t="shared" si="37"/>
        <v/>
      </c>
    </row>
    <row r="1206" spans="6:6">
      <c r="F1206" s="102" t="str">
        <f t="shared" si="37"/>
        <v/>
      </c>
    </row>
    <row r="1207" spans="6:6">
      <c r="F1207" s="102" t="str">
        <f t="shared" si="37"/>
        <v/>
      </c>
    </row>
    <row r="1208" spans="6:6">
      <c r="F1208" s="102" t="str">
        <f t="shared" si="37"/>
        <v/>
      </c>
    </row>
    <row r="1209" spans="6:6">
      <c r="F1209" s="102" t="str">
        <f t="shared" si="37"/>
        <v/>
      </c>
    </row>
    <row r="1210" spans="6:6">
      <c r="F1210" s="102" t="str">
        <f t="shared" si="37"/>
        <v/>
      </c>
    </row>
    <row r="1211" spans="6:6">
      <c r="F1211" s="102" t="str">
        <f t="shared" si="37"/>
        <v/>
      </c>
    </row>
    <row r="1212" spans="6:6">
      <c r="F1212" s="102" t="str">
        <f t="shared" si="37"/>
        <v/>
      </c>
    </row>
    <row r="1213" spans="6:6">
      <c r="F1213" s="102" t="str">
        <f t="shared" si="37"/>
        <v/>
      </c>
    </row>
    <row r="1214" spans="6:6">
      <c r="F1214" s="102" t="str">
        <f t="shared" si="37"/>
        <v/>
      </c>
    </row>
    <row r="1215" spans="6:6">
      <c r="F1215" s="102" t="str">
        <f t="shared" si="37"/>
        <v/>
      </c>
    </row>
    <row r="1216" spans="6:6">
      <c r="F1216" s="102" t="str">
        <f t="shared" si="37"/>
        <v/>
      </c>
    </row>
    <row r="1217" spans="6:6">
      <c r="F1217" s="102" t="str">
        <f t="shared" si="37"/>
        <v/>
      </c>
    </row>
    <row r="1218" spans="6:6">
      <c r="F1218" s="102" t="str">
        <f t="shared" si="37"/>
        <v/>
      </c>
    </row>
    <row r="1219" spans="6:6">
      <c r="F1219" s="102" t="str">
        <f t="shared" ref="F1219:F1282" si="38">UPPER(LEFT(B1219,1)) &amp; IFERROR(UPPER(LEFT(MID(B1219,FIND(" ",B1219)+1,LEN(B1219)),1)),"") &amp; IFERROR(UPPER(LEFT(MID(B1219,FIND(" ",B1219,FIND(" ",B1219)+1)+1,LEN(B1219)),1)),"") &amp; IFERROR(UPPER(LEFT(MID(B1219,FIND(" ",B1219,FIND(" ",B1219,FIND(" ",B1219)+1)+1)+1,LEN(B1219)),1)),"")</f>
        <v/>
      </c>
    </row>
    <row r="1220" spans="6:6">
      <c r="F1220" s="102" t="str">
        <f t="shared" si="38"/>
        <v/>
      </c>
    </row>
    <row r="1221" spans="6:6">
      <c r="F1221" s="102" t="str">
        <f t="shared" si="38"/>
        <v/>
      </c>
    </row>
    <row r="1222" spans="6:6">
      <c r="F1222" s="102" t="str">
        <f t="shared" si="38"/>
        <v/>
      </c>
    </row>
    <row r="1223" spans="6:6">
      <c r="F1223" s="102" t="str">
        <f t="shared" si="38"/>
        <v/>
      </c>
    </row>
    <row r="1224" spans="6:6">
      <c r="F1224" s="102" t="str">
        <f t="shared" si="38"/>
        <v/>
      </c>
    </row>
    <row r="1225" spans="6:6">
      <c r="F1225" s="102" t="str">
        <f t="shared" si="38"/>
        <v/>
      </c>
    </row>
    <row r="1226" spans="6:6">
      <c r="F1226" s="102" t="str">
        <f t="shared" si="38"/>
        <v/>
      </c>
    </row>
    <row r="1227" spans="6:6">
      <c r="F1227" s="102" t="str">
        <f t="shared" si="38"/>
        <v/>
      </c>
    </row>
    <row r="1228" spans="6:6">
      <c r="F1228" s="102" t="str">
        <f t="shared" si="38"/>
        <v/>
      </c>
    </row>
    <row r="1229" spans="6:6">
      <c r="F1229" s="102" t="str">
        <f t="shared" si="38"/>
        <v/>
      </c>
    </row>
    <row r="1230" spans="6:6">
      <c r="F1230" s="102" t="str">
        <f t="shared" si="38"/>
        <v/>
      </c>
    </row>
    <row r="1231" spans="6:6">
      <c r="F1231" s="102" t="str">
        <f t="shared" si="38"/>
        <v/>
      </c>
    </row>
    <row r="1232" spans="6:6">
      <c r="F1232" s="102" t="str">
        <f t="shared" si="38"/>
        <v/>
      </c>
    </row>
    <row r="1233" spans="6:6">
      <c r="F1233" s="102" t="str">
        <f t="shared" si="38"/>
        <v/>
      </c>
    </row>
    <row r="1234" spans="6:6">
      <c r="F1234" s="102" t="str">
        <f t="shared" si="38"/>
        <v/>
      </c>
    </row>
    <row r="1235" spans="6:6">
      <c r="F1235" s="102" t="str">
        <f t="shared" si="38"/>
        <v/>
      </c>
    </row>
    <row r="1236" spans="6:6">
      <c r="F1236" s="102" t="str">
        <f t="shared" si="38"/>
        <v/>
      </c>
    </row>
    <row r="1237" spans="6:6">
      <c r="F1237" s="102" t="str">
        <f t="shared" si="38"/>
        <v/>
      </c>
    </row>
    <row r="1238" spans="6:6">
      <c r="F1238" s="102" t="str">
        <f t="shared" si="38"/>
        <v/>
      </c>
    </row>
    <row r="1239" spans="6:6">
      <c r="F1239" s="102" t="str">
        <f t="shared" si="38"/>
        <v/>
      </c>
    </row>
    <row r="1240" spans="6:6">
      <c r="F1240" s="102" t="str">
        <f t="shared" si="38"/>
        <v/>
      </c>
    </row>
    <row r="1241" spans="6:6">
      <c r="F1241" s="102" t="str">
        <f t="shared" si="38"/>
        <v/>
      </c>
    </row>
    <row r="1242" spans="6:6">
      <c r="F1242" s="102" t="str">
        <f t="shared" si="38"/>
        <v/>
      </c>
    </row>
    <row r="1243" spans="6:6">
      <c r="F1243" s="102" t="str">
        <f t="shared" si="38"/>
        <v/>
      </c>
    </row>
    <row r="1244" spans="6:6">
      <c r="F1244" s="102" t="str">
        <f t="shared" si="38"/>
        <v/>
      </c>
    </row>
    <row r="1245" spans="6:6">
      <c r="F1245" s="102" t="str">
        <f t="shared" si="38"/>
        <v/>
      </c>
    </row>
    <row r="1246" spans="6:6">
      <c r="F1246" s="102" t="str">
        <f t="shared" si="38"/>
        <v/>
      </c>
    </row>
    <row r="1247" spans="6:6">
      <c r="F1247" s="102" t="str">
        <f t="shared" si="38"/>
        <v/>
      </c>
    </row>
    <row r="1248" spans="6:6">
      <c r="F1248" s="102" t="str">
        <f t="shared" si="38"/>
        <v/>
      </c>
    </row>
    <row r="1249" spans="6:6">
      <c r="F1249" s="102" t="str">
        <f t="shared" si="38"/>
        <v/>
      </c>
    </row>
    <row r="1250" spans="6:6">
      <c r="F1250" s="102" t="str">
        <f t="shared" si="38"/>
        <v/>
      </c>
    </row>
    <row r="1251" spans="6:6">
      <c r="F1251" s="102" t="str">
        <f t="shared" si="38"/>
        <v/>
      </c>
    </row>
    <row r="1252" spans="6:6">
      <c r="F1252" s="102" t="str">
        <f t="shared" si="38"/>
        <v/>
      </c>
    </row>
    <row r="1253" spans="6:6">
      <c r="F1253" s="102" t="str">
        <f t="shared" si="38"/>
        <v/>
      </c>
    </row>
    <row r="1254" spans="6:6">
      <c r="F1254" s="102" t="str">
        <f t="shared" si="38"/>
        <v/>
      </c>
    </row>
    <row r="1255" spans="6:6">
      <c r="F1255" s="102" t="str">
        <f t="shared" si="38"/>
        <v/>
      </c>
    </row>
    <row r="1256" spans="6:6">
      <c r="F1256" s="102" t="str">
        <f t="shared" si="38"/>
        <v/>
      </c>
    </row>
    <row r="1257" spans="6:6">
      <c r="F1257" s="102" t="str">
        <f t="shared" si="38"/>
        <v/>
      </c>
    </row>
    <row r="1258" spans="6:6">
      <c r="F1258" s="102" t="str">
        <f t="shared" si="38"/>
        <v/>
      </c>
    </row>
    <row r="1259" spans="6:6">
      <c r="F1259" s="102" t="str">
        <f t="shared" si="38"/>
        <v/>
      </c>
    </row>
    <row r="1260" spans="6:6">
      <c r="F1260" s="102" t="str">
        <f t="shared" si="38"/>
        <v/>
      </c>
    </row>
    <row r="1261" spans="6:6">
      <c r="F1261" s="102" t="str">
        <f t="shared" si="38"/>
        <v/>
      </c>
    </row>
    <row r="1262" spans="6:6">
      <c r="F1262" s="102" t="str">
        <f t="shared" si="38"/>
        <v/>
      </c>
    </row>
    <row r="1263" spans="6:6">
      <c r="F1263" s="102" t="str">
        <f t="shared" si="38"/>
        <v/>
      </c>
    </row>
    <row r="1264" spans="6:6">
      <c r="F1264" s="102" t="str">
        <f t="shared" si="38"/>
        <v/>
      </c>
    </row>
    <row r="1265" spans="6:6">
      <c r="F1265" s="102" t="str">
        <f t="shared" si="38"/>
        <v/>
      </c>
    </row>
    <row r="1266" spans="6:6">
      <c r="F1266" s="102" t="str">
        <f t="shared" si="38"/>
        <v/>
      </c>
    </row>
    <row r="1267" spans="6:6">
      <c r="F1267" s="102" t="str">
        <f t="shared" si="38"/>
        <v/>
      </c>
    </row>
    <row r="1268" spans="6:6">
      <c r="F1268" s="102" t="str">
        <f t="shared" si="38"/>
        <v/>
      </c>
    </row>
    <row r="1269" spans="6:6">
      <c r="F1269" s="102" t="str">
        <f t="shared" si="38"/>
        <v/>
      </c>
    </row>
    <row r="1270" spans="6:6">
      <c r="F1270" s="102" t="str">
        <f t="shared" si="38"/>
        <v/>
      </c>
    </row>
    <row r="1271" spans="6:6">
      <c r="F1271" s="102" t="str">
        <f t="shared" si="38"/>
        <v/>
      </c>
    </row>
    <row r="1272" spans="6:6">
      <c r="F1272" s="102" t="str">
        <f t="shared" si="38"/>
        <v/>
      </c>
    </row>
    <row r="1273" spans="6:6">
      <c r="F1273" s="102" t="str">
        <f t="shared" si="38"/>
        <v/>
      </c>
    </row>
    <row r="1274" spans="6:6">
      <c r="F1274" s="102" t="str">
        <f t="shared" si="38"/>
        <v/>
      </c>
    </row>
    <row r="1275" spans="6:6">
      <c r="F1275" s="102" t="str">
        <f t="shared" si="38"/>
        <v/>
      </c>
    </row>
    <row r="1276" spans="6:6">
      <c r="F1276" s="102" t="str">
        <f t="shared" si="38"/>
        <v/>
      </c>
    </row>
    <row r="1277" spans="6:6">
      <c r="F1277" s="102" t="str">
        <f t="shared" si="38"/>
        <v/>
      </c>
    </row>
    <row r="1278" spans="6:6">
      <c r="F1278" s="102" t="str">
        <f t="shared" si="38"/>
        <v/>
      </c>
    </row>
    <row r="1279" spans="6:6">
      <c r="F1279" s="102" t="str">
        <f t="shared" si="38"/>
        <v/>
      </c>
    </row>
    <row r="1280" spans="6:6">
      <c r="F1280" s="102" t="str">
        <f t="shared" si="38"/>
        <v/>
      </c>
    </row>
    <row r="1281" spans="6:6">
      <c r="F1281" s="102" t="str">
        <f t="shared" si="38"/>
        <v/>
      </c>
    </row>
    <row r="1282" spans="6:6">
      <c r="F1282" s="102" t="str">
        <f t="shared" si="38"/>
        <v/>
      </c>
    </row>
    <row r="1283" spans="6:6">
      <c r="F1283" s="102" t="str">
        <f t="shared" ref="F1283:F1346" si="39">UPPER(LEFT(B1283,1)) &amp; IFERROR(UPPER(LEFT(MID(B1283,FIND(" ",B1283)+1,LEN(B1283)),1)),"") &amp; IFERROR(UPPER(LEFT(MID(B1283,FIND(" ",B1283,FIND(" ",B1283)+1)+1,LEN(B1283)),1)),"") &amp; IFERROR(UPPER(LEFT(MID(B1283,FIND(" ",B1283,FIND(" ",B1283,FIND(" ",B1283)+1)+1)+1,LEN(B1283)),1)),"")</f>
        <v/>
      </c>
    </row>
    <row r="1284" spans="6:6">
      <c r="F1284" s="102" t="str">
        <f t="shared" si="39"/>
        <v/>
      </c>
    </row>
    <row r="1285" spans="6:6">
      <c r="F1285" s="102" t="str">
        <f t="shared" si="39"/>
        <v/>
      </c>
    </row>
    <row r="1286" spans="6:6">
      <c r="F1286" s="102" t="str">
        <f t="shared" si="39"/>
        <v/>
      </c>
    </row>
    <row r="1287" spans="6:6">
      <c r="F1287" s="102" t="str">
        <f t="shared" si="39"/>
        <v/>
      </c>
    </row>
    <row r="1288" spans="6:6">
      <c r="F1288" s="102" t="str">
        <f t="shared" si="39"/>
        <v/>
      </c>
    </row>
    <row r="1289" spans="6:6">
      <c r="F1289" s="102" t="str">
        <f t="shared" si="39"/>
        <v/>
      </c>
    </row>
    <row r="1290" spans="6:6">
      <c r="F1290" s="102" t="str">
        <f t="shared" si="39"/>
        <v/>
      </c>
    </row>
    <row r="1291" spans="6:6">
      <c r="F1291" s="102" t="str">
        <f t="shared" si="39"/>
        <v/>
      </c>
    </row>
    <row r="1292" spans="6:6">
      <c r="F1292" s="102" t="str">
        <f t="shared" si="39"/>
        <v/>
      </c>
    </row>
    <row r="1293" spans="6:6">
      <c r="F1293" s="102" t="str">
        <f t="shared" si="39"/>
        <v/>
      </c>
    </row>
    <row r="1294" spans="6:6">
      <c r="F1294" s="102" t="str">
        <f t="shared" si="39"/>
        <v/>
      </c>
    </row>
    <row r="1295" spans="6:6">
      <c r="F1295" s="102" t="str">
        <f t="shared" si="39"/>
        <v/>
      </c>
    </row>
    <row r="1296" spans="6:6">
      <c r="F1296" s="102" t="str">
        <f t="shared" si="39"/>
        <v/>
      </c>
    </row>
    <row r="1297" spans="6:6">
      <c r="F1297" s="102" t="str">
        <f t="shared" si="39"/>
        <v/>
      </c>
    </row>
    <row r="1298" spans="6:6">
      <c r="F1298" s="102" t="str">
        <f t="shared" si="39"/>
        <v/>
      </c>
    </row>
    <row r="1299" spans="6:6">
      <c r="F1299" s="102" t="str">
        <f t="shared" si="39"/>
        <v/>
      </c>
    </row>
    <row r="1300" spans="6:6">
      <c r="F1300" s="102" t="str">
        <f t="shared" si="39"/>
        <v/>
      </c>
    </row>
    <row r="1301" spans="6:6">
      <c r="F1301" s="102" t="str">
        <f t="shared" si="39"/>
        <v/>
      </c>
    </row>
    <row r="1302" spans="6:6">
      <c r="F1302" s="102" t="str">
        <f t="shared" si="39"/>
        <v/>
      </c>
    </row>
    <row r="1303" spans="6:6">
      <c r="F1303" s="102" t="str">
        <f t="shared" si="39"/>
        <v/>
      </c>
    </row>
    <row r="1304" spans="6:6">
      <c r="F1304" s="102" t="str">
        <f t="shared" si="39"/>
        <v/>
      </c>
    </row>
    <row r="1305" spans="6:6">
      <c r="F1305" s="102" t="str">
        <f t="shared" si="39"/>
        <v/>
      </c>
    </row>
    <row r="1306" spans="6:6">
      <c r="F1306" s="102" t="str">
        <f t="shared" si="39"/>
        <v/>
      </c>
    </row>
    <row r="1307" spans="6:6">
      <c r="F1307" s="102" t="str">
        <f t="shared" si="39"/>
        <v/>
      </c>
    </row>
    <row r="1308" spans="6:6">
      <c r="F1308" s="102" t="str">
        <f t="shared" si="39"/>
        <v/>
      </c>
    </row>
    <row r="1309" spans="6:6">
      <c r="F1309" s="102" t="str">
        <f t="shared" si="39"/>
        <v/>
      </c>
    </row>
    <row r="1310" spans="6:6">
      <c r="F1310" s="102" t="str">
        <f t="shared" si="39"/>
        <v/>
      </c>
    </row>
    <row r="1311" spans="6:6">
      <c r="F1311" s="102" t="str">
        <f t="shared" si="39"/>
        <v/>
      </c>
    </row>
    <row r="1312" spans="6:6">
      <c r="F1312" s="102" t="str">
        <f t="shared" si="39"/>
        <v/>
      </c>
    </row>
    <row r="1313" spans="6:6">
      <c r="F1313" s="102" t="str">
        <f t="shared" si="39"/>
        <v/>
      </c>
    </row>
    <row r="1314" spans="6:6">
      <c r="F1314" s="102" t="str">
        <f t="shared" si="39"/>
        <v/>
      </c>
    </row>
    <row r="1315" spans="6:6">
      <c r="F1315" s="102" t="str">
        <f t="shared" si="39"/>
        <v/>
      </c>
    </row>
    <row r="1316" spans="6:6">
      <c r="F1316" s="102" t="str">
        <f t="shared" si="39"/>
        <v/>
      </c>
    </row>
    <row r="1317" spans="6:6">
      <c r="F1317" s="102" t="str">
        <f t="shared" si="39"/>
        <v/>
      </c>
    </row>
    <row r="1318" spans="6:6">
      <c r="F1318" s="102" t="str">
        <f t="shared" si="39"/>
        <v/>
      </c>
    </row>
    <row r="1319" spans="6:6">
      <c r="F1319" s="102" t="str">
        <f t="shared" si="39"/>
        <v/>
      </c>
    </row>
    <row r="1320" spans="6:6">
      <c r="F1320" s="102" t="str">
        <f t="shared" si="39"/>
        <v/>
      </c>
    </row>
    <row r="1321" spans="6:6">
      <c r="F1321" s="102" t="str">
        <f t="shared" si="39"/>
        <v/>
      </c>
    </row>
    <row r="1322" spans="6:6">
      <c r="F1322" s="102" t="str">
        <f t="shared" si="39"/>
        <v/>
      </c>
    </row>
    <row r="1323" spans="6:6">
      <c r="F1323" s="102" t="str">
        <f t="shared" si="39"/>
        <v/>
      </c>
    </row>
    <row r="1324" spans="6:6">
      <c r="F1324" s="102" t="str">
        <f t="shared" si="39"/>
        <v/>
      </c>
    </row>
    <row r="1325" spans="6:6">
      <c r="F1325" s="102" t="str">
        <f t="shared" si="39"/>
        <v/>
      </c>
    </row>
    <row r="1326" spans="6:6">
      <c r="F1326" s="102" t="str">
        <f t="shared" si="39"/>
        <v/>
      </c>
    </row>
    <row r="1327" spans="6:6">
      <c r="F1327" s="102" t="str">
        <f t="shared" si="39"/>
        <v/>
      </c>
    </row>
    <row r="1328" spans="6:6">
      <c r="F1328" s="102" t="str">
        <f t="shared" si="39"/>
        <v/>
      </c>
    </row>
    <row r="1329" spans="6:6">
      <c r="F1329" s="102" t="str">
        <f t="shared" si="39"/>
        <v/>
      </c>
    </row>
    <row r="1330" spans="6:6">
      <c r="F1330" s="102" t="str">
        <f t="shared" si="39"/>
        <v/>
      </c>
    </row>
    <row r="1331" spans="6:6">
      <c r="F1331" s="102" t="str">
        <f t="shared" si="39"/>
        <v/>
      </c>
    </row>
    <row r="1332" spans="6:6">
      <c r="F1332" s="102" t="str">
        <f t="shared" si="39"/>
        <v/>
      </c>
    </row>
    <row r="1333" spans="6:6">
      <c r="F1333" s="102" t="str">
        <f t="shared" si="39"/>
        <v/>
      </c>
    </row>
    <row r="1334" spans="6:6">
      <c r="F1334" s="102" t="str">
        <f t="shared" si="39"/>
        <v/>
      </c>
    </row>
    <row r="1335" spans="6:6">
      <c r="F1335" s="102" t="str">
        <f t="shared" si="39"/>
        <v/>
      </c>
    </row>
    <row r="1336" spans="6:6">
      <c r="F1336" s="102" t="str">
        <f t="shared" si="39"/>
        <v/>
      </c>
    </row>
    <row r="1337" spans="6:6">
      <c r="F1337" s="102" t="str">
        <f t="shared" si="39"/>
        <v/>
      </c>
    </row>
    <row r="1338" spans="6:6">
      <c r="F1338" s="102" t="str">
        <f t="shared" si="39"/>
        <v/>
      </c>
    </row>
    <row r="1339" spans="6:6">
      <c r="F1339" s="102" t="str">
        <f t="shared" si="39"/>
        <v/>
      </c>
    </row>
    <row r="1340" spans="6:6">
      <c r="F1340" s="102" t="str">
        <f t="shared" si="39"/>
        <v/>
      </c>
    </row>
    <row r="1341" spans="6:6">
      <c r="F1341" s="102" t="str">
        <f t="shared" si="39"/>
        <v/>
      </c>
    </row>
    <row r="1342" spans="6:6">
      <c r="F1342" s="102" t="str">
        <f t="shared" si="39"/>
        <v/>
      </c>
    </row>
    <row r="1343" spans="6:6">
      <c r="F1343" s="102" t="str">
        <f t="shared" si="39"/>
        <v/>
      </c>
    </row>
    <row r="1344" spans="6:6">
      <c r="F1344" s="102" t="str">
        <f t="shared" si="39"/>
        <v/>
      </c>
    </row>
    <row r="1345" spans="6:6">
      <c r="F1345" s="102" t="str">
        <f t="shared" si="39"/>
        <v/>
      </c>
    </row>
    <row r="1346" spans="6:6">
      <c r="F1346" s="102" t="str">
        <f t="shared" si="39"/>
        <v/>
      </c>
    </row>
    <row r="1347" spans="6:6">
      <c r="F1347" s="102" t="str">
        <f t="shared" ref="F1347:F1410" si="40">UPPER(LEFT(B1347,1)) &amp; IFERROR(UPPER(LEFT(MID(B1347,FIND(" ",B1347)+1,LEN(B1347)),1)),"") &amp; IFERROR(UPPER(LEFT(MID(B1347,FIND(" ",B1347,FIND(" ",B1347)+1)+1,LEN(B1347)),1)),"") &amp; IFERROR(UPPER(LEFT(MID(B1347,FIND(" ",B1347,FIND(" ",B1347,FIND(" ",B1347)+1)+1)+1,LEN(B1347)),1)),"")</f>
        <v/>
      </c>
    </row>
    <row r="1348" spans="6:6">
      <c r="F1348" s="102" t="str">
        <f t="shared" si="40"/>
        <v/>
      </c>
    </row>
    <row r="1349" spans="6:6">
      <c r="F1349" s="102" t="str">
        <f t="shared" si="40"/>
        <v/>
      </c>
    </row>
    <row r="1350" spans="6:6">
      <c r="F1350" s="102" t="str">
        <f t="shared" si="40"/>
        <v/>
      </c>
    </row>
    <row r="1351" spans="6:6">
      <c r="F1351" s="102" t="str">
        <f t="shared" si="40"/>
        <v/>
      </c>
    </row>
    <row r="1352" spans="6:6">
      <c r="F1352" s="102" t="str">
        <f t="shared" si="40"/>
        <v/>
      </c>
    </row>
    <row r="1353" spans="6:6">
      <c r="F1353" s="102" t="str">
        <f t="shared" si="40"/>
        <v/>
      </c>
    </row>
    <row r="1354" spans="6:6">
      <c r="F1354" s="102" t="str">
        <f t="shared" si="40"/>
        <v/>
      </c>
    </row>
    <row r="1355" spans="6:6">
      <c r="F1355" s="102" t="str">
        <f t="shared" si="40"/>
        <v/>
      </c>
    </row>
    <row r="1356" spans="6:6">
      <c r="F1356" s="102" t="str">
        <f t="shared" si="40"/>
        <v/>
      </c>
    </row>
    <row r="1357" spans="6:6">
      <c r="F1357" s="102" t="str">
        <f t="shared" si="40"/>
        <v/>
      </c>
    </row>
    <row r="1358" spans="6:6">
      <c r="F1358" s="102" t="str">
        <f t="shared" si="40"/>
        <v/>
      </c>
    </row>
    <row r="1359" spans="6:6">
      <c r="F1359" s="102" t="str">
        <f t="shared" si="40"/>
        <v/>
      </c>
    </row>
    <row r="1360" spans="6:6">
      <c r="F1360" s="102" t="str">
        <f t="shared" si="40"/>
        <v/>
      </c>
    </row>
    <row r="1361" spans="6:6">
      <c r="F1361" s="102" t="str">
        <f t="shared" si="40"/>
        <v/>
      </c>
    </row>
    <row r="1362" spans="6:6">
      <c r="F1362" s="102" t="str">
        <f t="shared" si="40"/>
        <v/>
      </c>
    </row>
    <row r="1363" spans="6:6">
      <c r="F1363" s="102" t="str">
        <f t="shared" si="40"/>
        <v/>
      </c>
    </row>
    <row r="1364" spans="6:6">
      <c r="F1364" s="102" t="str">
        <f t="shared" si="40"/>
        <v/>
      </c>
    </row>
    <row r="1365" spans="6:6">
      <c r="F1365" s="102" t="str">
        <f t="shared" si="40"/>
        <v/>
      </c>
    </row>
    <row r="1366" spans="6:6">
      <c r="F1366" s="102" t="str">
        <f t="shared" si="40"/>
        <v/>
      </c>
    </row>
    <row r="1367" spans="6:6">
      <c r="F1367" s="102" t="str">
        <f t="shared" si="40"/>
        <v/>
      </c>
    </row>
    <row r="1368" spans="6:6">
      <c r="F1368" s="102" t="str">
        <f t="shared" si="40"/>
        <v/>
      </c>
    </row>
    <row r="1369" spans="6:6">
      <c r="F1369" s="102" t="str">
        <f t="shared" si="40"/>
        <v/>
      </c>
    </row>
    <row r="1370" spans="6:6">
      <c r="F1370" s="102" t="str">
        <f t="shared" si="40"/>
        <v/>
      </c>
    </row>
    <row r="1371" spans="6:6">
      <c r="F1371" s="102" t="str">
        <f t="shared" si="40"/>
        <v/>
      </c>
    </row>
    <row r="1372" spans="6:6">
      <c r="F1372" s="102" t="str">
        <f t="shared" si="40"/>
        <v/>
      </c>
    </row>
    <row r="1373" spans="6:6">
      <c r="F1373" s="102" t="str">
        <f t="shared" si="40"/>
        <v/>
      </c>
    </row>
    <row r="1374" spans="6:6">
      <c r="F1374" s="102" t="str">
        <f t="shared" si="40"/>
        <v/>
      </c>
    </row>
    <row r="1375" spans="6:6">
      <c r="F1375" s="102" t="str">
        <f t="shared" si="40"/>
        <v/>
      </c>
    </row>
    <row r="1376" spans="6:6">
      <c r="F1376" s="102" t="str">
        <f t="shared" si="40"/>
        <v/>
      </c>
    </row>
    <row r="1377" spans="6:6">
      <c r="F1377" s="102" t="str">
        <f t="shared" si="40"/>
        <v/>
      </c>
    </row>
    <row r="1378" spans="6:6">
      <c r="F1378" s="102" t="str">
        <f t="shared" si="40"/>
        <v/>
      </c>
    </row>
    <row r="1379" spans="6:6">
      <c r="F1379" s="102" t="str">
        <f t="shared" si="40"/>
        <v/>
      </c>
    </row>
    <row r="1380" spans="6:6">
      <c r="F1380" s="102" t="str">
        <f t="shared" si="40"/>
        <v/>
      </c>
    </row>
    <row r="1381" spans="6:6">
      <c r="F1381" s="102" t="str">
        <f t="shared" si="40"/>
        <v/>
      </c>
    </row>
    <row r="1382" spans="6:6">
      <c r="F1382" s="102" t="str">
        <f t="shared" si="40"/>
        <v/>
      </c>
    </row>
    <row r="1383" spans="6:6">
      <c r="F1383" s="102" t="str">
        <f t="shared" si="40"/>
        <v/>
      </c>
    </row>
    <row r="1384" spans="6:6">
      <c r="F1384" s="102" t="str">
        <f t="shared" si="40"/>
        <v/>
      </c>
    </row>
    <row r="1385" spans="6:6">
      <c r="F1385" s="102" t="str">
        <f t="shared" si="40"/>
        <v/>
      </c>
    </row>
    <row r="1386" spans="6:6">
      <c r="F1386" s="102" t="str">
        <f t="shared" si="40"/>
        <v/>
      </c>
    </row>
    <row r="1387" spans="6:6">
      <c r="F1387" s="102" t="str">
        <f t="shared" si="40"/>
        <v/>
      </c>
    </row>
    <row r="1388" spans="6:6">
      <c r="F1388" s="102" t="str">
        <f t="shared" si="40"/>
        <v/>
      </c>
    </row>
    <row r="1389" spans="6:6">
      <c r="F1389" s="102" t="str">
        <f t="shared" si="40"/>
        <v/>
      </c>
    </row>
    <row r="1390" spans="6:6">
      <c r="F1390" s="102" t="str">
        <f t="shared" si="40"/>
        <v/>
      </c>
    </row>
    <row r="1391" spans="6:6">
      <c r="F1391" s="102" t="str">
        <f t="shared" si="40"/>
        <v/>
      </c>
    </row>
    <row r="1392" spans="6:6">
      <c r="F1392" s="102" t="str">
        <f t="shared" si="40"/>
        <v/>
      </c>
    </row>
    <row r="1393" spans="6:6">
      <c r="F1393" s="102" t="str">
        <f t="shared" si="40"/>
        <v/>
      </c>
    </row>
    <row r="1394" spans="6:6">
      <c r="F1394" s="102" t="str">
        <f t="shared" si="40"/>
        <v/>
      </c>
    </row>
    <row r="1395" spans="6:6">
      <c r="F1395" s="102" t="str">
        <f t="shared" si="40"/>
        <v/>
      </c>
    </row>
    <row r="1396" spans="6:6">
      <c r="F1396" s="102" t="str">
        <f t="shared" si="40"/>
        <v/>
      </c>
    </row>
    <row r="1397" spans="6:6">
      <c r="F1397" s="102" t="str">
        <f t="shared" si="40"/>
        <v/>
      </c>
    </row>
    <row r="1398" spans="6:6">
      <c r="F1398" s="102" t="str">
        <f t="shared" si="40"/>
        <v/>
      </c>
    </row>
    <row r="1399" spans="6:6">
      <c r="F1399" s="102" t="str">
        <f t="shared" si="40"/>
        <v/>
      </c>
    </row>
    <row r="1400" spans="6:6">
      <c r="F1400" s="102" t="str">
        <f t="shared" si="40"/>
        <v/>
      </c>
    </row>
    <row r="1401" spans="6:6">
      <c r="F1401" s="102" t="str">
        <f t="shared" si="40"/>
        <v/>
      </c>
    </row>
    <row r="1402" spans="6:6">
      <c r="F1402" s="102" t="str">
        <f t="shared" si="40"/>
        <v/>
      </c>
    </row>
    <row r="1403" spans="6:6">
      <c r="F1403" s="102" t="str">
        <f t="shared" si="40"/>
        <v/>
      </c>
    </row>
    <row r="1404" spans="6:6">
      <c r="F1404" s="102" t="str">
        <f t="shared" si="40"/>
        <v/>
      </c>
    </row>
    <row r="1405" spans="6:6">
      <c r="F1405" s="102" t="str">
        <f t="shared" si="40"/>
        <v/>
      </c>
    </row>
    <row r="1406" spans="6:6">
      <c r="F1406" s="102" t="str">
        <f t="shared" si="40"/>
        <v/>
      </c>
    </row>
    <row r="1407" spans="6:6">
      <c r="F1407" s="102" t="str">
        <f t="shared" si="40"/>
        <v/>
      </c>
    </row>
    <row r="1408" spans="6:6">
      <c r="F1408" s="102" t="str">
        <f t="shared" si="40"/>
        <v/>
      </c>
    </row>
    <row r="1409" spans="6:6">
      <c r="F1409" s="102" t="str">
        <f t="shared" si="40"/>
        <v/>
      </c>
    </row>
    <row r="1410" spans="6:6">
      <c r="F1410" s="102" t="str">
        <f t="shared" si="40"/>
        <v/>
      </c>
    </row>
    <row r="1411" spans="6:6">
      <c r="F1411" s="102" t="str">
        <f t="shared" ref="F1411:F1474" si="41">UPPER(LEFT(B1411,1)) &amp; IFERROR(UPPER(LEFT(MID(B1411,FIND(" ",B1411)+1,LEN(B1411)),1)),"") &amp; IFERROR(UPPER(LEFT(MID(B1411,FIND(" ",B1411,FIND(" ",B1411)+1)+1,LEN(B1411)),1)),"") &amp; IFERROR(UPPER(LEFT(MID(B1411,FIND(" ",B1411,FIND(" ",B1411,FIND(" ",B1411)+1)+1)+1,LEN(B1411)),1)),"")</f>
        <v/>
      </c>
    </row>
    <row r="1412" spans="6:6">
      <c r="F1412" s="102" t="str">
        <f t="shared" si="41"/>
        <v/>
      </c>
    </row>
    <row r="1413" spans="6:6">
      <c r="F1413" s="102" t="str">
        <f t="shared" si="41"/>
        <v/>
      </c>
    </row>
    <row r="1414" spans="6:6">
      <c r="F1414" s="102" t="str">
        <f t="shared" si="41"/>
        <v/>
      </c>
    </row>
    <row r="1415" spans="6:6">
      <c r="F1415" s="102" t="str">
        <f t="shared" si="41"/>
        <v/>
      </c>
    </row>
    <row r="1416" spans="6:6">
      <c r="F1416" s="102" t="str">
        <f t="shared" si="41"/>
        <v/>
      </c>
    </row>
    <row r="1417" spans="6:6">
      <c r="F1417" s="102" t="str">
        <f t="shared" si="41"/>
        <v/>
      </c>
    </row>
    <row r="1418" spans="6:6">
      <c r="F1418" s="102" t="str">
        <f t="shared" si="41"/>
        <v/>
      </c>
    </row>
    <row r="1419" spans="6:6">
      <c r="F1419" s="102" t="str">
        <f t="shared" si="41"/>
        <v/>
      </c>
    </row>
    <row r="1420" spans="6:6">
      <c r="F1420" s="102" t="str">
        <f t="shared" si="41"/>
        <v/>
      </c>
    </row>
    <row r="1421" spans="6:6">
      <c r="F1421" s="102" t="str">
        <f t="shared" si="41"/>
        <v/>
      </c>
    </row>
    <row r="1422" spans="6:6">
      <c r="F1422" s="102" t="str">
        <f t="shared" si="41"/>
        <v/>
      </c>
    </row>
    <row r="1423" spans="6:6">
      <c r="F1423" s="102" t="str">
        <f t="shared" si="41"/>
        <v/>
      </c>
    </row>
    <row r="1424" spans="6:6">
      <c r="F1424" s="102" t="str">
        <f t="shared" si="41"/>
        <v/>
      </c>
    </row>
    <row r="1425" spans="6:6">
      <c r="F1425" s="102" t="str">
        <f t="shared" si="41"/>
        <v/>
      </c>
    </row>
    <row r="1426" spans="6:6">
      <c r="F1426" s="102" t="str">
        <f t="shared" si="41"/>
        <v/>
      </c>
    </row>
    <row r="1427" spans="6:6">
      <c r="F1427" s="102" t="str">
        <f t="shared" si="41"/>
        <v/>
      </c>
    </row>
    <row r="1428" spans="6:6">
      <c r="F1428" s="102" t="str">
        <f t="shared" si="41"/>
        <v/>
      </c>
    </row>
    <row r="1429" spans="6:6">
      <c r="F1429" s="102" t="str">
        <f t="shared" si="41"/>
        <v/>
      </c>
    </row>
    <row r="1430" spans="6:6">
      <c r="F1430" s="102" t="str">
        <f t="shared" si="41"/>
        <v/>
      </c>
    </row>
    <row r="1431" spans="6:6">
      <c r="F1431" s="102" t="str">
        <f t="shared" si="41"/>
        <v/>
      </c>
    </row>
    <row r="1432" spans="6:6">
      <c r="F1432" s="102" t="str">
        <f t="shared" si="41"/>
        <v/>
      </c>
    </row>
    <row r="1433" spans="6:6">
      <c r="F1433" s="102" t="str">
        <f t="shared" si="41"/>
        <v/>
      </c>
    </row>
    <row r="1434" spans="6:6">
      <c r="F1434" s="102" t="str">
        <f t="shared" si="41"/>
        <v/>
      </c>
    </row>
    <row r="1435" spans="6:6">
      <c r="F1435" s="102" t="str">
        <f t="shared" si="41"/>
        <v/>
      </c>
    </row>
    <row r="1436" spans="6:6">
      <c r="F1436" s="102" t="str">
        <f t="shared" si="41"/>
        <v/>
      </c>
    </row>
    <row r="1437" spans="6:6">
      <c r="F1437" s="102" t="str">
        <f t="shared" si="41"/>
        <v/>
      </c>
    </row>
    <row r="1438" spans="6:6">
      <c r="F1438" s="102" t="str">
        <f t="shared" si="41"/>
        <v/>
      </c>
    </row>
    <row r="1439" spans="6:6">
      <c r="F1439" s="102" t="str">
        <f t="shared" si="41"/>
        <v/>
      </c>
    </row>
    <row r="1440" spans="6:6">
      <c r="F1440" s="102" t="str">
        <f t="shared" si="41"/>
        <v/>
      </c>
    </row>
    <row r="1441" spans="6:6">
      <c r="F1441" s="102" t="str">
        <f t="shared" si="41"/>
        <v/>
      </c>
    </row>
    <row r="1442" spans="6:6">
      <c r="F1442" s="102" t="str">
        <f t="shared" si="41"/>
        <v/>
      </c>
    </row>
    <row r="1443" spans="6:6">
      <c r="F1443" s="102" t="str">
        <f t="shared" si="41"/>
        <v/>
      </c>
    </row>
    <row r="1444" spans="6:6">
      <c r="F1444" s="102" t="str">
        <f t="shared" si="41"/>
        <v/>
      </c>
    </row>
    <row r="1445" spans="6:6">
      <c r="F1445" s="102" t="str">
        <f t="shared" si="41"/>
        <v/>
      </c>
    </row>
    <row r="1446" spans="6:6">
      <c r="F1446" s="102" t="str">
        <f t="shared" si="41"/>
        <v/>
      </c>
    </row>
    <row r="1447" spans="6:6">
      <c r="F1447" s="102" t="str">
        <f t="shared" si="41"/>
        <v/>
      </c>
    </row>
    <row r="1448" spans="6:6">
      <c r="F1448" s="102" t="str">
        <f t="shared" si="41"/>
        <v/>
      </c>
    </row>
    <row r="1449" spans="6:6">
      <c r="F1449" s="102" t="str">
        <f t="shared" si="41"/>
        <v/>
      </c>
    </row>
    <row r="1450" spans="6:6">
      <c r="F1450" s="102" t="str">
        <f t="shared" si="41"/>
        <v/>
      </c>
    </row>
    <row r="1451" spans="6:6">
      <c r="F1451" s="102" t="str">
        <f t="shared" si="41"/>
        <v/>
      </c>
    </row>
    <row r="1452" spans="6:6">
      <c r="F1452" s="102" t="str">
        <f t="shared" si="41"/>
        <v/>
      </c>
    </row>
    <row r="1453" spans="6:6">
      <c r="F1453" s="102" t="str">
        <f t="shared" si="41"/>
        <v/>
      </c>
    </row>
    <row r="1454" spans="6:6">
      <c r="F1454" s="102" t="str">
        <f t="shared" si="41"/>
        <v/>
      </c>
    </row>
    <row r="1455" spans="6:6">
      <c r="F1455" s="102" t="str">
        <f t="shared" si="41"/>
        <v/>
      </c>
    </row>
    <row r="1456" spans="6:6">
      <c r="F1456" s="102" t="str">
        <f t="shared" si="41"/>
        <v/>
      </c>
    </row>
    <row r="1457" spans="6:6">
      <c r="F1457" s="102" t="str">
        <f t="shared" si="41"/>
        <v/>
      </c>
    </row>
    <row r="1458" spans="6:6">
      <c r="F1458" s="102" t="str">
        <f t="shared" si="41"/>
        <v/>
      </c>
    </row>
    <row r="1459" spans="6:6">
      <c r="F1459" s="102" t="str">
        <f t="shared" si="41"/>
        <v/>
      </c>
    </row>
    <row r="1460" spans="6:6">
      <c r="F1460" s="102" t="str">
        <f t="shared" si="41"/>
        <v/>
      </c>
    </row>
    <row r="1461" spans="6:6">
      <c r="F1461" s="102" t="str">
        <f t="shared" si="41"/>
        <v/>
      </c>
    </row>
    <row r="1462" spans="6:6">
      <c r="F1462" s="102" t="str">
        <f t="shared" si="41"/>
        <v/>
      </c>
    </row>
    <row r="1463" spans="6:6">
      <c r="F1463" s="102" t="str">
        <f t="shared" si="41"/>
        <v/>
      </c>
    </row>
    <row r="1464" spans="6:6">
      <c r="F1464" s="102" t="str">
        <f t="shared" si="41"/>
        <v/>
      </c>
    </row>
    <row r="1465" spans="6:6">
      <c r="F1465" s="102" t="str">
        <f t="shared" si="41"/>
        <v/>
      </c>
    </row>
    <row r="1466" spans="6:6">
      <c r="F1466" s="102" t="str">
        <f t="shared" si="41"/>
        <v/>
      </c>
    </row>
    <row r="1467" spans="6:6">
      <c r="F1467" s="102" t="str">
        <f t="shared" si="41"/>
        <v/>
      </c>
    </row>
    <row r="1468" spans="6:6">
      <c r="F1468" s="102" t="str">
        <f t="shared" si="41"/>
        <v/>
      </c>
    </row>
    <row r="1469" spans="6:6">
      <c r="F1469" s="102" t="str">
        <f t="shared" si="41"/>
        <v/>
      </c>
    </row>
    <row r="1470" spans="6:6">
      <c r="F1470" s="102" t="str">
        <f t="shared" si="41"/>
        <v/>
      </c>
    </row>
    <row r="1471" spans="6:6">
      <c r="F1471" s="102" t="str">
        <f t="shared" si="41"/>
        <v/>
      </c>
    </row>
    <row r="1472" spans="6:6">
      <c r="F1472" s="102" t="str">
        <f t="shared" si="41"/>
        <v/>
      </c>
    </row>
    <row r="1473" spans="6:6">
      <c r="F1473" s="102" t="str">
        <f t="shared" si="41"/>
        <v/>
      </c>
    </row>
    <row r="1474" spans="6:6">
      <c r="F1474" s="102" t="str">
        <f t="shared" si="41"/>
        <v/>
      </c>
    </row>
    <row r="1475" spans="6:6">
      <c r="F1475" s="102" t="str">
        <f t="shared" ref="F1475:F1522" si="42">UPPER(LEFT(B1475,1)) &amp; IFERROR(UPPER(LEFT(MID(B1475,FIND(" ",B1475)+1,LEN(B1475)),1)),"") &amp; IFERROR(UPPER(LEFT(MID(B1475,FIND(" ",B1475,FIND(" ",B1475)+1)+1,LEN(B1475)),1)),"") &amp; IFERROR(UPPER(LEFT(MID(B1475,FIND(" ",B1475,FIND(" ",B1475,FIND(" ",B1475)+1)+1)+1,LEN(B1475)),1)),"")</f>
        <v/>
      </c>
    </row>
    <row r="1476" spans="6:6">
      <c r="F1476" s="102" t="str">
        <f t="shared" si="42"/>
        <v/>
      </c>
    </row>
    <row r="1477" spans="6:6">
      <c r="F1477" s="102" t="str">
        <f t="shared" si="42"/>
        <v/>
      </c>
    </row>
    <row r="1478" spans="6:6">
      <c r="F1478" s="102" t="str">
        <f t="shared" si="42"/>
        <v/>
      </c>
    </row>
    <row r="1479" spans="6:6">
      <c r="F1479" s="102" t="str">
        <f t="shared" si="42"/>
        <v/>
      </c>
    </row>
    <row r="1480" spans="6:6">
      <c r="F1480" s="102" t="str">
        <f t="shared" si="42"/>
        <v/>
      </c>
    </row>
    <row r="1481" spans="6:6">
      <c r="F1481" s="102" t="str">
        <f t="shared" si="42"/>
        <v/>
      </c>
    </row>
    <row r="1482" spans="6:6">
      <c r="F1482" s="102" t="str">
        <f t="shared" si="42"/>
        <v/>
      </c>
    </row>
    <row r="1483" spans="6:6">
      <c r="F1483" s="102" t="str">
        <f t="shared" si="42"/>
        <v/>
      </c>
    </row>
    <row r="1484" spans="6:6">
      <c r="F1484" s="102" t="str">
        <f t="shared" si="42"/>
        <v/>
      </c>
    </row>
    <row r="1485" spans="6:6">
      <c r="F1485" s="102" t="str">
        <f t="shared" si="42"/>
        <v/>
      </c>
    </row>
    <row r="1486" spans="6:6">
      <c r="F1486" s="102" t="str">
        <f t="shared" si="42"/>
        <v/>
      </c>
    </row>
    <row r="1487" spans="6:6">
      <c r="F1487" s="102" t="str">
        <f t="shared" si="42"/>
        <v/>
      </c>
    </row>
    <row r="1488" spans="6:6">
      <c r="F1488" s="102" t="str">
        <f t="shared" si="42"/>
        <v/>
      </c>
    </row>
    <row r="1489" spans="6:6">
      <c r="F1489" s="102" t="str">
        <f t="shared" si="42"/>
        <v/>
      </c>
    </row>
    <row r="1490" spans="6:6">
      <c r="F1490" s="102" t="str">
        <f t="shared" si="42"/>
        <v/>
      </c>
    </row>
    <row r="1491" spans="6:6">
      <c r="F1491" s="102" t="str">
        <f t="shared" si="42"/>
        <v/>
      </c>
    </row>
    <row r="1492" spans="6:6">
      <c r="F1492" s="102" t="str">
        <f t="shared" si="42"/>
        <v/>
      </c>
    </row>
    <row r="1493" spans="6:6">
      <c r="F1493" s="102" t="str">
        <f t="shared" si="42"/>
        <v/>
      </c>
    </row>
    <row r="1494" spans="6:6">
      <c r="F1494" s="102" t="str">
        <f t="shared" si="42"/>
        <v/>
      </c>
    </row>
    <row r="1495" spans="6:6">
      <c r="F1495" s="102" t="str">
        <f t="shared" si="42"/>
        <v/>
      </c>
    </row>
    <row r="1496" spans="6:6">
      <c r="F1496" s="102" t="str">
        <f t="shared" si="42"/>
        <v/>
      </c>
    </row>
    <row r="1497" spans="6:6">
      <c r="F1497" s="102" t="str">
        <f t="shared" si="42"/>
        <v/>
      </c>
    </row>
    <row r="1498" spans="6:6">
      <c r="F1498" s="102" t="str">
        <f t="shared" si="42"/>
        <v/>
      </c>
    </row>
    <row r="1499" spans="6:6">
      <c r="F1499" s="102" t="str">
        <f t="shared" si="42"/>
        <v/>
      </c>
    </row>
    <row r="1500" spans="6:6">
      <c r="F1500" s="102" t="str">
        <f t="shared" si="42"/>
        <v/>
      </c>
    </row>
    <row r="1501" spans="6:6">
      <c r="F1501" s="102" t="str">
        <f t="shared" si="42"/>
        <v/>
      </c>
    </row>
    <row r="1502" spans="6:6">
      <c r="F1502" s="102" t="str">
        <f t="shared" si="42"/>
        <v/>
      </c>
    </row>
    <row r="1503" spans="6:6">
      <c r="F1503" s="102" t="str">
        <f t="shared" si="42"/>
        <v/>
      </c>
    </row>
    <row r="1504" spans="6:6">
      <c r="F1504" s="102" t="str">
        <f t="shared" si="42"/>
        <v/>
      </c>
    </row>
    <row r="1505" spans="6:6">
      <c r="F1505" s="102" t="str">
        <f t="shared" si="42"/>
        <v/>
      </c>
    </row>
    <row r="1506" spans="6:6">
      <c r="F1506" s="102" t="str">
        <f t="shared" si="42"/>
        <v/>
      </c>
    </row>
    <row r="1507" spans="6:6">
      <c r="F1507" s="102" t="str">
        <f t="shared" si="42"/>
        <v/>
      </c>
    </row>
    <row r="1508" spans="6:6">
      <c r="F1508" s="102" t="str">
        <f t="shared" si="42"/>
        <v/>
      </c>
    </row>
    <row r="1509" spans="6:6">
      <c r="F1509" s="102" t="str">
        <f t="shared" si="42"/>
        <v/>
      </c>
    </row>
    <row r="1510" spans="6:6">
      <c r="F1510" s="102" t="str">
        <f t="shared" si="42"/>
        <v/>
      </c>
    </row>
    <row r="1511" spans="6:6">
      <c r="F1511" s="102" t="str">
        <f t="shared" si="42"/>
        <v/>
      </c>
    </row>
    <row r="1512" spans="6:6">
      <c r="F1512" s="102" t="str">
        <f t="shared" si="42"/>
        <v/>
      </c>
    </row>
    <row r="1513" spans="6:6">
      <c r="F1513" s="102" t="str">
        <f t="shared" si="42"/>
        <v/>
      </c>
    </row>
    <row r="1514" spans="6:6">
      <c r="F1514" s="102" t="str">
        <f t="shared" si="42"/>
        <v/>
      </c>
    </row>
    <row r="1515" spans="6:6">
      <c r="F1515" s="102" t="str">
        <f t="shared" si="42"/>
        <v/>
      </c>
    </row>
    <row r="1516" spans="6:6">
      <c r="F1516" s="102" t="str">
        <f t="shared" si="42"/>
        <v/>
      </c>
    </row>
    <row r="1517" spans="6:6">
      <c r="F1517" s="102" t="str">
        <f t="shared" si="42"/>
        <v/>
      </c>
    </row>
    <row r="1518" spans="6:6">
      <c r="F1518" s="102" t="str">
        <f t="shared" si="42"/>
        <v/>
      </c>
    </row>
    <row r="1519" spans="6:6">
      <c r="F1519" s="102" t="str">
        <f t="shared" si="42"/>
        <v/>
      </c>
    </row>
    <row r="1520" spans="6:6">
      <c r="F1520" s="102" t="str">
        <f t="shared" si="42"/>
        <v/>
      </c>
    </row>
    <row r="1521" spans="6:6">
      <c r="F1521" s="102" t="str">
        <f t="shared" si="42"/>
        <v/>
      </c>
    </row>
    <row r="1522" spans="6:6">
      <c r="F1522" s="102" t="str">
        <f t="shared" si="42"/>
        <v/>
      </c>
    </row>
  </sheetData>
  <dataConsolidate/>
  <phoneticPr fontId="24" type="noConversion"/>
  <conditionalFormatting sqref="A423:E435 A436">
    <cfRule type="cellIs" dxfId="55" priority="9" operator="equal">
      <formula>0</formula>
    </cfRule>
  </conditionalFormatting>
  <conditionalFormatting sqref="A437:E520">
    <cfRule type="cellIs" dxfId="54" priority="3" operator="equal">
      <formula>0</formula>
    </cfRule>
  </conditionalFormatting>
  <conditionalFormatting sqref="A524:E567 A568 A569:E658 A659:D659">
    <cfRule type="cellIs" dxfId="53" priority="11" operator="equal">
      <formula>0</formula>
    </cfRule>
  </conditionalFormatting>
  <conditionalFormatting sqref="A660:E1522">
    <cfRule type="cellIs" dxfId="52" priority="2" operator="equal">
      <formula>0</formula>
    </cfRule>
  </conditionalFormatting>
  <conditionalFormatting sqref="A2:G2 I2:N5 Q2:T200 G3:G5 A3:E421 F3:F1522 G6:N200 G201:T211 G212:XFD472 G473:EH474 EK473:XFD474 G475:XFD490 IJ482:JD492 EE484:EH491 R489:AE491 EB489:ED491 EI489:EM491 G491:Q567 JE491:XFD1048576 R492:II492 R493:JD493 R494:W494 Y494:AA494 AE494:AI494 AJ494:JD504 R495:AI495 R496:U496 W496:AI496 R497:AI500 R501:AE501 AF501:AI504 Z502:AE516 R502:Y601 AF505:JD516 Z517:JD601 H568:Q568 G569:Q1522 R602:JD1048576 A1523:Q1048576">
    <cfRule type="cellIs" dxfId="51" priority="12" operator="equal">
      <formula>0</formula>
    </cfRule>
  </conditionalFormatting>
  <conditionalFormatting sqref="B422:E422">
    <cfRule type="cellIs" dxfId="50" priority="10" operator="equal">
      <formula>0</formula>
    </cfRule>
  </conditionalFormatting>
  <conditionalFormatting sqref="B436:E437">
    <cfRule type="cellIs" dxfId="49" priority="8" operator="equal">
      <formula>0</formula>
    </cfRule>
  </conditionalFormatting>
  <conditionalFormatting sqref="T1:V1 U2:XFD211">
    <cfRule type="cellIs" dxfId="48"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18" activePane="bottomRight" state="frozen"/>
      <selection activeCell="T14" sqref="T14"/>
      <selection pane="topRight" activeCell="T14" sqref="T14"/>
      <selection pane="bottomLeft" activeCell="T14" sqref="T14"/>
      <selection pane="bottomRight" activeCell="G26" sqref="G26"/>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2" t="s">
        <v>0</v>
      </c>
      <c r="C1" s="372"/>
      <c r="D1" s="372"/>
      <c r="E1" s="372"/>
      <c r="F1" s="372"/>
      <c r="G1" s="372"/>
      <c r="H1" s="3"/>
      <c r="I1" s="4"/>
      <c r="J1" s="1"/>
      <c r="K1" s="5" t="s">
        <v>1</v>
      </c>
      <c r="M1" s="340" t="s">
        <v>1742</v>
      </c>
      <c r="N1" s="48"/>
      <c r="O1" s="48"/>
      <c r="P1" s="48"/>
      <c r="Q1" s="48"/>
      <c r="R1" s="48"/>
    </row>
    <row r="2" spans="1:18">
      <c r="A2" s="1"/>
      <c r="B2" s="372"/>
      <c r="C2" s="372"/>
      <c r="D2" s="372"/>
      <c r="E2" s="372"/>
      <c r="F2" s="372"/>
      <c r="G2" s="372"/>
      <c r="H2" s="3"/>
      <c r="I2" s="4"/>
      <c r="J2" s="7"/>
      <c r="K2" s="6"/>
      <c r="M2" s="48"/>
      <c r="N2" s="48"/>
      <c r="O2" s="48"/>
      <c r="P2" s="48"/>
      <c r="Q2" s="48"/>
      <c r="R2" s="48"/>
    </row>
    <row r="3" spans="1:18">
      <c r="A3" s="1"/>
      <c r="B3" s="372"/>
      <c r="C3" s="372"/>
      <c r="D3" s="372"/>
      <c r="E3" s="372"/>
      <c r="F3" s="372"/>
      <c r="G3" s="372"/>
      <c r="H3" s="3"/>
      <c r="I3" s="1"/>
      <c r="J3" s="1"/>
      <c r="K3" s="7"/>
      <c r="M3" s="334"/>
      <c r="N3" s="48"/>
      <c r="O3" s="48"/>
      <c r="P3" s="48"/>
      <c r="Q3" s="48"/>
      <c r="R3" s="48"/>
    </row>
    <row r="4" spans="1:18" ht="24.75" customHeight="1">
      <c r="A4" s="1"/>
      <c r="B4" s="372"/>
      <c r="C4" s="372"/>
      <c r="D4" s="372"/>
      <c r="E4" s="372"/>
      <c r="F4" s="372"/>
      <c r="G4" s="372"/>
      <c r="H4" s="3"/>
      <c r="I4" s="1"/>
      <c r="J4" s="1"/>
      <c r="K4" s="1"/>
      <c r="M4" s="48"/>
      <c r="N4" s="48"/>
      <c r="O4" s="48"/>
      <c r="P4" s="48"/>
      <c r="Q4" s="48"/>
      <c r="R4" s="48"/>
    </row>
    <row r="5" spans="1:18" ht="18" customHeight="1" thickBot="1">
      <c r="A5" s="1"/>
      <c r="B5" s="372"/>
      <c r="C5" s="372"/>
      <c r="D5" s="372"/>
      <c r="E5" s="372"/>
      <c r="F5" s="372"/>
      <c r="G5" s="372"/>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3" t="s">
        <v>2830</v>
      </c>
      <c r="H7" s="374"/>
      <c r="I7" s="1"/>
      <c r="J7" s="1"/>
      <c r="K7" s="1"/>
      <c r="M7" s="48"/>
      <c r="N7" s="48"/>
      <c r="O7" s="48"/>
      <c r="P7" s="48"/>
      <c r="Q7" s="48"/>
      <c r="R7" s="48"/>
    </row>
    <row r="8" spans="1:18" ht="13.5" customHeight="1" thickBot="1">
      <c r="A8" s="1"/>
      <c r="B8" s="1"/>
      <c r="C8" s="1"/>
      <c r="D8" s="4"/>
      <c r="E8" s="1"/>
      <c r="F8" s="1"/>
      <c r="G8" s="375"/>
      <c r="H8" s="375"/>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847</v>
      </c>
      <c r="D11" s="302"/>
      <c r="E11" s="302"/>
      <c r="F11" s="302"/>
      <c r="G11" s="302"/>
      <c r="H11" s="15"/>
      <c r="I11" s="13"/>
      <c r="J11" s="13" t="s">
        <v>5</v>
      </c>
      <c r="K11" s="40">
        <f ca="1">NOW()</f>
        <v>45726.875961458332</v>
      </c>
      <c r="M11" s="336"/>
      <c r="N11" s="48"/>
      <c r="O11" s="48"/>
      <c r="P11" s="48"/>
      <c r="Q11" s="337"/>
      <c r="R11" s="48"/>
    </row>
    <row r="12" spans="1:18">
      <c r="A12" s="1"/>
      <c r="B12" s="13" t="s">
        <v>6</v>
      </c>
      <c r="C12" s="45" t="str">
        <f>IFERROR(VLOOKUP(C11,'Client List'!B:E,2,0),"")</f>
        <v>Mankoadze - Winneba</v>
      </c>
      <c r="D12" s="303"/>
      <c r="E12" s="303"/>
      <c r="F12" s="303"/>
      <c r="G12" s="303"/>
      <c r="H12" s="15"/>
      <c r="I12" s="13"/>
      <c r="J12" s="13" t="s">
        <v>7</v>
      </c>
      <c r="K12" s="16" t="str">
        <f ca="1">IFERROR("TSL-" &amp; LEFT(C11,1) &amp; IF(ISNUMBER(FIND(" ",C11)), MID(C11,FIND(" ",C11)+1,1), "") &amp; IF(ISNUMBER(FIND(" ",C11,FIND(" ",C11)+1)), MID(C11,FIND(" ",C11,FIND(" ",C11)+1)+1,1), "") &amp; "-" &amp; TEXT(TODAY(),"ddmmyy"), "")</f>
        <v>TSL-TR-100325</v>
      </c>
      <c r="M12" s="335"/>
      <c r="N12" s="48"/>
      <c r="O12" s="48"/>
      <c r="P12" s="48"/>
      <c r="Q12" s="337"/>
      <c r="R12" s="48"/>
    </row>
    <row r="13" spans="1:18">
      <c r="A13" s="1"/>
      <c r="B13" s="13" t="s">
        <v>8</v>
      </c>
      <c r="C13" s="45" t="str">
        <f>IFERROR(VLOOKUP(C11,'Client List'!B:E,3,0),"")</f>
        <v>Central Region</v>
      </c>
      <c r="D13" s="303"/>
      <c r="E13" s="303"/>
      <c r="F13" s="303"/>
      <c r="G13" s="303"/>
      <c r="H13" s="15"/>
      <c r="I13" s="13"/>
      <c r="J13" s="13" t="s">
        <v>9</v>
      </c>
      <c r="K13" s="16"/>
      <c r="M13" s="338"/>
      <c r="N13" s="48"/>
      <c r="O13" s="48"/>
      <c r="P13" s="48"/>
      <c r="Q13" s="341">
        <f>DATE(2025,6,1)</f>
        <v>45809</v>
      </c>
      <c r="R13" s="48"/>
    </row>
    <row r="14" spans="1:18">
      <c r="A14" s="1"/>
      <c r="B14" s="13" t="s">
        <v>1726</v>
      </c>
      <c r="C14" s="46" t="str">
        <f>IFERROR(IF(AND(VLOOKUP(C11,'Client List'!B:E,4,0)=0,VLOOKUP(C11,'Client List'!B:H,7,0)=0),"",VLOOKUP(C11,'Client List'!B:E,4,0)&amp;"  "&amp;VLOOKUP(C11,'Client List'!B:H,7,0)),"")</f>
        <v xml:space="preserve">0545245745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9" t="s">
        <v>12</v>
      </c>
      <c r="D16" s="370"/>
      <c r="E16" s="370"/>
      <c r="F16" s="370"/>
      <c r="G16" s="370"/>
      <c r="H16" s="370"/>
      <c r="I16" s="371"/>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Hybrid Solar System with 15kVA inverter, 30kWh Battery, 15kWp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1</v>
      </c>
      <c r="C18" s="279" t="str">
        <f t="array" aca="1" ref="C18" ca="1">IFERROR(INDEX(Items!O:O,SMALL(IF(Items!$O$6:$O$676&lt;&gt;"",ROW(Items!$O$6:$O$676)),Items!N6)),"gdhgf")</f>
        <v>Victron MultiPlus-II 48/15000/200-100 230V</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43459.519999999997</v>
      </c>
      <c r="K18" s="282">
        <f t="shared" ref="K18:K56" ca="1" si="0">IFERROR(SUM(B18*J18),"")</f>
        <v>43459.519999999997</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6</v>
      </c>
      <c r="C19" s="279" t="str">
        <f t="array" aca="1" ref="C19" ca="1">IFERROR(INDEX(Items!O:O,SMALL(IF(Items!$O$6:$O$676&lt;&gt;"",ROW(Items!$O$6:$O$676)),Items!N7)),"")</f>
        <v>BYD LV 5.0KWH Lithium Battery</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18200</v>
      </c>
      <c r="K19" s="282">
        <f t="shared" ca="1" si="0"/>
        <v>109200</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25</v>
      </c>
      <c r="C20" s="279" t="str">
        <f t="array" aca="1" ref="C20" ca="1">IFERROR(INDEX(Items!O:O,SMALL(IF(Items!$O$6:$O$676&lt;&gt;"",ROW(Items!$O$6:$O$676)),Items!N8)),"")</f>
        <v>JA Solar JAM66-S45 600 Watts Solar Panel</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1844.08</v>
      </c>
      <c r="K20" s="282">
        <f t="shared" ca="1" si="0"/>
        <v>46102</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1</v>
      </c>
      <c r="C21" s="279" t="str">
        <f t="array" aca="1" ref="C21" ca="1">IFERROR(INDEX(Items!O:O,SMALL(IF(Items!$O$6:$O$676&lt;&gt;"",ROW(Items!$O$6:$O$676)),Items!N9)),"")</f>
        <v>Victron SmartSolar MPPT 100/20 up to 48V</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1444.8</v>
      </c>
      <c r="K21" s="282">
        <f t="shared" ca="1" si="0"/>
        <v>1444.8</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2</v>
      </c>
      <c r="C22" s="279" t="str">
        <f t="array" aca="1" ref="C22" ca="1">IFERROR(INDEX(Items!O:O,SMALL(IF(Items!$O$6:$O$676&lt;&gt;"",ROW(Items!$O$6:$O$676)),Items!N10)),"")</f>
        <v>Victron SmartSolar MPPT 250/100-Tr VE.Can</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9911.36</v>
      </c>
      <c r="K22" s="282">
        <f t="shared" ca="1" si="0"/>
        <v>19822.72</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1</v>
      </c>
      <c r="C23" s="279" t="str">
        <f t="array" aca="1" ref="C23" ca="1">IFERROR(INDEX(Items!O:O,SMALL(IF(Items!$O$6:$O$676&lt;&gt;"",ROW(Items!$O$6:$O$676)),Items!N11)),"")</f>
        <v>Victron Cerbo GX</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4449.92</v>
      </c>
      <c r="K23" s="282">
        <f t="shared" ca="1" si="0"/>
        <v>4449.92</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1</v>
      </c>
      <c r="C24" s="279" t="str">
        <f t="array" aca="1" ref="C24" ca="1">IFERROR(INDEX(Items!O:O,SMALL(IF(Items!$O$6:$O$676&lt;&gt;"",ROW(Items!$O$6:$O$676)),Items!N12)),"")</f>
        <v>Victron GX Touch 50</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3361.28</v>
      </c>
      <c r="K24" s="282">
        <f t="shared" ca="1" si="0"/>
        <v>3361.28</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1</v>
      </c>
      <c r="C25" s="279" t="str">
        <f t="array" aca="1" ref="C25" ca="1">IFERROR(INDEX(Items!O:O,SMALL(IF(Items!$O$6:$O$676&lt;&gt;"",ROW(Items!$O$6:$O$676)),Items!N13)),"")</f>
        <v>Victron GX Touch 50 Wall Mount</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245.44</v>
      </c>
      <c r="K25" s="282">
        <f t="shared" ca="1" si="0"/>
        <v>245.44</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2</v>
      </c>
      <c r="C26" s="279" t="str">
        <f t="array" aca="1" ref="C26" ca="1">IFERROR(INDEX(Items!O:O,SMALL(IF(Items!$O$6:$O$676&lt;&gt;"",ROW(Items!$O$6:$O$676)),Items!N14)),"")</f>
        <v>Victron Solar Busbar 250A 2P with 6 screws +cover</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707.84</v>
      </c>
      <c r="K26" s="282">
        <f t="shared" ca="1" si="0"/>
        <v>1415.68</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2</v>
      </c>
      <c r="C27" s="279" t="str">
        <f t="array" aca="1" ref="C27" ca="1">IFERROR(INDEX(Items!O:O,SMALL(IF(Items!$O$6:$O$676&lt;&gt;"",ROW(Items!$O$6:$O$676)),Items!N15)),"")</f>
        <v>Solar DC Combiner BHS 3/1</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2022.72</v>
      </c>
      <c r="K27" s="282">
        <f t="shared" ca="1" si="0"/>
        <v>4045.44</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1</v>
      </c>
      <c r="C28" s="279" t="str">
        <f t="array" aca="1" ref="C28" ca="1">IFERROR(INDEX(Items!O:O,SMALL(IF(Items!$O$6:$O$676&lt;&gt;"",ROW(Items!$O$6:$O$676)),Items!N16)),"")</f>
        <v>Citel AC Surge Protection Device DAC50VGS-11-275/G VAC 1-Phase</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781.6</v>
      </c>
      <c r="K28" s="282">
        <f t="shared" ca="1" si="0"/>
        <v>781.6</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60</v>
      </c>
      <c r="C29" s="279" t="str">
        <f t="array" aca="1" ref="C29" ca="1">IFERROR(INDEX(Items!O:O,SMALL(IF(Items!$O$6:$O$676&lt;&gt;"",ROW(Items!$O$6:$O$676)),Items!N17)),"")</f>
        <v>Hikra Sol DC Solar cable 1x4mm2 1500V H1Z2Z2</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16.32</v>
      </c>
      <c r="K29" s="282">
        <f t="shared" ca="1" si="0"/>
        <v>979.2</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180</v>
      </c>
      <c r="C30" s="279" t="str">
        <f t="array" aca="1" ref="C30" ca="1">IFERROR(INDEX(Items!O:O,SMALL(IF(Items!$O$6:$O$676&lt;&gt;"",ROW(Items!$O$6:$O$676)),Items!N18)),"")</f>
        <v>Hikra Sol DC Solar cable 1x10mm2 1500V H1Z2Z2</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37.6</v>
      </c>
      <c r="K30" s="282">
        <f t="shared" ca="1" si="0"/>
        <v>6768</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30</v>
      </c>
      <c r="C31" s="279" t="str">
        <f t="array" aca="1" ref="C31" ca="1">IFERROR(INDEX(Items!O:O,SMALL(IF(Items!$O$6:$O$676&lt;&gt;"",ROW(Items!$O$6:$O$676)),Items!N19)),"")</f>
        <v>Hikra Sol DC Solar cable 1x16mm2 1500V H1Z2Z2</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72.48</v>
      </c>
      <c r="K31" s="282">
        <f t="shared" ca="1" si="0"/>
        <v>2174.4</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15</v>
      </c>
      <c r="C32" s="279" t="str">
        <f t="array" aca="1" ref="C32" ca="1">IFERROR(INDEX(Items!O:O,SMALL(IF(Items!$O$6:$O$676&lt;&gt;"",ROW(Items!$O$6:$O$676)),Items!N20)),"")</f>
        <v>Hikra Sol DC Solar cable 1x25mm2 1500V H1Z2Z2</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132</v>
      </c>
      <c r="K32" s="282">
        <f t="shared" ca="1" si="0"/>
        <v>1980</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5</v>
      </c>
      <c r="C33" s="279" t="str">
        <f t="array" aca="1" ref="C33" ca="1">IFERROR(INDEX(Items!O:O,SMALL(IF(Items!$O$6:$O$676&lt;&gt;"",ROW(Items!$O$6:$O$676)),Items!N21)),"")</f>
        <v>Hikra Sol DC Solar cable 1x95mm2 1500V H1Z2Z2</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660.32</v>
      </c>
      <c r="K33" s="282">
        <f t="shared" ca="1" si="0"/>
        <v>3301.6000000000004</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15</v>
      </c>
      <c r="C34" s="279" t="str">
        <f t="array" aca="1" ref="C34" ca="1">IFERROR(INDEX(Items!O:O,SMALL(IF(Items!$O$6:$O$676&lt;&gt;"",ROW(Items!$O$6:$O$676)),Items!N22)),"")</f>
        <v>Top Cable AC solar cable 5x25mm2 RV-K 0.6/1KV</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458.88</v>
      </c>
      <c r="K34" s="282">
        <f t="shared" ca="1" si="0"/>
        <v>6883.2</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55</v>
      </c>
      <c r="C35" s="279" t="str">
        <f t="array" aca="1" ref="C35" ca="1">IFERROR(INDEX(Items!O:O,SMALL(IF(Items!$O$6:$O$676&lt;&gt;"",ROW(Items!$O$6:$O$676)),Items!N23)),"")</f>
        <v>1x6mm2 RV-K 0.6/1KV Yellow/Green Earth Cable</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35.200000000000003</v>
      </c>
      <c r="K35" s="282">
        <f t="shared" ca="1" si="0"/>
        <v>1936.0000000000002</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1</v>
      </c>
      <c r="C36" s="279" t="str">
        <f t="array" aca="1" ref="C36" ca="1">IFERROR(INDEX(Items!O:O,SMALL(IF(Items!$O$6:$O$676&lt;&gt;"",ROW(Items!$O$6:$O$676)),Items!N24)),"")</f>
        <v>Victron RJ45 UTP Cable 3 m</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202.24</v>
      </c>
      <c r="K36" s="282">
        <f t="shared" ca="1" si="0"/>
        <v>202.24</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3</v>
      </c>
      <c r="C37" s="279" t="str">
        <f t="array" aca="1" ref="C37" ca="1">IFERROR(INDEX(Items!O:O,SMALL(IF(Items!$O$6:$O$676&lt;&gt;"",ROW(Items!$O$6:$O$676)),Items!N25)),"")</f>
        <v>Victron VE.Direct Cable 1,8m</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216.8</v>
      </c>
      <c r="K37" s="282">
        <f t="shared" ca="1" si="0"/>
        <v>650.40000000000009</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1</v>
      </c>
      <c r="C38" s="279" t="str">
        <f t="array" aca="1" ref="C38" ca="1">IFERROR(INDEX(Items!O:O,SMALL(IF(Items!$O$6:$O$676&lt;&gt;"",ROW(Items!$O$6:$O$676)),Items!N26)),"")</f>
        <v>Victron VE.Can to CAN-bus BMS type B Cable 1.8m</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279.68</v>
      </c>
      <c r="K38" s="282">
        <f t="shared" ca="1" si="0"/>
        <v>279.68</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1</v>
      </c>
      <c r="C39" s="279" t="str">
        <f t="array" aca="1" ref="C39" ca="1">IFERROR(INDEX(Items!O:O,SMALL(IF(Items!$O$6:$O$676&lt;&gt;"",ROW(Items!$O$6:$O$676)),Items!N27)),"")</f>
        <v>250A Manual Transfer Switch</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3200</v>
      </c>
      <c r="K39" s="282">
        <f t="shared" ca="1" si="0"/>
        <v>3200</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2</v>
      </c>
      <c r="C40" s="279" t="str">
        <f t="array" aca="1" ref="C40" ca="1">IFERROR(INDEX(Items!O:O,SMALL(IF(Items!$O$6:$O$676&lt;&gt;"",ROW(Items!$O$6:$O$676)),Items!N28)),"")</f>
        <v>100A 2-Pole AC Circuit Breaker</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784</v>
      </c>
      <c r="K40" s="282">
        <f t="shared" ca="1" si="0"/>
        <v>1568</v>
      </c>
      <c r="L40" s="49"/>
      <c r="M40" s="48"/>
      <c r="N40" s="48"/>
      <c r="O40" s="48"/>
      <c r="P40" s="48"/>
      <c r="Q40" s="48"/>
      <c r="R40" s="48"/>
    </row>
    <row r="41" spans="1:18" ht="16" customHeight="1">
      <c r="A41" s="1"/>
      <c r="B41" s="294">
        <f t="array" aca="1" ref="B41" ca="1">IF('Customer Base'!$I$15="MANUAL",IFERROR(INDEX(Items!B$6:B$679,SMALL(IF(Items!B$6:B$679&lt;&gt;"",ROW(Items!B$6:B$679)-MIN(ROW(Items!B$6:B$679))+1),Items!N29)),""),IF('Customer Base'!$I$15="AUTOMATE",IFERROR(INDEX(Items!A$6:A$679,SMALL(IF(Items!A$6:A$679&lt;&gt;"",ROW(Items!A$6:A$679)-MIN(ROW(Items!A$6:A$679))+1),Items!N29)),""),""))</f>
        <v>9</v>
      </c>
      <c r="C41" s="279" t="str">
        <f t="array" aca="1" ref="C41" ca="1">IFERROR(INDEX(Items!O:O,SMALL(IF(Items!$O$6:$O$676&lt;&gt;"",ROW(Items!$O$6:$O$676)),Items!N29)),"")</f>
        <v>Victron MC4 Solar connector pair MC4, 1x Male/1x Female</v>
      </c>
      <c r="D41" s="284"/>
      <c r="E41" s="284"/>
      <c r="F41" s="284"/>
      <c r="G41" s="284"/>
      <c r="H41" s="284"/>
      <c r="I41" s="284"/>
      <c r="J41" s="285">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144.47999999999999</v>
      </c>
      <c r="K41" s="282">
        <f t="shared" ca="1" si="0"/>
        <v>1300.32</v>
      </c>
      <c r="L41" s="49"/>
      <c r="M41" s="48"/>
      <c r="N41" s="48"/>
      <c r="O41" s="48"/>
      <c r="P41" s="48"/>
      <c r="Q41" s="48"/>
      <c r="R41" s="48"/>
    </row>
    <row r="42" spans="1:18" ht="16" customHeight="1">
      <c r="A42" s="1"/>
      <c r="B42" s="294">
        <f t="array" aca="1" ref="B42" ca="1">IF('Customer Base'!$I$15="MANUAL",IFERROR(INDEX(Items!B$6:B$679,SMALL(IF(Items!B$6:B$679&lt;&gt;"",ROW(Items!B$6:B$679)-MIN(ROW(Items!B$6:B$679))+1),Items!N30)),""),IF('Customer Base'!$I$15="AUTOMATE",IFERROR(INDEX(Items!A$6:A$679,SMALL(IF(Items!A$6:A$679&lt;&gt;"",ROW(Items!A$6:A$679)-MIN(ROW(Items!A$6:A$679))+1),Items!N30)),""),""))</f>
        <v>2</v>
      </c>
      <c r="C42" s="279" t="str">
        <f t="array" aca="1" ref="C42" ca="1">IFERROR(INDEX(Items!O:O,SMALL(IF(Items!$O$6:$O$676&lt;&gt;"",ROW(Items!$O$6:$O$676)),Items!N30)),"")</f>
        <v>50x200mm Enclosure with Dinrail</v>
      </c>
      <c r="D42" s="284"/>
      <c r="E42" s="284"/>
      <c r="F42" s="284"/>
      <c r="G42" s="284"/>
      <c r="H42" s="284"/>
      <c r="I42" s="284"/>
      <c r="J42" s="285">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271.18644067792002</v>
      </c>
      <c r="K42" s="282">
        <f t="shared" ca="1" si="0"/>
        <v>542.37288135584004</v>
      </c>
      <c r="L42" s="49"/>
      <c r="M42" s="48"/>
      <c r="N42" s="48"/>
      <c r="O42" s="48"/>
      <c r="P42" s="48"/>
      <c r="Q42" s="48"/>
      <c r="R42" s="48"/>
    </row>
    <row r="43" spans="1:18" ht="16" customHeight="1">
      <c r="A43" s="1"/>
      <c r="B43" s="294">
        <f t="array" aca="1" ref="B43" ca="1">IF('Customer Base'!$I$15="MANUAL",IFERROR(INDEX(Items!B$6:B$679,SMALL(IF(Items!B$6:B$679&lt;&gt;"",ROW(Items!B$6:B$679)-MIN(ROW(Items!B$6:B$679))+1),Items!N31)),""),IF('Customer Base'!$I$15="AUTOMATE",IFERROR(INDEX(Items!A$6:A$679,SMALL(IF(Items!A$6:A$679&lt;&gt;"",ROW(Items!A$6:A$679)-MIN(ROW(Items!A$6:A$679))+1),Items!N31)),""),""))</f>
        <v>6.5</v>
      </c>
      <c r="C43" s="279" t="str">
        <f t="array" aca="1" ref="C43" ca="1">IFERROR(INDEX(Items!O:O,SMALL(IF(Items!$O$6:$O$676&lt;&gt;"",ROW(Items!$O$6:$O$676)),Items!N31)),"")</f>
        <v>Mounting Structure for Metal/ Tile Roof (per set of 4 panels) - 4.64 meter</v>
      </c>
      <c r="D43" s="284"/>
      <c r="E43" s="284"/>
      <c r="F43" s="284"/>
      <c r="G43" s="284"/>
      <c r="H43" s="284"/>
      <c r="I43" s="284"/>
      <c r="J43" s="285">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1376</v>
      </c>
      <c r="K43" s="282">
        <f t="shared" ca="1" si="0"/>
        <v>8944</v>
      </c>
      <c r="L43" s="49"/>
      <c r="M43" s="48"/>
      <c r="N43" s="48"/>
      <c r="O43" s="48"/>
      <c r="P43" s="48"/>
      <c r="Q43" s="48"/>
      <c r="R43" s="48"/>
    </row>
    <row r="44" spans="1:18" ht="16" customHeight="1">
      <c r="A44" s="1"/>
      <c r="B44" s="294">
        <f t="array" aca="1" ref="B44" ca="1">IF('Customer Base'!$I$15="MANUAL",IFERROR(INDEX(Items!B$6:B$679,SMALL(IF(Items!B$6:B$679&lt;&gt;"",ROW(Items!B$6:B$679)-MIN(ROW(Items!B$6:B$679))+1),Items!N32)),""),IF('Customer Base'!$I$15="AUTOMATE",IFERROR(INDEX(Items!A$6:A$679,SMALL(IF(Items!A$6:A$679&lt;&gt;"",ROW(Items!A$6:A$679)-MIN(ROW(Items!A$6:A$679))+1),Items!N32)),""),""))</f>
        <v>1</v>
      </c>
      <c r="C44" s="279" t="str">
        <f t="array" aca="1" ref="C44" ca="1">IFERROR(INDEX(Items!O:O,SMALL(IF(Items!$O$6:$O$676&lt;&gt;"",ROW(Items!$O$6:$O$676)),Items!N32)),"")</f>
        <v>PVC Pipes, Trunking, Cable Lugs and Assessories</v>
      </c>
      <c r="D44" s="284"/>
      <c r="E44" s="284"/>
      <c r="F44" s="284"/>
      <c r="G44" s="284"/>
      <c r="H44" s="284"/>
      <c r="I44" s="284"/>
      <c r="J44" s="285">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1598.3999999999999</v>
      </c>
      <c r="K44" s="282">
        <f t="shared" ca="1" si="0"/>
        <v>1598.3999999999999</v>
      </c>
      <c r="L44" s="49"/>
      <c r="M44" s="48"/>
      <c r="N44" s="48"/>
      <c r="O44" s="48"/>
      <c r="P44" s="48"/>
      <c r="Q44" s="48"/>
      <c r="R44" s="48"/>
    </row>
    <row r="45" spans="1:18" ht="16" customHeight="1">
      <c r="A45" s="1"/>
      <c r="B45" s="294">
        <f t="array" aca="1" ref="B45" ca="1">IF('Customer Base'!$I$15="MANUAL",IFERROR(INDEX(Items!B$6:B$679,SMALL(IF(Items!B$6:B$679&lt;&gt;"",ROW(Items!B$6:B$679)-MIN(ROW(Items!B$6:B$679))+1),Items!N33)),""),IF('Customer Base'!$I$15="AUTOMATE",IFERROR(INDEX(Items!A$6:A$679,SMALL(IF(Items!A$6:A$679&lt;&gt;"",ROW(Items!A$6:A$679)-MIN(ROW(Items!A$6:A$679))+1),Items!N33)),""),""))</f>
        <v>1</v>
      </c>
      <c r="C45" s="279" t="str">
        <f t="array" aca="1" ref="C45" ca="1">IFERROR(INDEX(Items!O:O,SMALL(IF(Items!$O$6:$O$676&lt;&gt;"",ROW(Items!$O$6:$O$676)),Items!N33)),"")</f>
        <v>Transportation Expenses</v>
      </c>
      <c r="D45" s="280"/>
      <c r="E45" s="280"/>
      <c r="F45" s="280"/>
      <c r="G45" s="280"/>
      <c r="H45" s="280"/>
      <c r="I45" s="280"/>
      <c r="J45" s="285">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4517.8578000000007</v>
      </c>
      <c r="K45" s="282">
        <f t="shared" ca="1" si="0"/>
        <v>4517.8578000000007</v>
      </c>
      <c r="L45" s="49"/>
      <c r="M45" s="48"/>
      <c r="N45" s="48"/>
      <c r="O45" s="48"/>
      <c r="P45" s="48"/>
      <c r="Q45" s="48"/>
      <c r="R45" s="48"/>
    </row>
    <row r="46" spans="1:18" ht="16" customHeight="1">
      <c r="A46" s="1"/>
      <c r="B46" s="294">
        <f t="array" aca="1" ref="B46" ca="1">IF('Customer Base'!$I$15="MANUAL",IFERROR(INDEX(Items!B$6:B$679,SMALL(IF(Items!B$6:B$679&lt;&gt;"",ROW(Items!B$6:B$679)-MIN(ROW(Items!B$6:B$679))+1),Items!N34)),""),IF('Customer Base'!$I$15="AUTOMATE",IFERROR(INDEX(Items!A$6:A$679,SMALL(IF(Items!A$6:A$679&lt;&gt;"",ROW(Items!A$6:A$679)-MIN(ROW(Items!A$6:A$679))+1),Items!N34)),""),""))</f>
        <v>1</v>
      </c>
      <c r="C46" s="279" t="str">
        <f t="array" aca="1" ref="C46" ca="1">IFERROR(INDEX(Items!O:O,SMALL(IF(Items!$O$6:$O$676&lt;&gt;"",ROW(Items!$O$6:$O$676)),Items!N34)),"")</f>
        <v>Engineering and Installation Works</v>
      </c>
      <c r="D46" s="280"/>
      <c r="E46" s="280"/>
      <c r="F46" s="280"/>
      <c r="G46" s="280"/>
      <c r="H46" s="280"/>
      <c r="I46" s="280"/>
      <c r="J46" s="285">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5864</v>
      </c>
      <c r="K46" s="282">
        <f t="shared" ca="1" si="0"/>
        <v>5864</v>
      </c>
      <c r="L46" s="49"/>
      <c r="M46" s="48"/>
      <c r="N46" s="48"/>
      <c r="O46" s="48"/>
      <c r="P46" s="48"/>
      <c r="Q46" s="48"/>
      <c r="R46" s="48"/>
    </row>
    <row r="47" spans="1:18" ht="16" customHeight="1">
      <c r="A47" s="1"/>
      <c r="B47" s="294" t="str">
        <f t="array" aca="1" ref="B47" ca="1">IF('Customer Base'!$I$15="MANUAL",IFERROR(INDEX(Items!B$6:B$679,SMALL(IF(Items!B$6:B$679&lt;&gt;"",ROW(Items!B$6:B$679)-MIN(ROW(Items!B$6:B$679))+1),Items!N35)),""),IF('Customer Base'!$I$15="AUTOMATE",IFERROR(INDEX(Items!A$6:A$679,SMALL(IF(Items!A$6:A$679&lt;&gt;"",ROW(Items!A$6:A$679)-MIN(ROW(Items!A$6:A$679))+1),Items!N35)),""),""))</f>
        <v/>
      </c>
      <c r="C47" s="279" t="str">
        <f t="array" aca="1" ref="C47" ca="1">IFERROR(INDEX(Items!O:O,SMALL(IF(Items!$O$6:$O$676&lt;&gt;"",ROW(Items!$O$6:$O$676)),Items!N35)),"")</f>
        <v/>
      </c>
      <c r="D47" s="280"/>
      <c r="E47" s="280"/>
      <c r="F47" s="280"/>
      <c r="G47" s="280"/>
      <c r="H47" s="280"/>
      <c r="I47" s="280"/>
      <c r="J47" s="285" t="str">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
      </c>
      <c r="K47" s="282" t="str">
        <f t="shared" ca="1" si="0"/>
        <v/>
      </c>
      <c r="L47" s="49"/>
      <c r="M47" s="48"/>
      <c r="N47" s="48"/>
      <c r="O47" s="48"/>
      <c r="P47" s="48"/>
      <c r="Q47" s="48"/>
      <c r="R47" s="48"/>
    </row>
    <row r="48" spans="1:18" ht="16" customHeight="1">
      <c r="A48" s="1"/>
      <c r="B48" s="294" t="str">
        <f t="array" aca="1" ref="B48" ca="1">IF('Customer Base'!$I$15="MANUAL",IFERROR(INDEX(Items!B$6:B$679,SMALL(IF(Items!B$6:B$679&lt;&gt;"",ROW(Items!B$6:B$679)-MIN(ROW(Items!B$6:B$679))+1),Items!N36)),""),IF('Customer Base'!$I$15="AUTOMATE",IFERROR(INDEX(Items!A$6:A$679,SMALL(IF(Items!A$6:A$679&lt;&gt;"",ROW(Items!A$6:A$679)-MIN(ROW(Items!A$6:A$679))+1),Items!N36)),""),""))</f>
        <v/>
      </c>
      <c r="C48" s="279" t="str">
        <f t="array" aca="1" ref="C48" ca="1">IFERROR(INDEX(Items!O:O,SMALL(IF(Items!$O$6:$O$676&lt;&gt;"",ROW(Items!$O$6:$O$676)),Items!N36)),"")</f>
        <v/>
      </c>
      <c r="D48" s="280"/>
      <c r="E48" s="280"/>
      <c r="F48" s="280"/>
      <c r="G48" s="280"/>
      <c r="H48" s="280"/>
      <c r="I48" s="280"/>
      <c r="J48" s="285" t="str">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
      </c>
      <c r="K48" s="282" t="str">
        <f t="shared" ca="1" si="0"/>
        <v/>
      </c>
      <c r="L48" s="49"/>
      <c r="M48" s="48"/>
      <c r="N48" s="48"/>
      <c r="O48" s="48"/>
      <c r="P48" s="48"/>
      <c r="Q48" s="48"/>
      <c r="R48" s="48"/>
    </row>
    <row r="49" spans="1:118" ht="16" customHeight="1">
      <c r="A49" s="1"/>
      <c r="B49" s="294" t="str">
        <f t="array" aca="1" ref="B49" ca="1">IF('Customer Base'!$I$15="MANUAL",IFERROR(INDEX(Items!B$6:B$679,SMALL(IF(Items!B$6:B$679&lt;&gt;"",ROW(Items!B$6:B$679)-MIN(ROW(Items!B$6:B$679))+1),Items!N37)),""),IF('Customer Base'!$I$15="AUTOMATE",IFERROR(INDEX(Items!A$6:A$679,SMALL(IF(Items!A$6:A$679&lt;&gt;"",ROW(Items!A$6:A$679)-MIN(ROW(Items!A$6:A$679))+1),Items!N37)),""),""))</f>
        <v/>
      </c>
      <c r="C49" s="279" t="str">
        <f t="array" aca="1" ref="C49" ca="1">IFERROR(INDEX(Items!O:O,SMALL(IF(Items!$O$6:$O$676&lt;&gt;"",ROW(Items!$O$6:$O$676)),Items!N37)),"")</f>
        <v/>
      </c>
      <c r="D49" s="280"/>
      <c r="E49" s="280"/>
      <c r="F49" s="280"/>
      <c r="G49" s="280"/>
      <c r="H49" s="280"/>
      <c r="I49" s="280"/>
      <c r="J49" s="285" t="str">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
      </c>
      <c r="K49" s="282" t="str">
        <f t="shared" ca="1" si="0"/>
        <v/>
      </c>
      <c r="L49" s="49"/>
      <c r="M49" s="48"/>
      <c r="N49" s="48"/>
      <c r="O49" s="48"/>
      <c r="P49" s="48"/>
      <c r="Q49" s="48"/>
      <c r="R49" s="48"/>
    </row>
    <row r="50" spans="1:118" ht="16" customHeight="1">
      <c r="A50" s="1"/>
      <c r="B50" s="294" t="str">
        <f t="array" aca="1" ref="B50" ca="1">IF('Customer Base'!$I$15="MANUAL",IFERROR(INDEX(Items!B$6:B$679,SMALL(IF(Items!B$6:B$679&lt;&gt;"",ROW(Items!B$6:B$679)-MIN(ROW(Items!B$6:B$679))+1),Items!N38)),""),IF('Customer Base'!$I$15="AUTOMATE",IFERROR(INDEX(Items!A$6:A$679,SMALL(IF(Items!A$6:A$679&lt;&gt;"",ROW(Items!A$6:A$679)-MIN(ROW(Items!A$6:A$679))+1),Items!N38)),""),""))</f>
        <v/>
      </c>
      <c r="C50" s="279" t="str">
        <f t="array" aca="1" ref="C50" ca="1">IFERROR(INDEX(Items!O:O,SMALL(IF(Items!$O$6:$O$676&lt;&gt;"",ROW(Items!$O$6:$O$676)),Items!N38)),"")</f>
        <v/>
      </c>
      <c r="D50" s="280"/>
      <c r="E50" s="280"/>
      <c r="F50" s="280"/>
      <c r="G50" s="280"/>
      <c r="H50" s="280"/>
      <c r="I50" s="280"/>
      <c r="J50" s="285" t="str">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
      </c>
      <c r="K50" s="282" t="str">
        <f t="shared" ca="1" si="0"/>
        <v/>
      </c>
      <c r="L50" s="49"/>
      <c r="M50" s="48"/>
      <c r="N50" s="48"/>
      <c r="O50" s="48"/>
      <c r="P50" s="48"/>
      <c r="Q50" s="48"/>
      <c r="R50" s="48"/>
    </row>
    <row r="51" spans="1:118" ht="16" customHeight="1">
      <c r="A51" s="1"/>
      <c r="B51" s="294" t="str">
        <f t="array" aca="1" ref="B51" ca="1">IF('Customer Base'!$I$15="MANUAL",IFERROR(INDEX(Items!B$6:B$679,SMALL(IF(Items!B$6:B$679&lt;&gt;"",ROW(Items!B$6:B$679)-MIN(ROW(Items!B$6:B$679))+1),Items!N39)),""),IF('Customer Base'!$I$15="AUTOMATE",IFERROR(INDEX(Items!A$6:A$679,SMALL(IF(Items!A$6:A$679&lt;&gt;"",ROW(Items!A$6:A$679)-MIN(ROW(Items!A$6:A$679))+1),Items!N39)),""),""))</f>
        <v/>
      </c>
      <c r="C51" s="279" t="str">
        <f t="array" aca="1" ref="C51" ca="1">IFERROR(INDEX(Items!O:O,SMALL(IF(Items!$O$6:$O$676&lt;&gt;"",ROW(Items!$O$6:$O$676)),Items!N39)),"")</f>
        <v/>
      </c>
      <c r="D51" s="280"/>
      <c r="E51" s="280"/>
      <c r="F51" s="280"/>
      <c r="G51" s="280"/>
      <c r="H51" s="280"/>
      <c r="I51" s="280"/>
      <c r="J51" s="285" t="str">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
      </c>
      <c r="K51" s="282" t="str">
        <f t="shared" ca="1" si="0"/>
        <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t="shared" ca="1" si="0"/>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t="shared" ca="1" si="0"/>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t="shared" ca="1" si="0"/>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t="shared" ca="1" si="0"/>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ref="K57:K62" si="1">IFERROR(SUM(B57*J57),"")</f>
        <v/>
      </c>
      <c r="L57" s="49"/>
      <c r="M57" s="48"/>
      <c r="N57" s="48"/>
      <c r="O57" s="48"/>
      <c r="P57" s="48"/>
      <c r="Q57" s="48"/>
      <c r="R57" s="48"/>
    </row>
    <row r="58" spans="1:118">
      <c r="A58" s="1"/>
      <c r="B58" s="295"/>
      <c r="C58" s="30" t="s">
        <v>1909</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1"/>
        <v/>
      </c>
      <c r="L58" s="49"/>
      <c r="M58" s="48"/>
      <c r="N58" s="48"/>
      <c r="O58" s="48"/>
      <c r="P58" s="48"/>
      <c r="Q58" s="48"/>
      <c r="R58" s="48"/>
    </row>
    <row r="59" spans="1:118" s="20" customFormat="1" ht="13">
      <c r="A59" s="4"/>
      <c r="B59" s="295"/>
      <c r="C59" s="30" t="s">
        <v>2616</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1"/>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2773</v>
      </c>
      <c r="D60" s="29"/>
      <c r="E60" s="29"/>
      <c r="F60" s="29"/>
      <c r="G60" s="29"/>
      <c r="H60" s="29"/>
      <c r="I60" s="29"/>
      <c r="J60" s="285"/>
      <c r="K60" s="282">
        <f t="shared" si="1"/>
        <v>0</v>
      </c>
      <c r="L60" s="49"/>
      <c r="M60" s="48"/>
      <c r="N60" s="48"/>
      <c r="O60" s="48"/>
      <c r="P60" s="48"/>
      <c r="Q60" s="48"/>
      <c r="R60" s="48"/>
    </row>
    <row r="61" spans="1:118">
      <c r="A61" s="1"/>
      <c r="B61" s="295"/>
      <c r="C61" s="30" t="s">
        <v>2839</v>
      </c>
      <c r="D61" s="29"/>
      <c r="E61" s="29"/>
      <c r="F61" s="29"/>
      <c r="G61" s="29"/>
      <c r="H61" s="29"/>
      <c r="I61" s="31"/>
      <c r="J61" s="285"/>
      <c r="K61" s="282">
        <f t="shared" si="1"/>
        <v>0</v>
      </c>
      <c r="L61" s="49"/>
      <c r="M61" s="48"/>
      <c r="N61" s="48"/>
      <c r="O61" s="48"/>
      <c r="P61" s="48"/>
      <c r="Q61" s="48"/>
      <c r="R61" s="48"/>
    </row>
    <row r="62" spans="1:118" s="23" customFormat="1" ht="15" customHeight="1">
      <c r="A62" s="21"/>
      <c r="B62" s="295"/>
      <c r="C62" s="30" t="s">
        <v>1210</v>
      </c>
      <c r="D62" s="38"/>
      <c r="E62" s="38"/>
      <c r="F62" s="38"/>
      <c r="G62" s="38"/>
      <c r="H62" s="38"/>
      <c r="I62" s="39"/>
      <c r="J62" s="286"/>
      <c r="K62" s="282">
        <f t="shared" si="1"/>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2829</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1449</v>
      </c>
      <c r="D66" s="13"/>
      <c r="E66" s="13"/>
      <c r="F66" s="13"/>
      <c r="G66" s="13"/>
      <c r="H66" s="13"/>
      <c r="I66" s="13"/>
      <c r="J66" s="25" t="s">
        <v>15</v>
      </c>
      <c r="K66" s="288">
        <f ca="1">IF(NOW()&gt;Q13,"",IF(SUM(K17:K65)&gt;0,ROUND(SUM(K17:K65),2),""))</f>
        <v>287018.07</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
      </c>
      <c r="K67" s="288" t="str">
        <f>IF(J67="","",IFERROR(6%*K66,0))</f>
        <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c>
      <c r="K68" s="288" t="str">
        <f>IF(K67="","",ROUND(SUM(K66:K67),2))</f>
        <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
      </c>
      <c r="K69" s="288" t="str">
        <f>IF(J69="","",IFERROR(15%*K68,0))</f>
        <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287,018.07</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3"/>
      <c r="J72" s="363"/>
      <c r="K72" s="364"/>
      <c r="M72" s="48"/>
      <c r="N72" s="48"/>
      <c r="O72" s="48"/>
      <c r="P72" s="48"/>
      <c r="Q72" s="48"/>
      <c r="R72" s="48"/>
    </row>
    <row r="73" spans="1:18">
      <c r="A73" s="1"/>
      <c r="B73" s="25"/>
      <c r="C73" s="36"/>
      <c r="D73" s="35"/>
      <c r="E73" s="35"/>
      <c r="F73" s="13"/>
      <c r="G73" s="13"/>
      <c r="H73" s="13"/>
      <c r="I73" s="365"/>
      <c r="J73" s="365"/>
      <c r="K73" s="366"/>
      <c r="M73" s="48"/>
      <c r="N73" s="48"/>
      <c r="O73" s="48"/>
      <c r="P73" s="48"/>
      <c r="Q73" s="48"/>
      <c r="R73" s="48"/>
    </row>
    <row r="74" spans="1:18">
      <c r="A74" s="1"/>
      <c r="B74" s="13"/>
      <c r="C74" s="37" t="s">
        <v>968</v>
      </c>
      <c r="D74" s="13"/>
      <c r="E74" s="13"/>
      <c r="F74" s="13"/>
      <c r="G74" s="13"/>
      <c r="H74" s="13"/>
      <c r="I74" s="367"/>
      <c r="J74" s="367"/>
      <c r="K74" s="368"/>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2796</v>
      </c>
      <c r="C77" s="13"/>
      <c r="D77" s="13"/>
      <c r="E77" s="13"/>
      <c r="F77" s="13"/>
      <c r="G77" s="13"/>
      <c r="H77" s="13"/>
      <c r="I77" s="13"/>
      <c r="J77" s="13"/>
      <c r="K77" s="13"/>
      <c r="M77" s="48"/>
      <c r="N77" s="48"/>
      <c r="O77" s="48"/>
      <c r="P77" s="48"/>
      <c r="Q77" s="48"/>
      <c r="R77" s="48"/>
    </row>
    <row r="78" spans="1:18" ht="16" thickTop="1">
      <c r="A78" s="1"/>
      <c r="B78" s="355" t="s">
        <v>2795</v>
      </c>
      <c r="C78" s="28"/>
      <c r="D78" s="28"/>
      <c r="E78" s="28"/>
      <c r="F78" s="28"/>
      <c r="G78" s="28"/>
      <c r="H78" s="28"/>
      <c r="I78" s="28"/>
      <c r="J78" s="28"/>
      <c r="K78" s="28"/>
      <c r="M78" s="48"/>
      <c r="N78" s="48"/>
      <c r="O78" s="48"/>
      <c r="P78" s="48"/>
      <c r="Q78" s="48"/>
      <c r="R78" s="48"/>
    </row>
    <row r="79" spans="1:18">
      <c r="A79" s="1"/>
      <c r="B79" s="13"/>
      <c r="C79" s="361"/>
      <c r="D79" s="361"/>
      <c r="E79" s="361"/>
      <c r="F79" s="361"/>
      <c r="G79" s="361"/>
      <c r="H79" s="361"/>
      <c r="I79" s="361"/>
      <c r="J79" s="361"/>
      <c r="K79" s="13"/>
      <c r="M79" s="48"/>
      <c r="N79" s="48"/>
      <c r="O79" s="48"/>
      <c r="P79" s="48"/>
      <c r="Q79" s="48"/>
      <c r="R79" s="48"/>
    </row>
    <row r="80" spans="1:18">
      <c r="A80" s="1"/>
      <c r="B80" s="13"/>
      <c r="C80" s="362"/>
      <c r="D80" s="362"/>
      <c r="E80" s="362"/>
      <c r="F80" s="362"/>
      <c r="G80" s="362"/>
      <c r="H80" s="362"/>
      <c r="I80" s="362"/>
      <c r="J80" s="362"/>
      <c r="K80" s="13"/>
      <c r="M80" s="48"/>
      <c r="N80" s="48"/>
      <c r="O80" s="48"/>
      <c r="P80" s="48"/>
      <c r="Q80" s="48"/>
      <c r="R80" s="48"/>
    </row>
    <row r="81" spans="1:16136">
      <c r="A81" s="1"/>
      <c r="B81" s="13"/>
      <c r="C81" s="362"/>
      <c r="D81" s="362"/>
      <c r="E81" s="362"/>
      <c r="F81" s="362"/>
      <c r="G81" s="362"/>
      <c r="H81" s="362"/>
      <c r="I81" s="362"/>
      <c r="J81" s="362"/>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7" priority="2" operator="equal">
      <formula>0</formula>
    </cfRule>
  </conditionalFormatting>
  <conditionalFormatting sqref="K1:K1048576 C78:J78">
    <cfRule type="cellIs" dxfId="46"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zoomScale="103" zoomScaleNormal="100" workbookViewId="0">
      <selection activeCell="J6" sqref="J6"/>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customWidth="1"/>
    <col min="14" max="14" width="10.6640625" style="50" customWidth="1"/>
    <col min="15" max="15" width="13" style="50" customWidth="1"/>
    <col min="16" max="16" width="14.83203125" style="50" customWidth="1"/>
    <col min="17" max="17" width="12.33203125" style="50" customWidth="1"/>
    <col min="18" max="18" width="16.83203125" style="50" customWidth="1"/>
    <col min="19" max="19" width="17.5" style="50" customWidth="1"/>
    <col min="20" max="21" width="11.83203125" style="50" customWidth="1"/>
    <col min="22" max="22" width="15.1640625" style="50" customWidth="1"/>
    <col min="23" max="24" width="16.33203125" style="50" customWidth="1"/>
    <col min="25" max="25" width="16.6640625" style="50" customWidth="1"/>
    <col min="26" max="27" width="17.1640625" style="50" customWidth="1"/>
    <col min="28" max="16384" width="9.1640625" style="50"/>
  </cols>
  <sheetData>
    <row r="1" spans="2:27" ht="15" thickBot="1"/>
    <row r="2" spans="2:27" ht="16" thickTop="1" thickBot="1">
      <c r="B2" s="56"/>
      <c r="C2" s="57"/>
      <c r="D2" s="57"/>
      <c r="E2" s="58"/>
      <c r="F2" s="58"/>
      <c r="G2" s="59"/>
      <c r="I2" s="82" t="s">
        <v>1738</v>
      </c>
      <c r="J2" s="299"/>
      <c r="K2" s="83" t="s">
        <v>1739</v>
      </c>
      <c r="L2" s="359"/>
    </row>
    <row r="3" spans="2:27" ht="20" thickTop="1" thickBot="1">
      <c r="B3" s="60"/>
      <c r="C3" s="376" t="s">
        <v>2498</v>
      </c>
      <c r="D3" s="377"/>
      <c r="E3" s="377"/>
      <c r="F3" s="378"/>
      <c r="G3" s="61"/>
      <c r="I3" s="84"/>
      <c r="J3" s="79"/>
      <c r="K3" s="85"/>
    </row>
    <row r="4" spans="2:27" ht="19" thickTop="1">
      <c r="B4" s="60"/>
      <c r="C4" s="66"/>
      <c r="D4" s="66"/>
      <c r="E4" s="66"/>
      <c r="F4" s="66"/>
      <c r="G4" s="61"/>
      <c r="I4" s="86" t="s">
        <v>1273</v>
      </c>
      <c r="J4" s="291" t="str">
        <f ca="1">IFERROR(INVOICE!K14&amp;" "&amp;TEXT(IF(I12="DISPLAY TAX",ROUND(SUM(INVOICE!K68:K69)/J9,2),ROUND(INVOICE!K66/J9,2)),"#,##0.00"),"")</f>
        <v>GH₵ 19,134.54</v>
      </c>
      <c r="K4" s="87"/>
      <c r="U4" s="360" t="str">
        <f ca="1">IF(NOW()&gt;INVOICE!Q13,"","AUTOMATE")</f>
        <v>AUTOMATE</v>
      </c>
    </row>
    <row r="5" spans="2:27" ht="28" customHeight="1">
      <c r="B5" s="342"/>
      <c r="C5" s="379"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Hybrid Solar System with 15kVA inverter, 30kWh Battery, 15kWp Solar Panels and Remote Monitoring</v>
      </c>
      <c r="D5" s="380"/>
      <c r="E5" s="380"/>
      <c r="F5" s="381"/>
      <c r="G5" s="61"/>
      <c r="I5" s="86" t="s">
        <v>1239</v>
      </c>
      <c r="J5" s="296">
        <v>16</v>
      </c>
      <c r="K5" s="87"/>
      <c r="U5" s="360" t="s">
        <v>2475</v>
      </c>
    </row>
    <row r="6" spans="2:27" ht="14" customHeight="1">
      <c r="B6" s="60"/>
      <c r="C6" s="382"/>
      <c r="D6" s="383"/>
      <c r="E6" s="383"/>
      <c r="F6" s="384"/>
      <c r="G6" s="61"/>
      <c r="I6" s="88"/>
      <c r="J6" s="81"/>
      <c r="K6" s="87"/>
    </row>
    <row r="7" spans="2:27">
      <c r="B7" s="60"/>
      <c r="C7" s="69" t="s">
        <v>2457</v>
      </c>
      <c r="D7" s="274" t="s">
        <v>2459</v>
      </c>
      <c r="F7" s="61"/>
      <c r="G7" s="61"/>
      <c r="I7" s="89" t="s">
        <v>1214</v>
      </c>
      <c r="J7" s="290">
        <f>'Customer Base'!D$14*'Customer Base'!D$15</f>
        <v>15</v>
      </c>
      <c r="K7" s="90" t="s">
        <v>1228</v>
      </c>
      <c r="M7" s="52" t="s">
        <v>2708</v>
      </c>
      <c r="N7" s="52" t="s">
        <v>2461</v>
      </c>
      <c r="O7" s="52" t="s">
        <v>2197</v>
      </c>
      <c r="P7" s="52" t="s">
        <v>2474</v>
      </c>
      <c r="Q7" s="52" t="s">
        <v>2462</v>
      </c>
      <c r="R7" s="52" t="s">
        <v>2663</v>
      </c>
      <c r="S7" s="52" t="s">
        <v>2662</v>
      </c>
      <c r="T7" s="52" t="s">
        <v>2466</v>
      </c>
      <c r="U7" s="52" t="s">
        <v>2463</v>
      </c>
      <c r="V7" s="52" t="s">
        <v>1215</v>
      </c>
      <c r="W7" s="52" t="s">
        <v>2469</v>
      </c>
      <c r="X7" s="52" t="s">
        <v>2660</v>
      </c>
      <c r="Y7" s="52" t="s">
        <v>2489</v>
      </c>
      <c r="Z7" s="53" t="s">
        <v>2493</v>
      </c>
      <c r="AA7" s="52"/>
    </row>
    <row r="8" spans="2:27">
      <c r="B8" s="60"/>
      <c r="C8" s="69" t="s">
        <v>2468</v>
      </c>
      <c r="D8" s="274">
        <v>48</v>
      </c>
      <c r="F8" s="61"/>
      <c r="G8" s="61"/>
      <c r="I8" s="86" t="s">
        <v>1215</v>
      </c>
      <c r="J8" s="291">
        <f>SUM(Items!AO205:AO236)</f>
        <v>30</v>
      </c>
      <c r="K8" s="91" t="s">
        <v>1229</v>
      </c>
      <c r="M8" s="50" t="s">
        <v>2195</v>
      </c>
      <c r="N8" s="50" t="s">
        <v>2198</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2472</v>
      </c>
      <c r="X8" s="50" t="str">
        <f>IF(D$25="Victron",115,"")</f>
        <v/>
      </c>
      <c r="Y8" s="50" t="s">
        <v>2490</v>
      </c>
      <c r="Z8" s="50" t="s">
        <v>2492</v>
      </c>
    </row>
    <row r="9" spans="2:27">
      <c r="B9" s="60"/>
      <c r="C9" s="69" t="s">
        <v>2474</v>
      </c>
      <c r="D9" s="275">
        <v>1</v>
      </c>
      <c r="F9" s="61"/>
      <c r="G9" s="61"/>
      <c r="I9" s="92" t="s">
        <v>1216</v>
      </c>
      <c r="J9" s="292">
        <f>SUM(Items!AO242:AO254)</f>
        <v>15</v>
      </c>
      <c r="K9" s="93" t="s">
        <v>1230</v>
      </c>
      <c r="M9" s="50" t="s">
        <v>2199</v>
      </c>
      <c r="N9" s="50" t="s">
        <v>2458</v>
      </c>
      <c r="O9" s="50" cm="1">
        <f t="array" ref="O9">IF(OR(ISNUMBER(SEARCH({"Hybrid","Backup","Mini-Grid"},D$7))),24,"")</f>
        <v>24</v>
      </c>
      <c r="P9" s="50">
        <v>3</v>
      </c>
      <c r="Q9" s="50" t="str" cm="1">
        <f t="array" ref="Q9">IF(OR(ISNUMBER(SEARCH({"Hybrid","Backup"},D$7))),"Deye","")</f>
        <v>Deye</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2465</v>
      </c>
      <c r="X9" s="50" t="str">
        <f>IF(D$25="Victron",270,"")</f>
        <v/>
      </c>
      <c r="Y9" s="50" t="s">
        <v>2491</v>
      </c>
      <c r="Z9" s="50" t="s">
        <v>2494</v>
      </c>
    </row>
    <row r="10" spans="2:27">
      <c r="B10" s="60"/>
      <c r="C10" s="70"/>
      <c r="D10" s="71"/>
      <c r="E10" s="64"/>
      <c r="F10" s="65"/>
      <c r="G10" s="61"/>
      <c r="I10" s="94"/>
      <c r="J10" s="80"/>
      <c r="K10" s="95"/>
      <c r="M10" s="50" t="s">
        <v>2200</v>
      </c>
      <c r="N10" s="50" t="s">
        <v>2459</v>
      </c>
      <c r="O10" s="305" cm="1">
        <f t="array" ref="O10">IF(OR(ISNUMBER(SEARCH({"Hybrid","Backup","Mini-Grid"},D$7))),12,"")</f>
        <v>12</v>
      </c>
      <c r="Q10" s="50" t="str" cm="1">
        <f t="array" ref="Q10">IF(OR(ISNUMBER(SEARCH({"Hybrid","Backup"},D$7))),"Phocos","")</f>
        <v>Phocos</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2464</v>
      </c>
      <c r="X10" s="50" t="str">
        <f>IF(D$25="Victron",305,"")</f>
        <v/>
      </c>
      <c r="Z10" s="50" t="s">
        <v>2495</v>
      </c>
    </row>
    <row r="11" spans="2:27">
      <c r="B11" s="60"/>
      <c r="C11" s="54"/>
      <c r="D11" s="55"/>
      <c r="G11" s="61"/>
      <c r="I11" s="88"/>
      <c r="J11" s="98" t="str">
        <f>IF(AND(D7&lt;&gt;"Mini-Grid",D7&lt;&gt;"Grid-Tied"),"","AC DC ratio")</f>
        <v/>
      </c>
      <c r="K11" s="91">
        <v>1.2</v>
      </c>
      <c r="N11" s="50" t="s">
        <v>2460</v>
      </c>
      <c r="O11" s="305" t="str" cm="1">
        <f t="array" ref="O11">IF(OR(ISNUMBER(SEARCH({"Grid-Tied"},D$7))),"230/400","")</f>
        <v/>
      </c>
      <c r="Q11" s="50" t="str" cm="1">
        <f t="array" ref="Q11">IF(OR(ISNUMBER(SEARCH({"Mini-Grid","Grid-Tied"},D$7))),"Fronius","")</f>
        <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1824</v>
      </c>
      <c r="X11" s="50" t="str">
        <f>IF(D$25="Victron",330,"")</f>
        <v/>
      </c>
    </row>
    <row r="12" spans="2:27">
      <c r="B12" s="60"/>
      <c r="C12" s="67"/>
      <c r="D12" s="68"/>
      <c r="E12" s="58"/>
      <c r="F12" s="59"/>
      <c r="G12" s="61"/>
      <c r="I12" s="297" t="s">
        <v>1463</v>
      </c>
      <c r="J12" s="81"/>
      <c r="K12" s="87"/>
      <c r="Q12" s="50" t="str" cm="1">
        <f t="array" ref="Q12">IF(OR(ISNUMBER(SEARCH({"Mini-Grid","Grid-Tied"},D$7))),"Huawei","")</f>
        <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2473</v>
      </c>
      <c r="X12" s="50" t="str">
        <f>IF(D$25="Sharp",415,"")</f>
        <v/>
      </c>
    </row>
    <row r="13" spans="2:27">
      <c r="B13" s="60"/>
      <c r="C13" s="69" t="s">
        <v>2456</v>
      </c>
      <c r="D13" s="274" t="s">
        <v>1824</v>
      </c>
      <c r="E13" s="316" t="s">
        <v>2199</v>
      </c>
      <c r="F13" s="274" t="s">
        <v>2667</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v>
      </c>
      <c r="D14" s="307">
        <v>15</v>
      </c>
      <c r="E14" s="56"/>
      <c r="F14" s="317">
        <v>5</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t="str" cm="1">
        <f t="array" ref="S14">IF(OR(AND(ISNUMBER(SEARCH({"Victron"},F$13)),ISNUMBER(SEARCH({"Phoenix"},E$13)),OR(ISNUMBER(SEARCH({12,24,48},D$8)))),AND(ISNUMBER(SEARCH({"Victron"},F$13)),ISNUMBER(SEARCH({"Multiplus"},E$13)),OR(ISNUMBER(SEARCH({12,24,48},D$8)))),AND(OR(ISNUMBER(SEARCH({"Fronius","Huawei"},F$13))),ISNUMBER(SEARCH({"Mini-Grid"},D$7)))),2,"")</f>
        <v/>
      </c>
      <c r="V14" s="50" t="str">
        <f>IF(AND(D$19="12V Lead-Acid",D$20="Victron"),110,"")</f>
        <v/>
      </c>
      <c r="X14" s="50" t="str">
        <f>IF(D$25="BYD",545,"")</f>
        <v/>
      </c>
    </row>
    <row r="15" spans="2:27">
      <c r="B15" s="60"/>
      <c r="C15" s="69" t="s">
        <v>2467</v>
      </c>
      <c r="D15" s="276">
        <v>1</v>
      </c>
      <c r="F15" s="318">
        <v>1</v>
      </c>
      <c r="G15" s="61"/>
      <c r="I15" s="297" t="s">
        <v>2832</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t="str"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t="str"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
      </c>
      <c r="V16" s="50" t="str">
        <f>IF(AND(D$19="12V Lead-Acid",D$20="Victron"),220,"")</f>
        <v/>
      </c>
      <c r="X16" s="50">
        <f>IF(D$25="JA Solar",565,"")</f>
        <v>565</v>
      </c>
    </row>
    <row r="17" spans="2:24">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t="str" cm="1">
        <f t="array" ref="S17">IF(OR(AND(ISNUMBER(SEARCH({"Victron"},F$13)),ISNUMBER(SEARCH({"Multiplus"},E$13)),ISNUMBER(SEARCH({48},D$8))),AND(ISNUMBER(SEARCH({"Deye"},F$13)),ISNUMBER(SEARCH({48},D$8))),AND(ISNUMBER(SEARCH({"Fronius"},F$13)),ISNUMBER(SEARCH({"Mini-Grid"},D$7)))),6,"")</f>
        <v/>
      </c>
      <c r="V17" s="50" t="str">
        <f>IF(AND(D$19="12V Lead-Acid",D$20="Hoppecke"),150,"")</f>
        <v/>
      </c>
      <c r="X17" s="50">
        <f>IF(D$25="JA Solar",600,"")</f>
        <v>600</v>
      </c>
    </row>
    <row r="18" spans="2:24"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t="str"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
      </c>
      <c r="V18" s="50" t="str">
        <f>IF(AND(D$19="12V Lead-Acid",D$20="Hoppecke"),250,"")</f>
        <v/>
      </c>
    </row>
    <row r="19" spans="2:24" ht="15" thickTop="1">
      <c r="B19" s="60"/>
      <c r="C19" s="69" t="s">
        <v>2466</v>
      </c>
      <c r="D19" s="274" t="s">
        <v>1823</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t="str" cm="1">
        <f t="array" ref="S19">IF(OR(AND(ISNUMBER(SEARCH({"Victron"},F$13)),ISNUMBER(SEARCH({"Multiplus"},E$13)),ISNUMBER(SEARCH({48},D$8))),AND(ISNUMBER(SEARCH({"Victron"},F$13)),ISNUMBER(SEARCH({"Quattro"},E$13)),ISNUMBER(SEARCH({48},D$8))),AND(ISNUMBER(SEARCH({"Deye"},F$13)),ISNUMBER(SEARCH({48},D$8))),AND(OR(ISNUMBER(SEARCH({"Fronius","Huawei"},F$13))),ISNUMBER(SEARCH({"Mini-Grid"},D$7)))),10,"")</f>
        <v/>
      </c>
      <c r="V19" s="50" t="str">
        <f>IF(AND(D$19="2V OPzV",D$20="Hoppecke"),1250,"")</f>
        <v/>
      </c>
    </row>
    <row r="20" spans="2:24">
      <c r="B20" s="60"/>
      <c r="C20" s="69" t="s">
        <v>2668</v>
      </c>
      <c r="D20" s="274" t="s">
        <v>2464</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4">
      <c r="B21" s="60"/>
      <c r="C21" s="69" t="s">
        <v>2669</v>
      </c>
      <c r="D21" s="276">
        <v>6</v>
      </c>
      <c r="F21" s="61"/>
      <c r="G21" s="61"/>
      <c r="R21" s="50" cm="1">
        <f t="array" ref="R21">IF(OR(AND(ISNUMBER(SEARCH({"Victron"},D$13)),ISNUMBER(SEARCH({"Multiplus"},E$13)),ISNUMBER(SEARCH({48},D$8))),AND(ISNUMBER(SEARCH({"Victron"},D$13)),ISNUMBER(SEARCH({"Quattro"},E$13)),ISNUMBER(SEARCH({48},D$8))),AND(ISNUMBER(SEARCH({"Fronius"},D$13)),ISNUMBER(SEARCH({"230/400"},D$8)))),15,"")</f>
        <v>15</v>
      </c>
      <c r="S21" s="50" t="str" cm="1">
        <f t="array" ref="S21">IF(OR(AND(ISNUMBER(SEARCH({"Victron"},F$13)),ISNUMBER(SEARCH({"Multiplus"},E$13)),ISNUMBER(SEARCH({48},D$8))),AND(ISNUMBER(SEARCH({"Victron"},F$13)),ISNUMBER(SEARCH({"Quattro"},E$13)),ISNUMBER(SEARCH({48},D$8))),AND(ISNUMBER(SEARCH({"Fronius"},F$13)),ISNUMBER(SEARCH({"Mini-Grid"},D$7)))),15,"")</f>
        <v/>
      </c>
      <c r="V21" s="50" t="str">
        <f>IF(AND(D$19="2V OPzS",D$20="Victron"),900,"")</f>
        <v/>
      </c>
    </row>
    <row r="22" spans="2:24">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4">
      <c r="B23" s="60"/>
      <c r="C23" s="54"/>
      <c r="D23" s="54"/>
      <c r="G23" s="61"/>
      <c r="R23" s="50" t="str" cm="1">
        <f t="array" ref="R23">IF(AND(ISNUMBER(SEARCH({"Fronius"},D$13)),ISNUMBER(SEARCH({"230/400"},D$8))),17.5,"")</f>
        <v/>
      </c>
      <c r="S23" s="50" t="str" cm="1">
        <f t="array" ref="S23">IF(AND(ISNUMBER(SEARCH({"Fronius"},F$13)),ISNUMBER(SEARCH({"Mini-Grid"},D$7))),17.5,"")</f>
        <v/>
      </c>
      <c r="V23" s="50">
        <f>IF(AND(D$19="Lithium",D$20="BYD"),5,"")</f>
        <v>5</v>
      </c>
    </row>
    <row r="24" spans="2:24">
      <c r="B24" s="60"/>
      <c r="C24" s="67"/>
      <c r="D24" s="68"/>
      <c r="E24" s="58"/>
      <c r="F24" s="59"/>
      <c r="G24" s="61"/>
      <c r="R24" s="50" t="str" cm="1">
        <f t="array" ref="R24">IF(AND(OR(ISNUMBER(SEARCH({"Fronius","Huawei"},D$13))),ISNUMBER(SEARCH({"230/400"},D$8))),20,"")</f>
        <v/>
      </c>
      <c r="S24" s="50" t="str" cm="1">
        <f t="array" ref="S24">IF(AND(OR(ISNUMBER(SEARCH({"Fronius","Huawei"},F$13))),ISNUMBER(SEARCH({"Mini-Grid"},D$7))),20,"")</f>
        <v/>
      </c>
      <c r="V24" s="50">
        <f>IF(AND(D$19="Lithium",D$20="BYD"),15,"")</f>
        <v>15</v>
      </c>
    </row>
    <row r="25" spans="2:24">
      <c r="B25" s="60"/>
      <c r="C25" s="69" t="s">
        <v>2470</v>
      </c>
      <c r="D25" s="277" t="s">
        <v>2472</v>
      </c>
      <c r="E25" s="273">
        <f ca="1">IF(D13="Victron",SUM(Items!A242:A254)-IF('Client List'!IL474="",0,'Client List'!IL474),SUM(Items!A242:A254))</f>
        <v>25</v>
      </c>
      <c r="F25" s="61" t="s">
        <v>2508</v>
      </c>
      <c r="G25" s="61"/>
      <c r="R25" s="50" t="str" cm="1">
        <f t="array" ref="R25">IF(AND(ISNUMBER(SEARCH({"Fronius"},D$13)),ISNUMBER(SEARCH({"230/400"},D$8))),25,"")</f>
        <v/>
      </c>
      <c r="S25" s="50" t="str" cm="1">
        <f t="array" ref="S25">IF(AND(ISNUMBER(SEARCH({"Fronius"},F$13)),ISNUMBER(SEARCH({"Mini-Grid"},D$7))),25,"")</f>
        <v/>
      </c>
      <c r="V25" s="50" t="str">
        <f>IF(AND(D$19="Lithium",D$20="Jinko"),4.8,"")</f>
        <v/>
      </c>
    </row>
    <row r="26" spans="2:24">
      <c r="B26" s="60"/>
      <c r="C26" s="69" t="s">
        <v>2661</v>
      </c>
      <c r="D26" s="277">
        <v>600</v>
      </c>
      <c r="E26" s="305"/>
      <c r="F26" s="61"/>
      <c r="G26" s="61"/>
      <c r="R26" s="50" t="str" cm="1">
        <f t="array" ref="R26">IF(AND(ISNUMBER(SEARCH({"Fronius"},D$13)),ISNUMBER(SEARCH({"230/400"},D$8))),27,"")</f>
        <v/>
      </c>
      <c r="S26" s="50" t="str" cm="1">
        <f t="array" ref="S26">IF(AND(ISNUMBER(SEARCH({"Fronius"},F$13)),ISNUMBER(SEARCH({"Mini-Grid"},D$7))),27,"")</f>
        <v/>
      </c>
    </row>
    <row r="27" spans="2:24">
      <c r="B27" s="60"/>
      <c r="C27" s="69" t="s">
        <v>2471</v>
      </c>
      <c r="D27" s="276">
        <v>15</v>
      </c>
      <c r="E27" s="308">
        <f>IF(D7="Grid-Tied",ROUNDUP(1.2*((D14*D15)),0),(D21*IF(D19="Lithium",E20,IF(OR(D19="2V OPzV",D19="2V OPzS"),E20*2/1000,IF(D19="12V Lead-Acid",E20*12/1000,0)))/4)+(0.5*((D14*D15))))</f>
        <v>15</v>
      </c>
      <c r="F27" s="61" t="s">
        <v>2507</v>
      </c>
      <c r="G27" s="61"/>
      <c r="R27" s="50" t="str" cm="1">
        <f t="array" ref="R27">IF(AND(OR(ISNUMBER(SEARCH({"Fronius","Huawei"},D$13))),ISNUMBER(SEARCH({"230/400"},D$8))),30,"")</f>
        <v/>
      </c>
      <c r="S27" s="50" t="str" cm="1">
        <f t="array" ref="S27">IF(AND(ISNUMBER(SEARCH({"Huawei"},F$13)),ISNUMBER(SEARCH({"Mini-Grid"},D$7))),30,"")</f>
        <v/>
      </c>
    </row>
    <row r="28" spans="2:24">
      <c r="B28" s="60"/>
      <c r="C28" s="70"/>
      <c r="D28" s="72"/>
      <c r="E28" s="64"/>
      <c r="F28" s="65"/>
      <c r="G28" s="61"/>
      <c r="R28" s="50" t="str" cm="1">
        <f t="array" ref="R28">IF(AND(ISNUMBER(SEARCH({"Fronius"},D$13)),ISNUMBER(SEARCH({"230/400"},D$8))),33.3,"")</f>
        <v/>
      </c>
      <c r="S28" s="50" t="str" cm="1">
        <f t="array" ref="S28">IF(AND(ISNUMBER(SEARCH({"Huawei"},F$13)),ISNUMBER(SEARCH({"Mini-Grid"},D$7))),40,"")</f>
        <v/>
      </c>
    </row>
    <row r="29" spans="2:24">
      <c r="B29" s="60"/>
      <c r="C29" s="54"/>
      <c r="D29" s="54"/>
      <c r="G29" s="61"/>
      <c r="R29" s="50" t="str" cm="1">
        <f t="array" ref="R29">IF(AND(ISNUMBER(SEARCH({"Huawei"},D$13)),ISNUMBER(SEARCH({"230/400"},D$8))),40,"")</f>
        <v/>
      </c>
      <c r="S29" s="50" t="str" cm="1">
        <f t="array" ref="S29">IF(AND(OR(ISNUMBER(SEARCH({"Fronius","Huawei"},F$13))),ISNUMBER(SEARCH({"Mini-Grid"},D$7))),50,"")</f>
        <v/>
      </c>
    </row>
    <row r="30" spans="2:24">
      <c r="B30" s="60"/>
      <c r="C30" s="67"/>
      <c r="D30" s="68"/>
      <c r="E30" s="58"/>
      <c r="F30" s="59"/>
      <c r="G30" s="61"/>
      <c r="R30" s="50" t="str" cm="1">
        <f t="array" ref="R30">IF(AND(OR(ISNUMBER(SEARCH({"Fronius","Huawei"},D$13))),ISNUMBER(SEARCH({"230/400"},D$8))),50,"")</f>
        <v/>
      </c>
      <c r="S30" s="50" t="str" cm="1">
        <f t="array" ref="S30">IF(AND(ISNUMBER(SEARCH({"Fronius"},F$13)),ISNUMBER(SEARCH({"Mini-Grid"},D$7))),100,"")</f>
        <v/>
      </c>
    </row>
    <row r="31" spans="2:24">
      <c r="B31" s="60"/>
      <c r="C31" s="69" t="s">
        <v>2476</v>
      </c>
      <c r="D31" s="276">
        <v>30</v>
      </c>
      <c r="F31" s="61"/>
      <c r="G31" s="61"/>
      <c r="R31" s="50" t="str" cm="1">
        <f t="array" ref="R31">IF(AND(ISNUMBER(SEARCH({"Fronius"},D$13)),ISNUMBER(SEARCH({"230/400"},D$8))),100,"")</f>
        <v/>
      </c>
    </row>
    <row r="32" spans="2:24">
      <c r="B32" s="60"/>
      <c r="C32" s="69" t="s">
        <v>2477</v>
      </c>
      <c r="D32" s="276">
        <v>15</v>
      </c>
      <c r="F32" s="61"/>
      <c r="G32" s="61"/>
    </row>
    <row r="33" spans="2:7">
      <c r="B33" s="60"/>
      <c r="C33" s="69"/>
      <c r="D33" s="54"/>
      <c r="F33" s="61"/>
      <c r="G33" s="61"/>
    </row>
    <row r="34" spans="2:7">
      <c r="B34" s="60"/>
      <c r="C34" s="69" t="str">
        <f>IF(D7="Grid-Tied","Hybrid Controller:","Remote Monitoring:")</f>
        <v>Remote Monitoring:</v>
      </c>
      <c r="D34" s="274" t="s">
        <v>2490</v>
      </c>
      <c r="E34" s="315">
        <v>1</v>
      </c>
      <c r="F34" s="61" t="s">
        <v>2649</v>
      </c>
      <c r="G34" s="61"/>
    </row>
    <row r="35" spans="2:7">
      <c r="B35" s="60"/>
      <c r="C35" s="69"/>
      <c r="D35" s="54"/>
      <c r="F35" s="61"/>
      <c r="G35" s="61"/>
    </row>
    <row r="36" spans="2:7">
      <c r="B36" s="60"/>
      <c r="C36" s="69" t="s">
        <v>2493</v>
      </c>
      <c r="D36" s="274" t="s">
        <v>2492</v>
      </c>
      <c r="F36" s="61"/>
      <c r="G36" s="61"/>
    </row>
    <row r="37" spans="2:7">
      <c r="B37" s="60"/>
      <c r="C37" s="73"/>
      <c r="D37" s="63"/>
      <c r="E37" s="64"/>
      <c r="F37" s="65"/>
      <c r="G37" s="61"/>
    </row>
    <row r="38" spans="2:7">
      <c r="B38" s="60"/>
      <c r="G38" s="61"/>
    </row>
    <row r="39" spans="2:7">
      <c r="B39" s="60"/>
      <c r="C39" s="54" t="s">
        <v>2499</v>
      </c>
      <c r="D39" s="272" t="str">
        <f ca="1">INVOICE!K70</f>
        <v>GH₵ 287,018.07</v>
      </c>
      <c r="G39" s="61"/>
    </row>
    <row r="40" spans="2:7">
      <c r="B40" s="62"/>
      <c r="C40" s="63"/>
      <c r="D40" s="63"/>
      <c r="E40" s="64"/>
      <c r="F40" s="64"/>
      <c r="G40" s="65"/>
    </row>
  </sheetData>
  <mergeCells count="3">
    <mergeCell ref="C3:F3"/>
    <mergeCell ref="C5:F5"/>
    <mergeCell ref="C6:F6"/>
  </mergeCells>
  <conditionalFormatting sqref="C31">
    <cfRule type="expression" dxfId="45" priority="19">
      <formula>ISERROR(MATCH($D$7,$N$8:$N$10,0))</formula>
    </cfRule>
  </conditionalFormatting>
  <conditionalFormatting sqref="D8">
    <cfRule type="expression" dxfId="43" priority="28">
      <formula>ISERROR(MATCH($D$8,$O$8:$O$11,0))</formula>
    </cfRule>
  </conditionalFormatting>
  <conditionalFormatting sqref="D13">
    <cfRule type="expression" dxfId="42" priority="13">
      <formula>ISERROR(MATCH($D$13,$Q$8:$Q$12,0))</formula>
    </cfRule>
  </conditionalFormatting>
  <conditionalFormatting sqref="D14">
    <cfRule type="expression" dxfId="41" priority="12">
      <formula>ISERROR(MATCH($D$14,$R$8:$R$31,0))</formula>
    </cfRule>
  </conditionalFormatting>
  <conditionalFormatting sqref="D19">
    <cfRule type="expression" dxfId="40" priority="32">
      <formula>ISERROR(MATCH($D$19,$T$8:$T$11,0))</formula>
    </cfRule>
  </conditionalFormatting>
  <conditionalFormatting sqref="D19:D20">
    <cfRule type="expression" dxfId="39" priority="16">
      <formula>ISERROR(MATCH($D$7,$N$9:$N$11,0))</formula>
    </cfRule>
  </conditionalFormatting>
  <conditionalFormatting sqref="D20">
    <cfRule type="expression" dxfId="38" priority="33">
      <formula>ISERROR(MATCH($D$20,$U$8:$U$12,0))</formula>
    </cfRule>
  </conditionalFormatting>
  <conditionalFormatting sqref="D21">
    <cfRule type="expression" dxfId="37" priority="24">
      <formula>ISERROR(MATCH($D$19,$T$8:$T$11,0))</formula>
    </cfRule>
    <cfRule type="expression" dxfId="36" priority="31">
      <formula>ISERROR(MATCH($D$7,$N$9:$N$11,0))</formula>
    </cfRule>
  </conditionalFormatting>
  <conditionalFormatting sqref="D25">
    <cfRule type="expression" dxfId="35" priority="8">
      <formula>ISERROR(MATCH($D$7,$N$8:$N$10,0))</formula>
    </cfRule>
  </conditionalFormatting>
  <conditionalFormatting sqref="D26">
    <cfRule type="expression" dxfId="33" priority="35" stopIfTrue="1">
      <formula>ISERROR(MATCH($D$26,$X$8:$X$18,0))</formula>
    </cfRule>
    <cfRule type="expression" dxfId="32" priority="38">
      <formula>ISERROR(MATCH($D$7,$N$8:$N$10,0))</formula>
    </cfRule>
  </conditionalFormatting>
  <conditionalFormatting sqref="D27">
    <cfRule type="expression" dxfId="31" priority="36">
      <formula>ISERROR(MATCH($D$7,$N$8:$N$10,0))</formula>
    </cfRule>
  </conditionalFormatting>
  <conditionalFormatting sqref="D31">
    <cfRule type="expression" dxfId="30" priority="18">
      <formula>ISERROR(MATCH($D$7,$N$8:$N$10,0))</formula>
    </cfRule>
  </conditionalFormatting>
  <conditionalFormatting sqref="E13">
    <cfRule type="expression" dxfId="27" priority="7">
      <formula>$D$13&lt;&gt;"Victron"</formula>
    </cfRule>
  </conditionalFormatting>
  <conditionalFormatting sqref="E20">
    <cfRule type="expression" dxfId="26" priority="34">
      <formula>ISERROR(MATCH($E$20,$V$8:$V$25,0))</formula>
    </cfRule>
  </conditionalFormatting>
  <conditionalFormatting sqref="E27">
    <cfRule type="expression" dxfId="23" priority="23">
      <formula>ISERROR(MATCH($D$7,$N$8:$N$10,0))</formula>
    </cfRule>
  </conditionalFormatting>
  <conditionalFormatting sqref="E34">
    <cfRule type="expression" dxfId="22" priority="15">
      <formula>OR($C$34="Remote Monitoring:",AND($D$34="No",$C$34="Hybrid Controller:"))</formula>
    </cfRule>
  </conditionalFormatting>
  <conditionalFormatting sqref="E20:F20">
    <cfRule type="expression" dxfId="21" priority="29">
      <formula>$D$7="Grid-Tied"</formula>
    </cfRule>
  </conditionalFormatting>
  <conditionalFormatting sqref="E25:F25">
    <cfRule type="expression" dxfId="20" priority="20">
      <formula>ISERROR(MATCH($D$7,$N$8:$N$10,0))</formula>
    </cfRule>
  </conditionalFormatting>
  <conditionalFormatting sqref="F13">
    <cfRule type="expression" dxfId="19" priority="26">
      <formula>ISERROR(MATCH($F$13,$Q$8:$Q$12,0))</formula>
    </cfRule>
    <cfRule type="expression" dxfId="18" priority="11" stopIfTrue="1">
      <formula>OR($D$7="Hybrid",$D$7="Grid-Tied",$D$7="Backup")</formula>
    </cfRule>
  </conditionalFormatting>
  <conditionalFormatting sqref="F14">
    <cfRule type="expression" dxfId="17" priority="27" stopIfTrue="1">
      <formula>ISERROR(MATCH($F$14,$S$8:$S$30,0))</formula>
    </cfRule>
    <cfRule type="expression" dxfId="16" priority="10">
      <formula>OR($D$7="Hybrid",$D$7="Grid-Tied",$D$7="Backup")</formula>
    </cfRule>
  </conditionalFormatting>
  <conditionalFormatting sqref="F15">
    <cfRule type="expression" dxfId="15" priority="9" stopIfTrue="1">
      <formula>OR($D$7="Hybrid",$D$7="Grid-Tied",$D$7="Backup")</formula>
    </cfRule>
  </conditionalFormatting>
  <conditionalFormatting sqref="F27">
    <cfRule type="expression" dxfId="14" priority="22">
      <formula>ISERROR(MATCH($D$7,$N$8:$N$10,0))</formula>
    </cfRule>
  </conditionalFormatting>
  <conditionalFormatting sqref="F34">
    <cfRule type="expression" dxfId="13" priority="14">
      <formula>OR($C$34="Remote Monitoring:",AND($D$34="No",$C$34="Hybrid Controller:"))</formula>
    </cfRule>
  </conditionalFormatting>
  <conditionalFormatting sqref="K11">
    <cfRule type="expression" dxfId="12" priority="2" stopIfTrue="1">
      <formula>$J$11=""</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6"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7"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41" id="{959F3578-A66A-8846-B7A8-B2C96C8D8A5E}">
            <xm:f>'CABLE SIZING TOOL'!$H$104&gt;=3%</xm:f>
            <x14:dxf>
              <font>
                <color rgb="FF9C0006"/>
              </font>
              <fill>
                <patternFill>
                  <bgColor rgb="FFFFC7CE"/>
                </patternFill>
              </fill>
            </x14:dxf>
          </x14:cfRule>
          <x14:cfRule type="expression" priority="40"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6" id="{6E760702-88E6-F242-A506-1F9C98051E08}">
            <xm:f>$E$25&gt;SUM(Items!$A$242:$A$254)</xm:f>
            <x14:dxf>
              <font>
                <color rgb="FF9C5700"/>
              </font>
              <fill>
                <patternFill>
                  <bgColor rgb="FFFFEB9C"/>
                </patternFill>
              </fill>
            </x14:dxf>
          </x14:cfRule>
          <x14:cfRule type="expression" priority="9947" stopIfTrue="1" id="{278B350F-99A4-2245-80E8-F663818AB25B}">
            <xm:f>$E$25&lt;SUM(Items!$A$242:$A$254)</xm:f>
            <x14:dxf>
              <font>
                <color rgb="FF9C0006"/>
              </font>
              <fill>
                <patternFill>
                  <bgColor rgb="FFFFC7CE"/>
                </patternFill>
              </fill>
            </x14:dxf>
          </x14:cfRule>
          <xm:sqref>E25</xm:sqref>
        </x14:conditionalFormatting>
        <x14:conditionalFormatting xmlns:xm="http://schemas.microsoft.com/office/excel/2006/main">
          <x14:cfRule type="expression" priority="1" id="{E01D7DD8-FC82-014A-B301-AD9AFC969E46}">
            <xm:f>AND('Client List'!$N$1&lt;=0,OR($D$7="Mini-Grid",$D$7="Grid-Tied"))</xm:f>
            <x14:dxf>
              <font>
                <color rgb="FF9C0006"/>
              </font>
              <fill>
                <patternFill>
                  <bgColor rgb="FFFFC7CE"/>
                </patternFill>
              </fill>
            </x14:dxf>
          </x14:cfRule>
          <xm:sqref>K11</xm:sqref>
        </x14:conditionalFormatting>
        <x14:conditionalFormatting xmlns:xm="http://schemas.microsoft.com/office/excel/2006/main">
          <x14:cfRule type="expression" priority="5" id="{00000000-000E-0000-0300-000001000000}">
            <xm:f>INVOICE!$C$17&lt;&gt;$C$5:$C$5</xm:f>
            <x14:dxf>
              <font>
                <color rgb="FF9C0006"/>
              </font>
              <fill>
                <patternFill>
                  <bgColor rgb="FFFFC7CE"/>
                </patternFill>
              </fill>
            </x14:dxf>
          </x14:cfRule>
          <xm:sqref>K12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1945</v>
      </c>
      <c r="P3" s="106" t="s">
        <v>1946</v>
      </c>
      <c r="U3" s="105" t="s">
        <v>1947</v>
      </c>
    </row>
    <row r="4" spans="2:29">
      <c r="I4" s="107"/>
      <c r="AB4" s="107"/>
    </row>
    <row r="5" spans="2:29" ht="68">
      <c r="B5" s="108" t="s">
        <v>1948</v>
      </c>
      <c r="C5" s="108" t="s">
        <v>1949</v>
      </c>
      <c r="D5" s="108" t="s">
        <v>1950</v>
      </c>
      <c r="E5" s="108" t="s">
        <v>1951</v>
      </c>
      <c r="F5" s="108" t="s">
        <v>1952</v>
      </c>
      <c r="G5" s="108" t="s">
        <v>1953</v>
      </c>
      <c r="H5" s="108" t="s">
        <v>1954</v>
      </c>
      <c r="I5" s="108" t="s">
        <v>1955</v>
      </c>
      <c r="J5" s="108" t="s">
        <v>1956</v>
      </c>
      <c r="K5" s="108" t="s">
        <v>1957</v>
      </c>
      <c r="L5" s="108" t="s">
        <v>1958</v>
      </c>
      <c r="M5" s="109" t="s">
        <v>1959</v>
      </c>
      <c r="P5" s="105" t="s">
        <v>1960</v>
      </c>
      <c r="Q5" s="105" t="s">
        <v>1961</v>
      </c>
      <c r="U5" s="108" t="s">
        <v>1948</v>
      </c>
      <c r="V5" s="108" t="s">
        <v>1949</v>
      </c>
      <c r="W5" s="108" t="s">
        <v>1950</v>
      </c>
      <c r="X5" s="108" t="s">
        <v>1951</v>
      </c>
      <c r="Y5" s="108" t="s">
        <v>1962</v>
      </c>
      <c r="Z5" s="108" t="s">
        <v>1963</v>
      </c>
      <c r="AA5" s="108" t="s">
        <v>1964</v>
      </c>
      <c r="AB5" s="108" t="s">
        <v>1965</v>
      </c>
      <c r="AC5" s="108" t="s">
        <v>1959</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1966</v>
      </c>
      <c r="U30" s="105" t="s">
        <v>1967</v>
      </c>
    </row>
    <row r="31" spans="2:29">
      <c r="I31" s="107"/>
    </row>
    <row r="32" spans="2:29" ht="51">
      <c r="B32" s="108" t="s">
        <v>1948</v>
      </c>
      <c r="C32" s="108" t="s">
        <v>1949</v>
      </c>
      <c r="D32" s="108" t="s">
        <v>1950</v>
      </c>
      <c r="E32" s="108" t="s">
        <v>1951</v>
      </c>
      <c r="F32" s="108" t="s">
        <v>1962</v>
      </c>
      <c r="G32" s="108" t="s">
        <v>1963</v>
      </c>
      <c r="H32" s="108" t="s">
        <v>1964</v>
      </c>
      <c r="I32" s="108" t="s">
        <v>1965</v>
      </c>
      <c r="J32" s="108" t="s">
        <v>1959</v>
      </c>
      <c r="U32" s="108" t="s">
        <v>1968</v>
      </c>
      <c r="V32" s="108" t="s">
        <v>1969</v>
      </c>
      <c r="W32" s="108" t="s">
        <v>1970</v>
      </c>
      <c r="X32" s="108" t="s">
        <v>1959</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1971</v>
      </c>
      <c r="P53" s="106" t="s">
        <v>1972</v>
      </c>
      <c r="U53" s="105" t="s">
        <v>1973</v>
      </c>
    </row>
    <row r="54" spans="2:28">
      <c r="I54" s="107"/>
      <c r="AB54" s="107"/>
    </row>
    <row r="55" spans="2:28" ht="68">
      <c r="B55" s="108" t="s">
        <v>1952</v>
      </c>
      <c r="C55" s="108" t="s">
        <v>1974</v>
      </c>
      <c r="D55" s="108" t="s">
        <v>1954</v>
      </c>
      <c r="E55" s="108" t="s">
        <v>1955</v>
      </c>
      <c r="F55" s="108" t="s">
        <v>1956</v>
      </c>
      <c r="G55" s="108" t="s">
        <v>1975</v>
      </c>
      <c r="H55" s="108" t="s">
        <v>1976</v>
      </c>
      <c r="I55" s="108" t="s">
        <v>1977</v>
      </c>
      <c r="J55" s="108" t="s">
        <v>1978</v>
      </c>
      <c r="K55" s="108" t="s">
        <v>1979</v>
      </c>
      <c r="L55" s="108" t="s">
        <v>1980</v>
      </c>
      <c r="M55" s="109" t="s">
        <v>1959</v>
      </c>
      <c r="P55" s="105" t="s">
        <v>1960</v>
      </c>
      <c r="Q55" s="105" t="s">
        <v>1961</v>
      </c>
      <c r="U55" s="108" t="s">
        <v>1948</v>
      </c>
      <c r="V55" s="108" t="s">
        <v>1949</v>
      </c>
      <c r="W55" s="108" t="s">
        <v>1950</v>
      </c>
      <c r="X55" s="108" t="s">
        <v>1951</v>
      </c>
      <c r="Y55" s="108" t="s">
        <v>1962</v>
      </c>
      <c r="Z55" s="108" t="s">
        <v>1963</v>
      </c>
      <c r="AA55" s="108" t="s">
        <v>1959</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1981</v>
      </c>
      <c r="P71" s="105">
        <v>960</v>
      </c>
      <c r="U71" s="105" t="s">
        <v>1982</v>
      </c>
    </row>
    <row r="72" spans="2:27">
      <c r="I72" s="107"/>
      <c r="P72" s="105">
        <v>1200</v>
      </c>
    </row>
    <row r="73" spans="2:27" ht="51">
      <c r="B73" s="108" t="s">
        <v>1962</v>
      </c>
      <c r="C73" s="108" t="s">
        <v>1983</v>
      </c>
      <c r="D73" s="108" t="s">
        <v>1964</v>
      </c>
      <c r="E73" s="108" t="s">
        <v>1984</v>
      </c>
      <c r="F73" s="108" t="s">
        <v>1985</v>
      </c>
      <c r="G73" s="108" t="s">
        <v>1986</v>
      </c>
      <c r="H73" s="108" t="s">
        <v>1959</v>
      </c>
      <c r="U73" s="108" t="s">
        <v>1968</v>
      </c>
      <c r="V73" s="108" t="s">
        <v>1969</v>
      </c>
      <c r="W73" s="108" t="s">
        <v>1970</v>
      </c>
      <c r="X73" s="108" t="s">
        <v>1959</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1987</v>
      </c>
    </row>
    <row r="94" spans="2:24">
      <c r="I94" s="107"/>
    </row>
    <row r="95" spans="2:24" ht="34">
      <c r="B95" s="108" t="s">
        <v>1988</v>
      </c>
      <c r="C95" s="108" t="s">
        <v>1989</v>
      </c>
      <c r="D95" s="108" t="s">
        <v>1990</v>
      </c>
      <c r="E95" s="108" t="s">
        <v>1991</v>
      </c>
      <c r="F95" s="108" t="s">
        <v>1992</v>
      </c>
      <c r="G95" s="108" t="s">
        <v>1993</v>
      </c>
      <c r="H95" s="108" t="s">
        <v>1994</v>
      </c>
      <c r="I95" s="109" t="s">
        <v>1959</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1995</v>
      </c>
      <c r="U105" s="105" t="s">
        <v>1996</v>
      </c>
    </row>
    <row r="106" spans="2:29">
      <c r="I106" s="107"/>
      <c r="P106" s="105" t="s">
        <v>1997</v>
      </c>
      <c r="AB106" s="107"/>
    </row>
    <row r="107" spans="2:29" ht="68">
      <c r="B107" s="108" t="s">
        <v>1948</v>
      </c>
      <c r="C107" s="108" t="s">
        <v>1949</v>
      </c>
      <c r="D107" s="108" t="s">
        <v>1950</v>
      </c>
      <c r="E107" s="108" t="s">
        <v>1951</v>
      </c>
      <c r="F107" s="108" t="s">
        <v>1952</v>
      </c>
      <c r="G107" s="108" t="s">
        <v>1953</v>
      </c>
      <c r="H107" s="108" t="s">
        <v>1954</v>
      </c>
      <c r="I107" s="108" t="s">
        <v>1955</v>
      </c>
      <c r="J107" s="108" t="s">
        <v>1956</v>
      </c>
      <c r="K107" s="108" t="s">
        <v>1998</v>
      </c>
      <c r="L107" s="108" t="s">
        <v>1958</v>
      </c>
      <c r="M107" s="109" t="s">
        <v>1959</v>
      </c>
      <c r="U107" s="108" t="s">
        <v>1948</v>
      </c>
      <c r="V107" s="108" t="s">
        <v>1949</v>
      </c>
      <c r="W107" s="108" t="s">
        <v>1950</v>
      </c>
      <c r="X107" s="108" t="s">
        <v>1951</v>
      </c>
      <c r="Y107" s="108" t="s">
        <v>1962</v>
      </c>
      <c r="Z107" s="108" t="s">
        <v>1963</v>
      </c>
      <c r="AA107" s="108" t="s">
        <v>1964</v>
      </c>
      <c r="AB107" s="108" t="s">
        <v>1965</v>
      </c>
      <c r="AC107" s="108" t="s">
        <v>1959</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1999</v>
      </c>
      <c r="P132" s="105">
        <v>1600</v>
      </c>
      <c r="U132" s="105" t="s">
        <v>2000</v>
      </c>
    </row>
    <row r="133" spans="2:29">
      <c r="I133" s="107"/>
    </row>
    <row r="134" spans="2:29" ht="51">
      <c r="B134" s="108" t="s">
        <v>1948</v>
      </c>
      <c r="C134" s="108" t="s">
        <v>1949</v>
      </c>
      <c r="D134" s="108" t="s">
        <v>1950</v>
      </c>
      <c r="E134" s="108" t="s">
        <v>1951</v>
      </c>
      <c r="F134" s="108" t="s">
        <v>1962</v>
      </c>
      <c r="G134" s="108" t="s">
        <v>2001</v>
      </c>
      <c r="H134" s="108" t="s">
        <v>1964</v>
      </c>
      <c r="I134" s="108" t="s">
        <v>2002</v>
      </c>
      <c r="J134" s="108" t="s">
        <v>1959</v>
      </c>
      <c r="U134" s="108" t="s">
        <v>1968</v>
      </c>
      <c r="V134" s="108" t="s">
        <v>1969</v>
      </c>
      <c r="W134" s="108" t="s">
        <v>1970</v>
      </c>
      <c r="X134" s="108" t="s">
        <v>1959</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2003</v>
      </c>
      <c r="U155" s="105" t="s">
        <v>2004</v>
      </c>
    </row>
    <row r="156" spans="2:28">
      <c r="I156" s="107"/>
      <c r="AB156" s="107"/>
    </row>
    <row r="157" spans="2:28" ht="68">
      <c r="B157" s="108" t="s">
        <v>1952</v>
      </c>
      <c r="C157" s="108" t="s">
        <v>1974</v>
      </c>
      <c r="D157" s="108" t="s">
        <v>1954</v>
      </c>
      <c r="E157" s="108" t="s">
        <v>1955</v>
      </c>
      <c r="F157" s="108" t="s">
        <v>1956</v>
      </c>
      <c r="G157" s="108" t="s">
        <v>1975</v>
      </c>
      <c r="H157" s="108" t="s">
        <v>1976</v>
      </c>
      <c r="I157" s="108" t="s">
        <v>1977</v>
      </c>
      <c r="J157" s="108" t="s">
        <v>1978</v>
      </c>
      <c r="K157" s="108" t="s">
        <v>1979</v>
      </c>
      <c r="L157" s="108" t="s">
        <v>1980</v>
      </c>
      <c r="M157" s="109" t="s">
        <v>1959</v>
      </c>
      <c r="U157" s="108" t="s">
        <v>1948</v>
      </c>
      <c r="V157" s="108" t="s">
        <v>1949</v>
      </c>
      <c r="W157" s="108" t="s">
        <v>1950</v>
      </c>
      <c r="X157" s="108" t="s">
        <v>1951</v>
      </c>
      <c r="Y157" s="108" t="s">
        <v>1962</v>
      </c>
      <c r="Z157" s="108" t="s">
        <v>1963</v>
      </c>
      <c r="AA157" s="108" t="s">
        <v>1959</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2005</v>
      </c>
      <c r="U173" s="105" t="s">
        <v>2006</v>
      </c>
    </row>
    <row r="175" spans="2:27" ht="51">
      <c r="B175" s="108" t="s">
        <v>1962</v>
      </c>
      <c r="C175" s="108" t="s">
        <v>1983</v>
      </c>
      <c r="D175" s="108" t="s">
        <v>1964</v>
      </c>
      <c r="E175" s="108" t="s">
        <v>1984</v>
      </c>
      <c r="F175" s="108" t="s">
        <v>1985</v>
      </c>
      <c r="G175" s="108" t="s">
        <v>1986</v>
      </c>
      <c r="H175" s="108" t="s">
        <v>1959</v>
      </c>
      <c r="U175" s="108" t="s">
        <v>1968</v>
      </c>
      <c r="V175" s="108" t="s">
        <v>1969</v>
      </c>
      <c r="W175" s="108" t="s">
        <v>1970</v>
      </c>
      <c r="X175" s="108" t="s">
        <v>1959</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2007</v>
      </c>
      <c r="U195" s="105" t="s">
        <v>2008</v>
      </c>
    </row>
    <row r="197" spans="2:26" ht="51">
      <c r="B197" s="108" t="s">
        <v>1968</v>
      </c>
      <c r="C197" s="108" t="s">
        <v>1969</v>
      </c>
      <c r="D197" s="108" t="s">
        <v>1970</v>
      </c>
      <c r="E197" s="108" t="s">
        <v>1959</v>
      </c>
      <c r="U197" s="108" t="s">
        <v>1948</v>
      </c>
      <c r="V197" s="108" t="s">
        <v>1949</v>
      </c>
      <c r="W197" s="108" t="s">
        <v>1950</v>
      </c>
      <c r="X197" s="108" t="s">
        <v>1951</v>
      </c>
      <c r="Y197" s="108" t="s">
        <v>1962</v>
      </c>
      <c r="Z197" s="108" t="s">
        <v>1959</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2009</v>
      </c>
      <c r="U217" s="105" t="s">
        <v>2010</v>
      </c>
    </row>
    <row r="219" spans="2:26" ht="51">
      <c r="B219" s="108" t="s">
        <v>1968</v>
      </c>
      <c r="C219" s="108" t="s">
        <v>1969</v>
      </c>
      <c r="D219" s="108" t="s">
        <v>1970</v>
      </c>
      <c r="E219" s="108" t="s">
        <v>1959</v>
      </c>
      <c r="U219" s="108" t="s">
        <v>1948</v>
      </c>
      <c r="V219" s="108" t="s">
        <v>1949</v>
      </c>
      <c r="W219" s="108" t="s">
        <v>1950</v>
      </c>
      <c r="X219" s="108" t="s">
        <v>1951</v>
      </c>
      <c r="Y219" s="108" t="s">
        <v>1959</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2011</v>
      </c>
      <c r="U239" s="105" t="s">
        <v>2012</v>
      </c>
    </row>
    <row r="241" spans="2:28" ht="34">
      <c r="B241" s="108" t="s">
        <v>2013</v>
      </c>
      <c r="C241" s="108" t="s">
        <v>1969</v>
      </c>
      <c r="D241" s="108" t="s">
        <v>2014</v>
      </c>
      <c r="E241" s="108" t="s">
        <v>1959</v>
      </c>
      <c r="U241" s="108" t="s">
        <v>1948</v>
      </c>
      <c r="V241" s="108" t="s">
        <v>1949</v>
      </c>
      <c r="W241" s="108" t="s">
        <v>1959</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2015</v>
      </c>
      <c r="U251" s="105" t="s">
        <v>2016</v>
      </c>
    </row>
    <row r="252" spans="2:28">
      <c r="I252" s="107"/>
      <c r="AB252" s="107"/>
    </row>
    <row r="253" spans="2:28" ht="85">
      <c r="B253" s="108" t="s">
        <v>1962</v>
      </c>
      <c r="C253" s="108" t="s">
        <v>2017</v>
      </c>
      <c r="D253" s="108" t="s">
        <v>2018</v>
      </c>
      <c r="E253" s="108" t="s">
        <v>2019</v>
      </c>
      <c r="F253" s="108" t="s">
        <v>2020</v>
      </c>
      <c r="G253" s="108" t="s">
        <v>2021</v>
      </c>
      <c r="H253" s="108" t="s">
        <v>2022</v>
      </c>
      <c r="I253" s="108" t="s">
        <v>2023</v>
      </c>
      <c r="J253" s="109" t="s">
        <v>1959</v>
      </c>
      <c r="U253" s="108" t="s">
        <v>1948</v>
      </c>
      <c r="V253" s="108" t="s">
        <v>1949</v>
      </c>
      <c r="W253" s="108" t="s">
        <v>1950</v>
      </c>
      <c r="X253" s="108" t="s">
        <v>1951</v>
      </c>
      <c r="Y253" s="108" t="s">
        <v>1962</v>
      </c>
      <c r="Z253" s="108" t="s">
        <v>1963</v>
      </c>
      <c r="AA253" s="108" t="s">
        <v>1959</v>
      </c>
    </row>
    <row r="254" spans="2:28">
      <c r="B254" s="106" t="s">
        <v>2024</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2025</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2026</v>
      </c>
      <c r="U278" s="105" t="s">
        <v>2027</v>
      </c>
    </row>
    <row r="279" spans="2:27">
      <c r="I279" s="107"/>
    </row>
    <row r="280" spans="2:27" ht="85">
      <c r="B280" s="108" t="s">
        <v>1962</v>
      </c>
      <c r="C280" s="108" t="s">
        <v>2017</v>
      </c>
      <c r="D280" s="108" t="s">
        <v>2018</v>
      </c>
      <c r="E280" s="108" t="s">
        <v>2019</v>
      </c>
      <c r="F280" s="108" t="s">
        <v>2020</v>
      </c>
      <c r="G280" s="108" t="s">
        <v>2021</v>
      </c>
      <c r="H280" s="108" t="s">
        <v>2022</v>
      </c>
      <c r="I280" s="108" t="s">
        <v>2023</v>
      </c>
      <c r="J280" s="109" t="s">
        <v>1959</v>
      </c>
      <c r="U280" s="108" t="s">
        <v>1948</v>
      </c>
      <c r="V280" s="108" t="s">
        <v>1949</v>
      </c>
      <c r="W280" s="108" t="s">
        <v>1950</v>
      </c>
      <c r="X280" s="108" t="s">
        <v>1951</v>
      </c>
      <c r="Y280" s="108" t="s">
        <v>1962</v>
      </c>
      <c r="Z280" s="108" t="s">
        <v>1963</v>
      </c>
      <c r="AA280" s="108" t="s">
        <v>1959</v>
      </c>
    </row>
    <row r="281" spans="2:27">
      <c r="B281" s="106" t="s">
        <v>2024</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2025</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2028</v>
      </c>
      <c r="U305" s="105" t="s">
        <v>2029</v>
      </c>
    </row>
    <row r="306" spans="2:29">
      <c r="I306" s="107"/>
    </row>
    <row r="307" spans="2:29" ht="68">
      <c r="B307" s="108" t="s">
        <v>1948</v>
      </c>
      <c r="C307" s="108" t="s">
        <v>1949</v>
      </c>
      <c r="D307" s="108" t="s">
        <v>1950</v>
      </c>
      <c r="E307" s="108" t="s">
        <v>1951</v>
      </c>
      <c r="F307" s="108" t="s">
        <v>1952</v>
      </c>
      <c r="G307" s="108" t="s">
        <v>1953</v>
      </c>
      <c r="H307" s="108" t="s">
        <v>1954</v>
      </c>
      <c r="I307" s="108" t="s">
        <v>1955</v>
      </c>
      <c r="J307" s="108" t="s">
        <v>1956</v>
      </c>
      <c r="K307" s="108" t="s">
        <v>1957</v>
      </c>
      <c r="L307" s="108" t="s">
        <v>1958</v>
      </c>
      <c r="M307" s="109" t="s">
        <v>1959</v>
      </c>
      <c r="U307" s="108" t="s">
        <v>1948</v>
      </c>
      <c r="V307" s="108" t="s">
        <v>1949</v>
      </c>
      <c r="W307" s="108" t="s">
        <v>1950</v>
      </c>
      <c r="X307" s="108" t="s">
        <v>1951</v>
      </c>
      <c r="Y307" s="108" t="s">
        <v>1962</v>
      </c>
      <c r="Z307" s="108" t="s">
        <v>1963</v>
      </c>
      <c r="AA307" s="108" t="s">
        <v>2030</v>
      </c>
      <c r="AB307" s="108" t="s">
        <v>2031</v>
      </c>
      <c r="AC307" s="108" t="s">
        <v>1959</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2032</v>
      </c>
      <c r="U324" s="105" t="s">
        <v>2033</v>
      </c>
    </row>
    <row r="325" spans="2:29">
      <c r="I325" s="107"/>
    </row>
    <row r="326" spans="2:29" ht="34">
      <c r="B326" s="108" t="s">
        <v>1948</v>
      </c>
      <c r="C326" s="108" t="s">
        <v>1949</v>
      </c>
      <c r="D326" s="108" t="s">
        <v>1950</v>
      </c>
      <c r="E326" s="108" t="s">
        <v>1951</v>
      </c>
      <c r="F326" s="108" t="s">
        <v>1962</v>
      </c>
      <c r="G326" s="108" t="s">
        <v>1963</v>
      </c>
      <c r="H326" s="108" t="s">
        <v>1964</v>
      </c>
      <c r="I326" s="108" t="s">
        <v>1965</v>
      </c>
      <c r="J326" s="108" t="s">
        <v>1959</v>
      </c>
      <c r="U326" s="108" t="s">
        <v>1948</v>
      </c>
      <c r="V326" s="108" t="s">
        <v>1949</v>
      </c>
      <c r="W326" s="108" t="s">
        <v>1950</v>
      </c>
      <c r="X326" s="108" t="s">
        <v>1959</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2034</v>
      </c>
      <c r="U340" s="105" t="s">
        <v>2035</v>
      </c>
    </row>
    <row r="341" spans="2:27">
      <c r="I341" s="107"/>
    </row>
    <row r="342" spans="2:27" ht="68">
      <c r="B342" s="108" t="s">
        <v>1952</v>
      </c>
      <c r="C342" s="108" t="s">
        <v>1974</v>
      </c>
      <c r="D342" s="108" t="s">
        <v>1954</v>
      </c>
      <c r="E342" s="108" t="s">
        <v>1955</v>
      </c>
      <c r="F342" s="108" t="s">
        <v>1956</v>
      </c>
      <c r="G342" s="108" t="s">
        <v>1975</v>
      </c>
      <c r="H342" s="108" t="s">
        <v>1976</v>
      </c>
      <c r="I342" s="108" t="s">
        <v>1977</v>
      </c>
      <c r="J342" s="108" t="s">
        <v>1978</v>
      </c>
      <c r="K342" s="108" t="s">
        <v>1979</v>
      </c>
      <c r="L342" s="108" t="s">
        <v>1980</v>
      </c>
      <c r="M342" s="109" t="s">
        <v>1959</v>
      </c>
      <c r="U342" s="108" t="s">
        <v>1948</v>
      </c>
      <c r="V342" s="108" t="s">
        <v>1949</v>
      </c>
      <c r="W342" s="108" t="s">
        <v>1950</v>
      </c>
      <c r="X342" s="108" t="s">
        <v>1951</v>
      </c>
      <c r="Y342" s="108" t="s">
        <v>1962</v>
      </c>
      <c r="Z342" s="108" t="s">
        <v>1963</v>
      </c>
      <c r="AA342" s="108" t="s">
        <v>1959</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2036</v>
      </c>
      <c r="U359" s="105" t="s">
        <v>2037</v>
      </c>
    </row>
    <row r="360" spans="2:27">
      <c r="I360" s="107"/>
    </row>
    <row r="361" spans="2:27" ht="34">
      <c r="B361" s="108" t="s">
        <v>1962</v>
      </c>
      <c r="C361" s="108" t="s">
        <v>1983</v>
      </c>
      <c r="D361" s="108" t="s">
        <v>1964</v>
      </c>
      <c r="E361" s="108" t="s">
        <v>1984</v>
      </c>
      <c r="F361" s="108" t="s">
        <v>1985</v>
      </c>
      <c r="G361" s="108" t="s">
        <v>1986</v>
      </c>
      <c r="H361" s="108" t="s">
        <v>1959</v>
      </c>
      <c r="U361" s="108" t="s">
        <v>1948</v>
      </c>
      <c r="V361" s="108" t="s">
        <v>1949</v>
      </c>
      <c r="W361" s="108" t="s">
        <v>1950</v>
      </c>
      <c r="X361" s="108" t="s">
        <v>1959</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2038</v>
      </c>
      <c r="U375" s="105" t="s">
        <v>2039</v>
      </c>
    </row>
    <row r="376" spans="2:29">
      <c r="I376" s="107"/>
    </row>
    <row r="377" spans="2:29" ht="68">
      <c r="B377" s="108" t="s">
        <v>1948</v>
      </c>
      <c r="C377" s="108" t="s">
        <v>1949</v>
      </c>
      <c r="D377" s="108" t="s">
        <v>1950</v>
      </c>
      <c r="E377" s="108" t="s">
        <v>1951</v>
      </c>
      <c r="F377" s="108" t="s">
        <v>1952</v>
      </c>
      <c r="G377" s="108" t="s">
        <v>1953</v>
      </c>
      <c r="H377" s="108" t="s">
        <v>1954</v>
      </c>
      <c r="I377" s="108" t="s">
        <v>1955</v>
      </c>
      <c r="J377" s="108" t="s">
        <v>1956</v>
      </c>
      <c r="K377" s="108" t="s">
        <v>1998</v>
      </c>
      <c r="L377" s="108" t="s">
        <v>1958</v>
      </c>
      <c r="M377" s="109" t="s">
        <v>1959</v>
      </c>
      <c r="U377" s="108" t="s">
        <v>1948</v>
      </c>
      <c r="V377" s="108" t="s">
        <v>1949</v>
      </c>
      <c r="W377" s="108" t="s">
        <v>1950</v>
      </c>
      <c r="X377" s="108" t="s">
        <v>1951</v>
      </c>
      <c r="Y377" s="108" t="s">
        <v>1962</v>
      </c>
      <c r="Z377" s="108" t="s">
        <v>1963</v>
      </c>
      <c r="AA377" s="108" t="s">
        <v>2030</v>
      </c>
      <c r="AB377" s="108" t="s">
        <v>2031</v>
      </c>
      <c r="AC377" s="108" t="s">
        <v>1959</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2040</v>
      </c>
      <c r="U394" s="105" t="s">
        <v>2041</v>
      </c>
    </row>
    <row r="395" spans="2:29">
      <c r="I395" s="107"/>
    </row>
    <row r="396" spans="2:29" ht="34">
      <c r="B396" s="108" t="s">
        <v>1948</v>
      </c>
      <c r="C396" s="108" t="s">
        <v>1949</v>
      </c>
      <c r="D396" s="108" t="s">
        <v>1950</v>
      </c>
      <c r="E396" s="108" t="s">
        <v>1951</v>
      </c>
      <c r="F396" s="108" t="s">
        <v>1962</v>
      </c>
      <c r="G396" s="108" t="s">
        <v>2001</v>
      </c>
      <c r="H396" s="108" t="s">
        <v>1964</v>
      </c>
      <c r="I396" s="108" t="s">
        <v>2002</v>
      </c>
      <c r="J396" s="108" t="s">
        <v>1959</v>
      </c>
      <c r="U396" s="108" t="s">
        <v>1948</v>
      </c>
      <c r="V396" s="108" t="s">
        <v>1949</v>
      </c>
      <c r="W396" s="108" t="s">
        <v>1950</v>
      </c>
      <c r="X396" s="108" t="s">
        <v>1959</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2042</v>
      </c>
      <c r="U410" s="105" t="s">
        <v>2043</v>
      </c>
    </row>
    <row r="411" spans="2:27">
      <c r="I411" s="107"/>
    </row>
    <row r="412" spans="2:27" ht="68">
      <c r="B412" s="108" t="s">
        <v>1952</v>
      </c>
      <c r="C412" s="108" t="s">
        <v>1974</v>
      </c>
      <c r="D412" s="108" t="s">
        <v>1954</v>
      </c>
      <c r="E412" s="108" t="s">
        <v>1955</v>
      </c>
      <c r="F412" s="108" t="s">
        <v>1956</v>
      </c>
      <c r="G412" s="108" t="s">
        <v>1975</v>
      </c>
      <c r="H412" s="108" t="s">
        <v>1976</v>
      </c>
      <c r="I412" s="108" t="s">
        <v>1977</v>
      </c>
      <c r="J412" s="108" t="s">
        <v>1978</v>
      </c>
      <c r="K412" s="108" t="s">
        <v>1979</v>
      </c>
      <c r="L412" s="108" t="s">
        <v>1980</v>
      </c>
      <c r="M412" s="109" t="s">
        <v>1959</v>
      </c>
      <c r="U412" s="108" t="s">
        <v>1948</v>
      </c>
      <c r="V412" s="108" t="s">
        <v>1949</v>
      </c>
      <c r="W412" s="108" t="s">
        <v>1950</v>
      </c>
      <c r="X412" s="108" t="s">
        <v>1951</v>
      </c>
      <c r="Y412" s="108" t="s">
        <v>1962</v>
      </c>
      <c r="Z412" s="108" t="s">
        <v>1963</v>
      </c>
      <c r="AA412" s="108" t="s">
        <v>1959</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2044</v>
      </c>
      <c r="U429" s="105" t="s">
        <v>2045</v>
      </c>
    </row>
    <row r="431" spans="2:27" ht="34">
      <c r="B431" s="108" t="s">
        <v>1962</v>
      </c>
      <c r="C431" s="108" t="s">
        <v>1983</v>
      </c>
      <c r="D431" s="108" t="s">
        <v>1964</v>
      </c>
      <c r="E431" s="108" t="s">
        <v>1984</v>
      </c>
      <c r="F431" s="108" t="s">
        <v>1985</v>
      </c>
      <c r="G431" s="108" t="s">
        <v>1986</v>
      </c>
      <c r="H431" s="108" t="s">
        <v>1959</v>
      </c>
      <c r="U431" s="108" t="s">
        <v>1948</v>
      </c>
      <c r="V431" s="108" t="s">
        <v>1949</v>
      </c>
      <c r="W431" s="108" t="s">
        <v>1950</v>
      </c>
      <c r="X431" s="108" t="s">
        <v>1959</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93" activePane="bottomRight" state="frozen"/>
      <selection activeCell="O51" sqref="O51"/>
      <selection pane="topRight" activeCell="O51" sqref="O51"/>
      <selection pane="bottomLeft" activeCell="O51" sqref="O51"/>
      <selection pane="bottomRight" activeCell="H29" sqref="H29"/>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2046</v>
      </c>
    </row>
    <row r="2" spans="1:43" ht="15.75" customHeight="1">
      <c r="B2" s="115" t="s">
        <v>2047</v>
      </c>
      <c r="I2" s="116"/>
      <c r="J2" s="117"/>
      <c r="K2" s="117"/>
      <c r="L2" s="116"/>
      <c r="M2" s="116"/>
      <c r="N2" s="118">
        <f ca="1">NOW()</f>
        <v>45726.875961458332</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2048</v>
      </c>
      <c r="D7" s="130" t="s">
        <v>2049</v>
      </c>
      <c r="E7" s="130" t="s">
        <v>2050</v>
      </c>
      <c r="F7" s="130" t="s">
        <v>2051</v>
      </c>
      <c r="G7" s="130" t="s">
        <v>2052</v>
      </c>
      <c r="H7" s="130" t="s">
        <v>2053</v>
      </c>
      <c r="I7" s="130" t="s">
        <v>2054</v>
      </c>
      <c r="J7" s="130" t="s">
        <v>2055</v>
      </c>
      <c r="K7" s="130" t="s">
        <v>2056</v>
      </c>
      <c r="L7" s="130" t="s">
        <v>2057</v>
      </c>
      <c r="M7" s="131"/>
      <c r="N7" s="132" t="s">
        <v>1807</v>
      </c>
      <c r="O7" s="133" t="s">
        <v>2058</v>
      </c>
      <c r="AQ7" s="112"/>
    </row>
    <row r="8" spans="1:43" ht="68">
      <c r="A8" s="134"/>
      <c r="B8" s="135"/>
      <c r="C8" s="136"/>
      <c r="D8" s="137" t="s">
        <v>2590</v>
      </c>
      <c r="E8" s="137" t="s">
        <v>2591</v>
      </c>
      <c r="F8" s="137" t="s">
        <v>2592</v>
      </c>
      <c r="G8" s="137" t="s">
        <v>2593</v>
      </c>
      <c r="H8" s="137" t="s">
        <v>2594</v>
      </c>
      <c r="I8" s="137" t="s">
        <v>2595</v>
      </c>
      <c r="J8" s="137" t="s">
        <v>2596</v>
      </c>
      <c r="K8" s="137" t="s">
        <v>2700</v>
      </c>
      <c r="L8" s="137" t="s">
        <v>2699</v>
      </c>
      <c r="M8" s="135"/>
      <c r="N8" s="135"/>
      <c r="O8" s="138"/>
      <c r="AQ8" s="112"/>
    </row>
    <row r="9" spans="1:43" ht="16">
      <c r="A9" s="131"/>
      <c r="B9" s="148" t="s">
        <v>2059</v>
      </c>
      <c r="C9" s="149"/>
      <c r="D9" s="150">
        <f>'Customer Base'!J7/'Customer Base'!D15</f>
        <v>15</v>
      </c>
      <c r="E9" s="150">
        <f ca="1">IF(SUMPRODUCT(Items!A$6:A$120,Items!AP$6:AP$120)&gt;0,('Customer Base'!J$7/'Customer Base'!D$15),IF(SUMPRODUCT(Items!A$257:A$289,Items!AP$257:AP$289)&gt;0,('Customer Base'!J$7/'Customer Base'!D$15),""))</f>
        <v>15</v>
      </c>
      <c r="F9" s="150">
        <f ca="1">E9</f>
        <v>15</v>
      </c>
      <c r="G9" s="150">
        <f ca="1">E9</f>
        <v>15</v>
      </c>
      <c r="H9" s="150">
        <f ca="1">E9</f>
        <v>15</v>
      </c>
      <c r="I9" s="150">
        <v>162</v>
      </c>
      <c r="J9" s="150">
        <f>D9*'Customer Base'!D15</f>
        <v>15</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2060</v>
      </c>
      <c r="C11" s="152"/>
      <c r="D11" s="154">
        <f>D9*100%</f>
        <v>15</v>
      </c>
      <c r="E11" s="154">
        <f ca="1">IFERROR(E9*100%,0)</f>
        <v>15</v>
      </c>
      <c r="F11" s="154">
        <f t="shared" ref="F11:H11" ca="1" si="0">IFERROR(F9*100%,0)</f>
        <v>15</v>
      </c>
      <c r="G11" s="154">
        <f t="shared" ca="1" si="0"/>
        <v>15</v>
      </c>
      <c r="H11" s="154">
        <f t="shared" ca="1" si="0"/>
        <v>15</v>
      </c>
      <c r="I11" s="154">
        <f t="shared" ref="I11:L11" si="1">I9*100%</f>
        <v>162</v>
      </c>
      <c r="J11" s="154">
        <f t="shared" si="1"/>
        <v>15</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2061</v>
      </c>
      <c r="C13" s="152"/>
      <c r="D13" s="152">
        <f>D11/0.8</f>
        <v>18.75</v>
      </c>
      <c r="E13" s="152">
        <f ca="1">E11/1</f>
        <v>15</v>
      </c>
      <c r="F13" s="152">
        <f t="shared" ref="F13:H13" ca="1" si="2">F11/1</f>
        <v>15</v>
      </c>
      <c r="G13" s="152">
        <f t="shared" ca="1" si="2"/>
        <v>15</v>
      </c>
      <c r="H13" s="152">
        <f t="shared" ca="1" si="2"/>
        <v>15</v>
      </c>
      <c r="I13" s="152">
        <f t="shared" ref="I13:L13" si="3">I11/0.8</f>
        <v>202.5</v>
      </c>
      <c r="J13" s="152">
        <f t="shared" si="3"/>
        <v>18.75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2062</v>
      </c>
      <c r="C15" s="152"/>
      <c r="D15" s="146">
        <f>D13*0%</f>
        <v>0</v>
      </c>
      <c r="E15" s="146">
        <f ca="1">E13*0%</f>
        <v>0</v>
      </c>
      <c r="F15" s="146">
        <f t="shared" ref="F15:L15" ca="1" si="4">F13*0%</f>
        <v>0</v>
      </c>
      <c r="G15" s="146">
        <f t="shared" ca="1" si="4"/>
        <v>0</v>
      </c>
      <c r="H15" s="146">
        <f ca="1">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2063</v>
      </c>
      <c r="C17" s="152"/>
      <c r="D17" s="146">
        <f>SUM(D13,D15)</f>
        <v>18.75</v>
      </c>
      <c r="E17" s="146">
        <f ca="1">SUM(E13,E15)</f>
        <v>15</v>
      </c>
      <c r="F17" s="146">
        <f t="shared" ref="F17:L17" ca="1" si="5">SUM(F13,F15)</f>
        <v>15</v>
      </c>
      <c r="G17" s="146">
        <f t="shared" ca="1" si="5"/>
        <v>15</v>
      </c>
      <c r="H17" s="146">
        <f ca="1">SUM(H13,H15)</f>
        <v>15</v>
      </c>
      <c r="I17" s="146">
        <f t="shared" si="5"/>
        <v>202.5</v>
      </c>
      <c r="J17" s="146">
        <f t="shared" si="5"/>
        <v>18.75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85" t="s">
        <v>2064</v>
      </c>
      <c r="B19" s="127" t="s">
        <v>2065</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86"/>
      <c r="B20" s="151" t="s">
        <v>2066</v>
      </c>
      <c r="C20" s="152"/>
      <c r="D20" s="142">
        <v>1</v>
      </c>
      <c r="E20" s="142"/>
      <c r="F20" s="142"/>
      <c r="G20" s="142"/>
      <c r="H20" s="142"/>
      <c r="I20" s="142"/>
      <c r="J20" s="142">
        <v>1</v>
      </c>
      <c r="K20" s="142">
        <v>1</v>
      </c>
      <c r="L20" s="142">
        <v>1</v>
      </c>
      <c r="M20" s="144"/>
      <c r="N20" s="142">
        <v>1</v>
      </c>
      <c r="O20" s="143" t="str">
        <f>IF(N20&gt;0,"A","")</f>
        <v>A</v>
      </c>
      <c r="AQ20" s="112"/>
    </row>
    <row r="21" spans="1:43" ht="16">
      <c r="A21" s="387"/>
      <c r="B21" s="134" t="s">
        <v>2067</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2068</v>
      </c>
      <c r="B23" s="151" t="s">
        <v>2069</v>
      </c>
      <c r="C23" s="152"/>
      <c r="D23" s="152">
        <f>IF(D55&lt;&gt;"",D$17*1000/(IF(D57=1,240,IF(D57=3,(SQRT(3)*400)))),"")</f>
        <v>78.125</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47.849999999999994</v>
      </c>
      <c r="F23" s="152">
        <f ca="1">E23</f>
        <v>47.849999999999994</v>
      </c>
      <c r="G23" s="152">
        <f ca="1">E23</f>
        <v>47.849999999999994</v>
      </c>
      <c r="H23" s="152">
        <f ca="1">E23</f>
        <v>47.849999999999994</v>
      </c>
      <c r="I23" s="152">
        <f>SUMPRODUCT(Items!A$6:A$132,Items!AW$6:AW$132)/'Customer Base'!D15</f>
        <v>200</v>
      </c>
      <c r="J23" s="152">
        <f t="shared" ref="J23" si="6">IF(J55&lt;&gt;"",J$17*1000/(IF(J57=1,240,IF(J57=3,(SQRT(3)*400)))),"")</f>
        <v>78.125</v>
      </c>
      <c r="K23" s="152">
        <f>SUMPRODUCT(Items!A$242:A$254,Items!AP$242:AP$254)/SUM(Items!A$242:A$254)</f>
        <v>15.95</v>
      </c>
      <c r="L23" s="152">
        <f>SUMPRODUCT(Items!A$242:A$254,Items!AP$242:AP$254)/SUM(Items!A$242:A$254)</f>
        <v>15.95</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2070</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2071</v>
      </c>
      <c r="B27" s="151" t="s">
        <v>2072</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100</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50</v>
      </c>
      <c r="F27" s="152">
        <f t="shared" ca="1" si="8"/>
        <v>50</v>
      </c>
      <c r="G27" s="152">
        <f t="shared" ca="1" si="8"/>
        <v>50</v>
      </c>
      <c r="H27" s="152">
        <f t="shared" ca="1" si="8"/>
        <v>50</v>
      </c>
      <c r="I27" s="152">
        <f t="shared" si="8"/>
        <v>250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100</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2073</v>
      </c>
      <c r="B29" s="151" t="s">
        <v>2074</v>
      </c>
      <c r="C29" s="152"/>
      <c r="D29" s="152">
        <f>IF(D$25=0,"",D27/(PRODUCT(D61:D67)))</f>
        <v>111.11111111111111</v>
      </c>
      <c r="E29" s="152">
        <f ca="1">IFERROR(IF(E$25=0,"",E27/(PRODUCT(E61:E67))),"")</f>
        <v>50</v>
      </c>
      <c r="F29" s="152">
        <f t="shared" ref="F29:H29" ca="1" si="9">IFERROR(IF(F$25=0,"",F27/(PRODUCT(F61:F67))),"")</f>
        <v>50</v>
      </c>
      <c r="G29" s="152">
        <f t="shared" ca="1" si="9"/>
        <v>50</v>
      </c>
      <c r="H29" s="152">
        <f t="shared" ca="1" si="9"/>
        <v>50</v>
      </c>
      <c r="I29" s="152">
        <f t="shared" ref="I29:L29" si="10">IF(I$25=0,"",I27/(PRODUCT(I61:I67)))</f>
        <v>308.64197530864197</v>
      </c>
      <c r="J29" s="152">
        <f t="shared" si="10"/>
        <v>100</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2075</v>
      </c>
      <c r="B31" s="151" t="s">
        <v>2076</v>
      </c>
      <c r="C31" s="152"/>
      <c r="D31" s="152">
        <f>IF(D$25=0,"",MAX(D33:D35)*(PRODUCT(D61:D67)))</f>
        <v>100.8</v>
      </c>
      <c r="E31" s="152">
        <f t="shared" ref="E31:L31" ca="1" si="11">IF(E$25=0,"",MAX(E33:E35)*(PRODUCT(E61:E67)))</f>
        <v>37</v>
      </c>
      <c r="F31" s="152">
        <f t="shared" ca="1" si="11"/>
        <v>47</v>
      </c>
      <c r="G31" s="152">
        <f t="shared" ca="1" si="11"/>
        <v>65</v>
      </c>
      <c r="H31" s="152">
        <f ca="1">IF(H$25=0,"",MAX(H33:H35)*(PRODUCT(H61:H67)))</f>
        <v>87</v>
      </c>
      <c r="I31" s="152">
        <f t="shared" si="11"/>
        <v>251.91000000000003</v>
      </c>
      <c r="J31" s="152">
        <f t="shared" si="11"/>
        <v>112</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112</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311</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112</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2077</v>
      </c>
      <c r="B34" s="151" t="s">
        <v>2078</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2079</v>
      </c>
      <c r="C37" s="152"/>
      <c r="D37" s="152" t="s">
        <v>2080</v>
      </c>
      <c r="E37" s="152" t="s">
        <v>2080</v>
      </c>
      <c r="F37" s="152" t="s">
        <v>2080</v>
      </c>
      <c r="G37" s="152" t="s">
        <v>2080</v>
      </c>
      <c r="H37" s="152" t="s">
        <v>2080</v>
      </c>
      <c r="I37" s="152" t="s">
        <v>2080</v>
      </c>
      <c r="J37" s="152" t="s">
        <v>2080</v>
      </c>
      <c r="K37" s="152" t="s">
        <v>2080</v>
      </c>
      <c r="L37" s="152" t="s">
        <v>2080</v>
      </c>
      <c r="M37" s="152"/>
      <c r="N37" s="152" t="s">
        <v>2080</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2081</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 ca="1">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ca="1"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ca="1" si="12"/>
        <v>50</v>
      </c>
      <c r="H39" s="152">
        <f t="shared" ca="1" si="12"/>
        <v>50</v>
      </c>
      <c r="I39" s="152">
        <f t="shared" si="12"/>
        <v>250</v>
      </c>
      <c r="J39" s="152">
        <f t="shared" si="12"/>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2082</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25</v>
      </c>
      <c r="E41" s="152">
        <f ca="1">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20</v>
      </c>
      <c r="F41" s="152">
        <f t="shared" ref="F41:M41" ca="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20</v>
      </c>
      <c r="G41" s="152">
        <f t="shared" ca="1" si="13"/>
        <v>20</v>
      </c>
      <c r="H41" s="152">
        <f t="shared" ca="1" si="13"/>
        <v>20</v>
      </c>
      <c r="I41" s="152">
        <f t="shared" si="13"/>
        <v>300</v>
      </c>
      <c r="J41" s="152">
        <f t="shared" si="13"/>
        <v>25</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2083</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16</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16</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2084</v>
      </c>
      <c r="C45" s="129"/>
      <c r="D45" s="129">
        <f>IF(COUNT(D78:D79)&gt;=1,D84,IF(COUNT(D80)&gt;=1,D83,""))</f>
        <v>25</v>
      </c>
      <c r="E45" s="129">
        <f ca="1">IF(COUNT(E78:E79)&gt;=1,E84,IF(COUNT(E80)&gt;=1,E83,""))</f>
        <v>4</v>
      </c>
      <c r="F45" s="129">
        <f t="shared" ref="F45:M45" ca="1" si="15">IF(COUNT(F78:F79)&gt;=1,F84,IF(COUNT(F80)&gt;=1,F83,""))</f>
        <v>6</v>
      </c>
      <c r="G45" s="129">
        <f t="shared" ca="1" si="15"/>
        <v>10</v>
      </c>
      <c r="H45" s="129">
        <f ca="1">IF(COUNT(H78:H79)&gt;=1,H84,IF(COUNT(H80)&gt;=1,H83,""))</f>
        <v>16</v>
      </c>
      <c r="I45" s="129">
        <f t="shared" si="15"/>
        <v>95</v>
      </c>
      <c r="J45" s="129">
        <f t="shared" si="15"/>
        <v>25</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2085</v>
      </c>
      <c r="B47" s="167" t="s">
        <v>2086</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2No.   Single Core, Non-Armour, Ref C, 2_Cables Touching Flat</v>
      </c>
      <c r="F47" s="156" t="str">
        <f t="shared" ca="1" si="16"/>
        <v>2No.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Multi Core, Thermo-plastic Sheath, Non-Armour, Ref C, 2_Cables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2087</v>
      </c>
      <c r="B48" s="170" t="s">
        <v>2086</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85" t="s">
        <v>2088</v>
      </c>
      <c r="B51" s="127" t="s">
        <v>2089</v>
      </c>
      <c r="C51" s="128"/>
      <c r="D51" s="172" t="str">
        <f>IF(AND(D57=3,D23&lt;225),"4D2",IF(AND(D57=1,D23&lt;251),"4D2",IF(AND(D57=3,D23&gt;=225),"4D1",IF(AND(D57=1,D23&gt;=251),"4D1",""))))</f>
        <v>4D2</v>
      </c>
      <c r="E51" s="173" t="s">
        <v>2091</v>
      </c>
      <c r="F51" s="173" t="s">
        <v>2091</v>
      </c>
      <c r="G51" s="173" t="s">
        <v>2091</v>
      </c>
      <c r="H51" s="173" t="s">
        <v>2091</v>
      </c>
      <c r="I51" s="173" t="s">
        <v>2091</v>
      </c>
      <c r="J51" s="172" t="str">
        <f>IF(AND(J57=3,J23&lt;225),"4D2",IF(AND(J57=1,J23&lt;251),"4D2",IF(AND(J57=3,J23&gt;=225),"4D1",IF(AND(J57=1,J23&gt;=251),"4D1",""))))</f>
        <v>4D2</v>
      </c>
      <c r="K51" s="173" t="s">
        <v>2091</v>
      </c>
      <c r="L51" s="173" t="s">
        <v>2091</v>
      </c>
      <c r="M51" s="174"/>
      <c r="N51" s="173" t="s">
        <v>2091</v>
      </c>
      <c r="O51" s="129"/>
      <c r="P51" s="123"/>
      <c r="Q51" s="123"/>
      <c r="R51" s="123"/>
      <c r="S51" s="123"/>
      <c r="T51" s="123"/>
      <c r="U51" s="123"/>
      <c r="V51" s="123"/>
      <c r="W51" s="123"/>
      <c r="X51" s="123"/>
      <c r="Y51" s="123"/>
      <c r="Z51" s="123"/>
      <c r="AA51" s="123"/>
      <c r="AB51" s="123"/>
      <c r="AC51" s="123"/>
      <c r="AD51" s="147"/>
      <c r="AQ51" s="112"/>
    </row>
    <row r="52" spans="1:43" ht="15.75" customHeight="1">
      <c r="A52" s="386"/>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86"/>
      <c r="B53" s="151" t="s">
        <v>2092</v>
      </c>
      <c r="C53" s="143"/>
      <c r="D53" s="140">
        <f>IF(AND(D57=3,D51="4D2"),7,IF(AND(D57=1,D51="4D2"),6,IF(AND(D57=3,D51="4D1"),9,IF(AND(D57=1,D51="4D1"),8,""))))</f>
        <v>6</v>
      </c>
      <c r="E53" s="140">
        <v>6</v>
      </c>
      <c r="F53" s="140">
        <v>6</v>
      </c>
      <c r="G53" s="140">
        <v>6</v>
      </c>
      <c r="H53" s="140">
        <v>6</v>
      </c>
      <c r="I53" s="140">
        <v>12</v>
      </c>
      <c r="J53" s="140">
        <f>IF(AND(J57=3,J51="4D2"),7,IF(AND(J57=1,J51="4D2"),6,IF(AND(J57=3,J23&gt;=100),9,IF(AND(J57=1,J23&gt;=101),8,""))))</f>
        <v>6</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86"/>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86"/>
      <c r="B55" s="151" t="s">
        <v>2093</v>
      </c>
      <c r="C55" s="143"/>
      <c r="D55" s="175" t="s">
        <v>2094</v>
      </c>
      <c r="E55" s="175" t="s">
        <v>2147</v>
      </c>
      <c r="F55" s="175" t="s">
        <v>2147</v>
      </c>
      <c r="G55" s="175" t="s">
        <v>2147</v>
      </c>
      <c r="H55" s="175" t="s">
        <v>2147</v>
      </c>
      <c r="I55" s="175" t="s">
        <v>2147</v>
      </c>
      <c r="J55" s="175" t="s">
        <v>2094</v>
      </c>
      <c r="K55" s="175" t="s">
        <v>2147</v>
      </c>
      <c r="L55" s="175" t="s">
        <v>2094</v>
      </c>
      <c r="M55" s="143"/>
      <c r="N55" s="175" t="s">
        <v>2094</v>
      </c>
      <c r="O55" s="143"/>
      <c r="P55" s="125"/>
      <c r="Q55" s="125"/>
      <c r="R55" s="125"/>
      <c r="S55" s="125"/>
      <c r="T55" s="125"/>
      <c r="U55" s="125"/>
      <c r="V55" s="125"/>
      <c r="W55" s="125"/>
      <c r="X55" s="125"/>
      <c r="Y55" s="125"/>
      <c r="Z55" s="125"/>
      <c r="AA55" s="125"/>
      <c r="AB55" s="125"/>
      <c r="AC55" s="125"/>
      <c r="AD55" s="147"/>
      <c r="AQ55" s="112"/>
    </row>
    <row r="56" spans="1:43" ht="16">
      <c r="A56" s="386"/>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86"/>
      <c r="B57" s="151" t="s">
        <v>2095</v>
      </c>
      <c r="C57" s="143"/>
      <c r="D57" s="175">
        <f>IF(AND(OR('Customer Base'!D7="Grid-tied",'Customer Base'!D$13="Deye"),'Customer Base'!D$14&gt;=10),'Customer Base'!D$9,1)</f>
        <v>1</v>
      </c>
      <c r="E57" s="175">
        <v>1</v>
      </c>
      <c r="F57" s="175">
        <v>1</v>
      </c>
      <c r="G57" s="175">
        <v>1</v>
      </c>
      <c r="H57" s="175">
        <v>1</v>
      </c>
      <c r="I57" s="175">
        <v>1</v>
      </c>
      <c r="J57" s="140">
        <f>'Customer Base'!D9</f>
        <v>1</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86"/>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86"/>
      <c r="B59" s="151" t="s">
        <v>2096</v>
      </c>
      <c r="C59" s="143"/>
      <c r="D59" s="175" t="s">
        <v>2097</v>
      </c>
      <c r="E59" s="175" t="s">
        <v>2097</v>
      </c>
      <c r="F59" s="175" t="s">
        <v>2097</v>
      </c>
      <c r="G59" s="175" t="s">
        <v>2097</v>
      </c>
      <c r="H59" s="175" t="s">
        <v>2097</v>
      </c>
      <c r="I59" s="175" t="s">
        <v>2097</v>
      </c>
      <c r="J59" s="175" t="s">
        <v>2097</v>
      </c>
      <c r="K59" s="175" t="s">
        <v>2097</v>
      </c>
      <c r="L59" s="175" t="s">
        <v>2097</v>
      </c>
      <c r="M59" s="143"/>
      <c r="N59" s="175" t="s">
        <v>2097</v>
      </c>
      <c r="O59" s="143"/>
      <c r="P59" s="125"/>
      <c r="Q59" s="125"/>
      <c r="R59" s="125"/>
      <c r="S59" s="125"/>
      <c r="T59" s="125"/>
      <c r="U59" s="125"/>
      <c r="V59" s="125"/>
      <c r="W59" s="125"/>
      <c r="X59" s="125"/>
      <c r="Y59" s="125"/>
      <c r="Z59" s="125"/>
      <c r="AA59" s="125"/>
      <c r="AB59" s="125"/>
      <c r="AC59" s="125"/>
      <c r="AD59" s="147"/>
      <c r="AQ59" s="112"/>
    </row>
    <row r="60" spans="1:43" s="168" customFormat="1" ht="16">
      <c r="A60" s="387"/>
      <c r="B60" s="170"/>
      <c r="C60" s="159"/>
      <c r="D60" s="137"/>
      <c r="E60" s="137"/>
      <c r="F60" s="137"/>
      <c r="G60" s="137"/>
      <c r="H60" s="137"/>
      <c r="I60" s="137"/>
      <c r="J60" s="137"/>
      <c r="K60" s="137"/>
      <c r="L60" s="137"/>
      <c r="M60" s="159"/>
      <c r="N60" s="137"/>
      <c r="O60" s="159"/>
    </row>
    <row r="61" spans="1:43" s="123" customFormat="1" ht="18.75" customHeight="1">
      <c r="A61" s="385" t="s">
        <v>2098</v>
      </c>
      <c r="B61" s="176" t="s">
        <v>2099</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86"/>
      <c r="B62" s="178" t="s">
        <v>2100</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86"/>
      <c r="B63" s="178" t="s">
        <v>2101</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86"/>
      <c r="B64" s="178" t="s">
        <v>2102</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86"/>
      <c r="B65" s="178" t="s">
        <v>2103</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86"/>
      <c r="B66" s="178" t="s">
        <v>2104</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86"/>
      <c r="B67" s="178" t="s">
        <v>2105</v>
      </c>
      <c r="C67" s="152"/>
      <c r="D67" s="140">
        <v>1</v>
      </c>
      <c r="E67" s="140">
        <v>1</v>
      </c>
      <c r="F67" s="140">
        <v>1</v>
      </c>
      <c r="G67" s="140">
        <v>1</v>
      </c>
      <c r="H67" s="140">
        <v>1</v>
      </c>
      <c r="I67" s="140">
        <v>1</v>
      </c>
      <c r="J67" s="140">
        <v>1</v>
      </c>
      <c r="K67" s="140">
        <v>1</v>
      </c>
      <c r="L67" s="140">
        <v>1</v>
      </c>
      <c r="M67" s="152"/>
      <c r="N67" s="140">
        <v>1</v>
      </c>
      <c r="O67" s="152"/>
    </row>
    <row r="68" spans="1:43" ht="15.75" customHeight="1">
      <c r="A68" s="387"/>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2106</v>
      </c>
      <c r="C69" s="156"/>
      <c r="D69" s="180">
        <f>'Customer Base'!D32</f>
        <v>15</v>
      </c>
      <c r="E69" s="180">
        <f>'Customer Base'!D31</f>
        <v>30</v>
      </c>
      <c r="F69" s="180">
        <f>E69</f>
        <v>30</v>
      </c>
      <c r="G69" s="180">
        <f>E69</f>
        <v>30</v>
      </c>
      <c r="H69" s="180">
        <f>E69</f>
        <v>30</v>
      </c>
      <c r="I69" s="180">
        <v>50</v>
      </c>
      <c r="J69" s="180">
        <v>50</v>
      </c>
      <c r="K69" s="180">
        <f>E69</f>
        <v>30</v>
      </c>
      <c r="L69" s="180">
        <f>E69</f>
        <v>30</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2107</v>
      </c>
      <c r="C71" s="158"/>
      <c r="D71" s="182" t="s">
        <v>2108</v>
      </c>
      <c r="E71" s="182" t="s">
        <v>2108</v>
      </c>
      <c r="F71" s="182" t="s">
        <v>2108</v>
      </c>
      <c r="G71" s="182" t="s">
        <v>2108</v>
      </c>
      <c r="H71" s="182" t="s">
        <v>2108</v>
      </c>
      <c r="I71" s="182" t="s">
        <v>2108</v>
      </c>
      <c r="J71" s="182" t="s">
        <v>2108</v>
      </c>
      <c r="K71" s="182" t="s">
        <v>2108</v>
      </c>
      <c r="L71" s="182" t="s">
        <v>2108</v>
      </c>
      <c r="M71" s="158"/>
      <c r="N71" s="182" t="s">
        <v>2108</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85" t="s">
        <v>2077</v>
      </c>
      <c r="B75" s="388" t="s">
        <v>2109</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112</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311</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112</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86"/>
      <c r="B76" s="389"/>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87"/>
      <c r="B77" s="390"/>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2110</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25</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95</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25</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2111</v>
      </c>
      <c r="C81" s="129"/>
      <c r="D81" s="129" cm="1">
        <f t="array" ref="D81">IF(D$29="","",IF(OR(D78&lt;&gt;"",D79&lt;&gt;"",D80&lt;&gt;""),IF(D94&gt;20,INDEX(T!$P$6:$P$29,MATCH(TRUE,INDEX(T!$P$6:$P$29&gt;D78,0),)),D78)))</f>
        <v>25</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cm="1">
        <f t="array" ref="I81">IF(I$29="","",IF(OR(I78&lt;&gt;"",I79&lt;&gt;"",I80&lt;&gt;""),IF(I94&gt;20,INDEX(T!$P$6:$P$29,MATCH(TRUE,INDEX(T!$P$6:$P$29&gt;I78,0),)),I78)))</f>
        <v>95</v>
      </c>
      <c r="J81" s="129" cm="1">
        <f t="array" ref="J81">IF(J$29="","",IF(OR(J78&lt;&gt;"",J79&lt;&gt;"",J80&lt;&gt;""),IF(J94&gt;20,INDEX(T!$P$6:$P$29,MATCH(TRUE,INDEX(T!$P$6:$P$29&gt;J78,0),)),J78)))</f>
        <v>25</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25</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cm="1">
        <f t="array" ref="I82">IF(I$29="","",IF(I94&lt;&gt;"",IF(I95&gt;20,INDEX(T!$P$6:$P$29,MATCH(TRUE,INDEX(T!$P$6:$P$29&gt;I81,0),)),I81)))</f>
        <v>95</v>
      </c>
      <c r="J82" s="152" cm="1">
        <f t="array" ref="J82">IF(J$29="","",IF(J94&lt;&gt;"",IF(J95&gt;20,INDEX(T!$P$6:$P$29,MATCH(TRUE,INDEX(T!$P$6:$P$29&gt;J81,0),)),J81)))</f>
        <v>25</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25</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cm="1">
        <f t="array" ref="I83">IF(I$29="","",IF(I95&lt;&gt;"",IF(I96&gt;20,INDEX(T!$P$6:$P$29,MATCH(TRUE,INDEX(T!$P$6:$P$29&gt;I82,0),)),I82)))</f>
        <v>95</v>
      </c>
      <c r="J83" s="136" cm="1">
        <f t="array" ref="J83">IF(J$29="","",IF(J95&lt;&gt;"",IF(J96&gt;20,INDEX(T!$P$6:$P$29,MATCH(TRUE,INDEX(T!$P$6:$P$29&gt;J82,0),)),J82)))</f>
        <v>25</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2112</v>
      </c>
      <c r="C84" s="184"/>
      <c r="D84" s="184" cm="1">
        <f t="array" ref="D84">IF(D29="","",IF(D92&gt;(IF(COUNT(D19:D21)=1,230,IF(COUNT(D19:D21)=3,400))/(D27*IF(D37="B",5,IF(D37="C",10,IF(D37="D",20))))),INDEX(T!$P6:$P29,MATCH(TRUE,INDEX(T!$P6:$P29&gt;D83,0),)),D83))</f>
        <v>25</v>
      </c>
      <c r="E84" s="184">
        <v>4</v>
      </c>
      <c r="F84" s="184">
        <v>6</v>
      </c>
      <c r="G84" s="184">
        <v>10</v>
      </c>
      <c r="H84" s="184">
        <v>16</v>
      </c>
      <c r="I84" s="184" cm="1">
        <f t="array" ref="I84">IF(I29="","",IF(I92&gt;(IF(COUNT(I19:I21)=1,230,IF(COUNT(I19:I21)=3,400))/(I27*IF(I37="B",5,IF(I37="C",10,IF(I37="D",20))))),INDEX(T!$P6:$P29,MATCH(TRUE,INDEX(T!$P6:$P29&gt;I83,0),)),I83))</f>
        <v>95</v>
      </c>
      <c r="J84" s="184" cm="1">
        <f t="array" ref="J84">IF(J29="","",IF(J92&gt;(IF(COUNT(J19:J21)=1,230,IF(COUNT(J19:J21)=3,400))/(J27*IF(J37="B",5,IF(J37="C",10,IF(J37="D",20))))),INDEX(T!$P6:$P29,MATCH(TRUE,INDEX(T!$P6:$P29&gt;J83,0),)),J83))</f>
        <v>25</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2113</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16</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9"/>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f t="shared" si="19"/>
        <v>50</v>
      </c>
      <c r="J85" s="136">
        <f t="shared" si="19"/>
        <v>16</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2114</v>
      </c>
      <c r="C88" s="156"/>
      <c r="D88" s="156">
        <f>IF(D$25=0,"",IF(ISNUMBER(D83),LOOKUP(D83,T!$P$6:$P$29,T!$Q$6:$Q$29),IF(ISNUMBER(D79),LOOKUP(D79,T!$P$6:$P$29,T!$Q$6:$Q$29),IF(ISNUMBER(D80),LOOKUP(D80,T!$P$6:$P$29,T!$Q$6:$Q$29),0))))</f>
        <v>0.72699999999999998</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0.19500000000000001</v>
      </c>
      <c r="J88" s="156">
        <f>IF(J$25=0,"",IF(ISNUMBER(J83),LOOKUP(J83,T!$P$6:$P$29,T!$Q$6:$Q$29),IF(ISNUMBER(J79),LOOKUP(J79,T!$P$6:$P$29,T!$Q$6:$Q$29),IF(ISNUMBER(J80),LOOKUP(J80,T!$P$6:$P$29,T!$Q$6:$Q$29),0))))</f>
        <v>0.72699999999999998</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2115</v>
      </c>
      <c r="C89" s="158"/>
      <c r="D89" s="158">
        <f>IF(D$25=0,"",IF(ISNUMBER(D85),LOOKUP(D85,T!$P$6:$P$28,T!$Q$6:$Q$28),0))</f>
        <v>1.1499999999999999</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0.38700000000000001</v>
      </c>
      <c r="J89" s="158">
        <f>IF(J$25=0,"",IF(ISNUMBER(J85),LOOKUP(J85,T!$P$6:$P$28,T!$Q$6:$Q$28),0))</f>
        <v>1.1499999999999999</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2116</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2117</v>
      </c>
      <c r="C91" s="158"/>
      <c r="D91" s="158">
        <f t="shared" ref="D91:J91" si="21">IF(D25&lt;&gt;0,(D88+D89)*D69,0)</f>
        <v>28.154999999999998</v>
      </c>
      <c r="E91" s="158">
        <f t="shared" ca="1" si="21"/>
        <v>109.80000000000001</v>
      </c>
      <c r="F91" s="158">
        <f t="shared" ca="1" si="21"/>
        <v>109.80000000000001</v>
      </c>
      <c r="G91" s="158">
        <f t="shared" ca="1" si="21"/>
        <v>109.80000000000001</v>
      </c>
      <c r="H91" s="158">
        <f ca="1">IF(H25&lt;&gt;0,(H88+H89)*H69,0)</f>
        <v>109.80000000000001</v>
      </c>
      <c r="I91" s="158">
        <f t="shared" si="21"/>
        <v>29.100000000000005</v>
      </c>
      <c r="J91" s="158">
        <f t="shared" si="21"/>
        <v>93.85</v>
      </c>
      <c r="K91" s="158">
        <f>IF(K25&lt;&gt;0,(K88+K89)*K69,0)</f>
        <v>726</v>
      </c>
      <c r="L91" s="158">
        <f>IF(L25&lt;&gt;0,(L88+L89)*L69,0)</f>
        <v>726</v>
      </c>
      <c r="M91" s="158">
        <f>IF(M25&lt;&gt;0,(M88+M89)*M69,0)</f>
        <v>0</v>
      </c>
      <c r="N91" s="158">
        <f>IF(N25&lt;&gt;0,(N88+N89)*N69,0)</f>
        <v>21.05</v>
      </c>
      <c r="O91" s="143" t="str">
        <f>IF(N91&gt;0,"Ω","")</f>
        <v>Ω</v>
      </c>
    </row>
    <row r="92" spans="1:15" s="168" customFormat="1" ht="19">
      <c r="A92" s="136"/>
      <c r="B92" s="170" t="s">
        <v>2118</v>
      </c>
      <c r="C92" s="159"/>
      <c r="D92" s="159">
        <f t="shared" ref="D92:J92" si="22">IF(D25&lt;&gt;0,((D90+D91)*1.2)/1000,0)</f>
        <v>3.4205999999999993E-2</v>
      </c>
      <c r="E92" s="159">
        <f t="shared" ca="1" si="22"/>
        <v>0.13218000000000002</v>
      </c>
      <c r="F92" s="159">
        <f t="shared" ca="1" si="22"/>
        <v>0.13218000000000002</v>
      </c>
      <c r="G92" s="159">
        <f t="shared" ca="1" si="22"/>
        <v>0.13218000000000002</v>
      </c>
      <c r="H92" s="159">
        <f ca="1">IF(H25&lt;&gt;0,((H90+H91)*1.2)/1000,0)</f>
        <v>0.13218000000000002</v>
      </c>
      <c r="I92" s="159">
        <f t="shared" si="22"/>
        <v>3.5340000000000003E-2</v>
      </c>
      <c r="J92" s="159">
        <f t="shared" si="22"/>
        <v>0.11303999999999997</v>
      </c>
      <c r="K92" s="159">
        <f>IF(K25&lt;&gt;0,((K90+K91)*1.2)/1000,0)</f>
        <v>0.87161999999999995</v>
      </c>
      <c r="L92" s="159">
        <f>IF(L25&lt;&gt;0,((L90+L91)*1.2)/1000,0)</f>
        <v>0.87161999999999995</v>
      </c>
      <c r="M92" s="159">
        <f>IF(M25&lt;&gt;0,((M90+M91)*1.2)/1000,0)</f>
        <v>0</v>
      </c>
      <c r="N92" s="159">
        <f>IF(N25&lt;&gt;0,((N90+N91)*1.2)/1000,0)</f>
        <v>2.5680000000000005E-2</v>
      </c>
      <c r="O92" s="135" t="str">
        <f>IF(N92&gt;0,"Ω","")</f>
        <v>Ω</v>
      </c>
    </row>
    <row r="93" spans="1:15" s="168" customFormat="1" ht="16">
      <c r="A93" s="123"/>
      <c r="B93" s="171"/>
    </row>
    <row r="94" spans="1:15" s="168" customFormat="1" ht="17">
      <c r="A94" s="187" t="s">
        <v>2119</v>
      </c>
      <c r="B94" s="388" t="s">
        <v>2484</v>
      </c>
      <c r="C94" s="385" t="s">
        <v>2120</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2.05078125</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6.3162000000000003</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6.3162000000000003</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6.3162000000000003</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6.3162000000000003</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6.8359375</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13.876499999999998</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13.876499999999998</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89"/>
      <c r="C95" s="386"/>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2.05078125</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6.3162000000000003</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6.3162000000000003</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6.3162000000000003</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6.3162000000000003</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6.8359375</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13.876499999999998</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13.876499999999998</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89"/>
      <c r="C96" s="386"/>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2.05078125</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6.3162000000000003</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6.3162000000000003</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6.3162000000000003</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6.3162000000000003</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6.8359375</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13.876499999999998</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13.876499999999998</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89"/>
      <c r="C97" s="386"/>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2.05078125</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6.3162000000000003</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6.3162000000000003</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6.3162000000000003</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6.3162000000000003</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6.8359375</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13.876499999999998</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13.876499999999998</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2121</v>
      </c>
      <c r="B98" s="389"/>
      <c r="C98" s="386"/>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89"/>
      <c r="C99" s="386"/>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89"/>
      <c r="C100" s="386"/>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89"/>
      <c r="C101" s="387"/>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2119</v>
      </c>
      <c r="B102" s="389"/>
      <c r="C102" s="385" t="s">
        <v>2122</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2.05078125</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15.790499999999996</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10.479149999999997</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6.3162000000000003</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4.0193999999999992</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6.8359375</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5.2634999999999996</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3.4930499999999998</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2121</v>
      </c>
      <c r="B103" s="390"/>
      <c r="C103" s="387"/>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2486</v>
      </c>
      <c r="B104" s="192"/>
      <c r="C104" s="193"/>
      <c r="D104" s="193"/>
      <c r="E104" s="194">
        <f ca="1">IFERROR((IF(E84&gt;=E83,E102,99999)/((SUMPRODUCT(Items!$A$242:$A$254,Items!$AQ$242:$AQ$254)/SUM(Items!$A$242:$A$254))*Items!$N$1)),"")</f>
        <v>419.28301886792451</v>
      </c>
      <c r="F104" s="194">
        <f ca="1">IFERROR((IF(F84&gt;=F83,F102,99999)/((SUMPRODUCT(Items!$A$242:$A$254,Items!$AQ$242:$AQ$254)/SUM(Items!$A$242:$A$254))*Items!$N$1)),"")</f>
        <v>419.28301886792451</v>
      </c>
      <c r="G104" s="194">
        <f ca="1">IFERROR((IF(G84&gt;=G83,G102,99999)/((SUMPRODUCT(Items!$A$242:$A$254,Items!$AQ$242:$AQ$254)/SUM(Items!$A$242:$A$254))*Items!$N$1)),"")</f>
        <v>2.6483018867924528E-2</v>
      </c>
      <c r="H104" s="194">
        <f ca="1">IFERROR((IF(H84&gt;=H83,H102,99999)/((SUMPRODUCT(Items!$A$242:$A$254,Items!$AQ$242:$AQ$254)/SUM(Items!$A$242:$A$254))*Items!$N$1)),"")</f>
        <v>1.6852830188679242E-2</v>
      </c>
      <c r="I104" s="193"/>
      <c r="J104" s="193"/>
      <c r="K104" s="194">
        <f ca="1">IFERROR((IF(K84&gt;=K83,K102,99999)/((SUMPRODUCT(Items!$A$242:$A$254,Items!$AQ$242:$AQ$254)/SUM(Items!$A$242:$A$254))*Items!$N$1)),"")</f>
        <v>2.2069182389937107E-2</v>
      </c>
      <c r="L104" s="194">
        <f ca="1">IFERROR((IF(L84&gt;=L83,L102,99999)/((SUMPRODUCT(Items!$A$242:$A$254,Items!$AQ$242:$AQ$254)/SUM(Items!$A$242:$A$254))*Items!$N$1)),"")</f>
        <v>1.4645911949685534E-2</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94" t="s">
        <v>2091</v>
      </c>
      <c r="B106" s="195" t="s">
        <v>2123</v>
      </c>
      <c r="C106" s="184">
        <v>2</v>
      </c>
      <c r="D106" s="184">
        <v>3</v>
      </c>
      <c r="E106" s="184">
        <v>4</v>
      </c>
      <c r="F106" s="184">
        <v>5</v>
      </c>
      <c r="G106" s="184">
        <v>6</v>
      </c>
      <c r="H106" s="184"/>
      <c r="I106" s="184">
        <v>7</v>
      </c>
      <c r="J106" s="184">
        <v>9</v>
      </c>
      <c r="K106" s="184"/>
      <c r="L106" s="184">
        <v>12</v>
      </c>
      <c r="M106" s="123"/>
      <c r="N106" s="196" t="s">
        <v>2124</v>
      </c>
      <c r="O106" s="196" t="s">
        <v>2125</v>
      </c>
      <c r="P106" s="196" t="s">
        <v>2080</v>
      </c>
      <c r="Q106" s="196" t="s">
        <v>2126</v>
      </c>
      <c r="R106" s="196" t="s">
        <v>2127</v>
      </c>
      <c r="S106" s="196" t="s">
        <v>2128</v>
      </c>
      <c r="T106" s="196" t="s">
        <v>2129</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95"/>
      <c r="B107" s="151" t="s">
        <v>2130</v>
      </c>
      <c r="C107" s="152" t="s">
        <v>2124</v>
      </c>
      <c r="D107" s="152" t="s">
        <v>2124</v>
      </c>
      <c r="E107" s="152" t="s">
        <v>2125</v>
      </c>
      <c r="F107" s="152" t="s">
        <v>2125</v>
      </c>
      <c r="G107" s="152" t="s">
        <v>2080</v>
      </c>
      <c r="H107" s="152"/>
      <c r="I107" s="152" t="s">
        <v>2080</v>
      </c>
      <c r="J107" s="152" t="s">
        <v>2128</v>
      </c>
      <c r="K107" s="152"/>
      <c r="L107" s="152" t="s">
        <v>2128</v>
      </c>
      <c r="M107" s="123"/>
      <c r="N107" s="197"/>
      <c r="O107" s="198"/>
      <c r="P107" s="198"/>
      <c r="Q107" s="198"/>
      <c r="R107" s="199" t="s">
        <v>2131</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95"/>
      <c r="B108" s="151" t="s">
        <v>2132</v>
      </c>
      <c r="C108" s="152">
        <v>2</v>
      </c>
      <c r="D108" s="152" t="s">
        <v>2133</v>
      </c>
      <c r="E108" s="152">
        <v>2</v>
      </c>
      <c r="F108" s="152" t="s">
        <v>2133</v>
      </c>
      <c r="G108" s="152">
        <v>2</v>
      </c>
      <c r="H108" s="152"/>
      <c r="I108" s="152" t="s">
        <v>2133</v>
      </c>
      <c r="J108" s="152">
        <v>3</v>
      </c>
      <c r="K108" s="152"/>
      <c r="L108" s="152" t="s">
        <v>2134</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95"/>
      <c r="B109" s="151" t="s">
        <v>2135</v>
      </c>
      <c r="C109" s="152"/>
      <c r="D109" s="152"/>
      <c r="E109" s="152"/>
      <c r="F109" s="152"/>
      <c r="G109" s="152" t="s">
        <v>2136</v>
      </c>
      <c r="H109" s="152"/>
      <c r="I109" s="152" t="s">
        <v>2136</v>
      </c>
      <c r="J109" s="152" t="s">
        <v>2136</v>
      </c>
      <c r="K109" s="152"/>
      <c r="L109" s="152" t="s">
        <v>2137</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95"/>
      <c r="B110" s="151" t="s">
        <v>2138</v>
      </c>
      <c r="C110" s="152"/>
      <c r="D110" s="152"/>
      <c r="E110" s="152"/>
      <c r="F110" s="152"/>
      <c r="G110" s="152" t="s">
        <v>2139</v>
      </c>
      <c r="H110" s="152"/>
      <c r="I110" s="152"/>
      <c r="J110" s="152" t="s">
        <v>2139</v>
      </c>
      <c r="K110" s="152"/>
      <c r="L110" s="152" t="s">
        <v>2139</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95"/>
      <c r="B111" s="151" t="s">
        <v>2140</v>
      </c>
      <c r="C111" s="152"/>
      <c r="D111" s="152"/>
      <c r="E111" s="152"/>
      <c r="F111" s="152"/>
      <c r="G111" s="152"/>
      <c r="H111" s="152"/>
      <c r="I111" s="152"/>
      <c r="J111" s="152"/>
      <c r="K111" s="152"/>
      <c r="L111" s="152" t="s">
        <v>2141</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6"/>
      <c r="B112" s="134" t="s">
        <v>2093</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94" t="s">
        <v>2090</v>
      </c>
      <c r="B114" s="195" t="s">
        <v>2142</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95"/>
      <c r="B115" s="151" t="s">
        <v>2130</v>
      </c>
      <c r="C115" s="152" t="s">
        <v>2124</v>
      </c>
      <c r="D115" s="152" t="s">
        <v>2124</v>
      </c>
      <c r="E115" s="152" t="s">
        <v>2125</v>
      </c>
      <c r="F115" s="152" t="s">
        <v>2125</v>
      </c>
      <c r="G115" s="152" t="s">
        <v>2080</v>
      </c>
      <c r="H115" s="152"/>
      <c r="I115" s="152" t="s">
        <v>2080</v>
      </c>
      <c r="J115" s="152" t="s">
        <v>2127</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95"/>
      <c r="B116" s="151" t="s">
        <v>2132</v>
      </c>
      <c r="C116" s="152">
        <v>2</v>
      </c>
      <c r="D116" s="152" t="s">
        <v>2133</v>
      </c>
      <c r="E116" s="152">
        <v>2</v>
      </c>
      <c r="F116" s="152" t="s">
        <v>2133</v>
      </c>
      <c r="G116" s="152">
        <v>2</v>
      </c>
      <c r="H116" s="152"/>
      <c r="I116" s="152" t="s">
        <v>2133</v>
      </c>
      <c r="J116" s="152" t="s">
        <v>2133</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95"/>
      <c r="B117" s="151" t="s">
        <v>2135</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95"/>
      <c r="B118" s="151" t="s">
        <v>2138</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95"/>
      <c r="B119" s="151" t="s">
        <v>2140</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6"/>
      <c r="B120" s="134" t="s">
        <v>2093</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94" t="s">
        <v>2143</v>
      </c>
      <c r="B122" s="195" t="s">
        <v>2144</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95"/>
      <c r="B123" s="151" t="s">
        <v>2130</v>
      </c>
      <c r="C123" s="152" t="s">
        <v>2080</v>
      </c>
      <c r="D123" s="152" t="s">
        <v>2080</v>
      </c>
      <c r="E123" s="152" t="s">
        <v>2128</v>
      </c>
      <c r="F123" s="152" t="s">
        <v>2128</v>
      </c>
      <c r="G123" s="152" t="s">
        <v>2128</v>
      </c>
      <c r="H123" s="152"/>
      <c r="I123" s="152" t="s">
        <v>2128</v>
      </c>
      <c r="J123" s="152" t="s">
        <v>2128</v>
      </c>
      <c r="K123" s="152"/>
      <c r="L123" s="152" t="s">
        <v>2128</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95"/>
      <c r="B124" s="151" t="s">
        <v>2132</v>
      </c>
      <c r="C124" s="152">
        <v>2</v>
      </c>
      <c r="D124" s="152" t="s">
        <v>2133</v>
      </c>
      <c r="E124" s="152">
        <v>2</v>
      </c>
      <c r="F124" s="152" t="s">
        <v>2133</v>
      </c>
      <c r="G124" s="152" t="s">
        <v>2133</v>
      </c>
      <c r="H124" s="152"/>
      <c r="I124" s="152">
        <v>2</v>
      </c>
      <c r="J124" s="152">
        <v>2</v>
      </c>
      <c r="K124" s="152"/>
      <c r="L124" s="152" t="s">
        <v>2133</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95"/>
      <c r="B125" s="151" t="s">
        <v>2135</v>
      </c>
      <c r="C125" s="152" t="s">
        <v>2136</v>
      </c>
      <c r="D125" s="152" t="s">
        <v>2136</v>
      </c>
      <c r="E125" s="152" t="s">
        <v>2136</v>
      </c>
      <c r="F125" s="152" t="s">
        <v>2136</v>
      </c>
      <c r="G125" s="152" t="s">
        <v>2136</v>
      </c>
      <c r="H125" s="152"/>
      <c r="I125" s="152" t="s">
        <v>2137</v>
      </c>
      <c r="J125" s="152" t="s">
        <v>2137</v>
      </c>
      <c r="K125" s="152"/>
      <c r="L125" s="152" t="s">
        <v>2137</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95"/>
      <c r="B126" s="151" t="s">
        <v>2138</v>
      </c>
      <c r="C126" s="152" t="s">
        <v>2139</v>
      </c>
      <c r="D126" s="152" t="s">
        <v>2139</v>
      </c>
      <c r="E126" s="152" t="s">
        <v>2139</v>
      </c>
      <c r="F126" s="152" t="s">
        <v>2139</v>
      </c>
      <c r="G126" s="152" t="s">
        <v>2145</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95"/>
      <c r="B127" s="151" t="s">
        <v>2140</v>
      </c>
      <c r="C127" s="152"/>
      <c r="D127" s="152"/>
      <c r="E127" s="152"/>
      <c r="F127" s="152"/>
      <c r="G127" s="152"/>
      <c r="H127" s="152"/>
      <c r="I127" s="152" t="s">
        <v>2146</v>
      </c>
      <c r="J127" s="152" t="s">
        <v>2146</v>
      </c>
      <c r="K127" s="152"/>
      <c r="L127" s="152" t="s">
        <v>2141</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6"/>
      <c r="B128" s="134" t="s">
        <v>2093</v>
      </c>
      <c r="C128" s="136"/>
      <c r="D128" s="136"/>
      <c r="E128" s="136"/>
      <c r="F128" s="136"/>
      <c r="G128" s="136"/>
      <c r="H128" s="136"/>
      <c r="I128" s="136" t="s">
        <v>2147</v>
      </c>
      <c r="J128" s="136" t="s">
        <v>2094</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94" t="s">
        <v>2148</v>
      </c>
      <c r="B130" s="195" t="s">
        <v>2149</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95"/>
      <c r="B131" s="151" t="s">
        <v>2130</v>
      </c>
      <c r="C131" s="152" t="s">
        <v>2080</v>
      </c>
      <c r="D131" s="152" t="s">
        <v>2080</v>
      </c>
      <c r="E131" s="152" t="s">
        <v>2127</v>
      </c>
      <c r="F131" s="152" t="s">
        <v>2127</v>
      </c>
      <c r="G131" s="152" t="s">
        <v>2126</v>
      </c>
      <c r="H131" s="152"/>
      <c r="I131" s="152" t="s">
        <v>2126</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95"/>
      <c r="B132" s="151" t="s">
        <v>2132</v>
      </c>
      <c r="C132" s="152">
        <v>2</v>
      </c>
      <c r="D132" s="152" t="s">
        <v>2133</v>
      </c>
      <c r="E132" s="152">
        <v>2</v>
      </c>
      <c r="F132" s="152" t="s">
        <v>2133</v>
      </c>
      <c r="G132" s="152">
        <v>2</v>
      </c>
      <c r="H132" s="152"/>
      <c r="I132" s="152" t="s">
        <v>2133</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95"/>
      <c r="B133" s="151" t="s">
        <v>2135</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95"/>
      <c r="B134" s="151" t="s">
        <v>2138</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95"/>
      <c r="B135" s="151" t="s">
        <v>2140</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6"/>
      <c r="B136" s="134" t="s">
        <v>2093</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94" t="s">
        <v>2150</v>
      </c>
      <c r="B138" s="195" t="s">
        <v>2151</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95"/>
      <c r="B139" s="151" t="s">
        <v>2130</v>
      </c>
      <c r="C139" s="152">
        <v>100</v>
      </c>
      <c r="D139" s="152">
        <v>101</v>
      </c>
      <c r="E139" s="152">
        <v>102</v>
      </c>
      <c r="F139" s="152">
        <v>103</v>
      </c>
      <c r="G139" s="152" t="s">
        <v>2080</v>
      </c>
      <c r="H139" s="152"/>
      <c r="I139" s="152" t="s">
        <v>2124</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95"/>
      <c r="B140" s="151" t="s">
        <v>2132</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95"/>
      <c r="B141" s="151" t="s">
        <v>2135</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95"/>
      <c r="B142" s="151" t="s">
        <v>2138</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95"/>
      <c r="B143" s="151" t="s">
        <v>2140</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6"/>
      <c r="B144" s="134" t="s">
        <v>2093</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91" t="s">
        <v>2152</v>
      </c>
      <c r="B146" s="195" t="s">
        <v>2153</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92"/>
      <c r="B147" s="151" t="s">
        <v>2130</v>
      </c>
      <c r="C147" s="152" t="s">
        <v>2124</v>
      </c>
      <c r="D147" s="152" t="s">
        <v>2124</v>
      </c>
      <c r="E147" s="152" t="s">
        <v>2125</v>
      </c>
      <c r="F147" s="152" t="s">
        <v>2125</v>
      </c>
      <c r="G147" s="152" t="s">
        <v>2080</v>
      </c>
      <c r="H147" s="152"/>
      <c r="I147" s="152" t="s">
        <v>2080</v>
      </c>
      <c r="J147" s="152" t="s">
        <v>2128</v>
      </c>
      <c r="K147" s="152"/>
      <c r="L147" s="152" t="s">
        <v>2128</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92"/>
      <c r="B148" s="151" t="s">
        <v>2132</v>
      </c>
      <c r="C148" s="152">
        <v>2</v>
      </c>
      <c r="D148" s="152" t="s">
        <v>2133</v>
      </c>
      <c r="E148" s="152">
        <v>2</v>
      </c>
      <c r="F148" s="152" t="s">
        <v>2133</v>
      </c>
      <c r="G148" s="152">
        <v>2</v>
      </c>
      <c r="H148" s="152"/>
      <c r="I148" s="152" t="s">
        <v>2133</v>
      </c>
      <c r="J148" s="152">
        <v>3</v>
      </c>
      <c r="K148" s="152"/>
      <c r="L148" s="152" t="s">
        <v>2134</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92"/>
      <c r="B149" s="151" t="s">
        <v>2135</v>
      </c>
      <c r="C149" s="152"/>
      <c r="D149" s="152"/>
      <c r="E149" s="152"/>
      <c r="F149" s="152"/>
      <c r="G149" s="152" t="s">
        <v>2136</v>
      </c>
      <c r="H149" s="152"/>
      <c r="I149" s="152" t="s">
        <v>2136</v>
      </c>
      <c r="J149" s="152" t="s">
        <v>2136</v>
      </c>
      <c r="K149" s="152"/>
      <c r="L149" s="152" t="s">
        <v>2137</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92"/>
      <c r="B150" s="151" t="s">
        <v>2138</v>
      </c>
      <c r="C150" s="152"/>
      <c r="D150" s="152"/>
      <c r="E150" s="152"/>
      <c r="F150" s="152"/>
      <c r="G150" s="152" t="s">
        <v>2139</v>
      </c>
      <c r="H150" s="152"/>
      <c r="I150" s="152"/>
      <c r="J150" s="152" t="s">
        <v>2139</v>
      </c>
      <c r="K150" s="152"/>
      <c r="L150" s="152" t="s">
        <v>2139</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92"/>
      <c r="B151" s="151" t="s">
        <v>2140</v>
      </c>
      <c r="C151" s="152"/>
      <c r="D151" s="152"/>
      <c r="E151" s="152"/>
      <c r="F151" s="152"/>
      <c r="G151" s="152"/>
      <c r="H151" s="152"/>
      <c r="I151" s="152"/>
      <c r="J151" s="152"/>
      <c r="K151" s="152"/>
      <c r="L151" s="152" t="s">
        <v>2141</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93"/>
      <c r="B152" s="134" t="s">
        <v>2093</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91" t="s">
        <v>2154</v>
      </c>
      <c r="B154" s="195" t="s">
        <v>2155</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92"/>
      <c r="B155" s="151" t="s">
        <v>2130</v>
      </c>
      <c r="C155" s="152" t="s">
        <v>2124</v>
      </c>
      <c r="D155" s="152" t="s">
        <v>2124</v>
      </c>
      <c r="E155" s="152" t="s">
        <v>2125</v>
      </c>
      <c r="F155" s="152" t="s">
        <v>2125</v>
      </c>
      <c r="G155" s="152" t="s">
        <v>2080</v>
      </c>
      <c r="H155" s="152"/>
      <c r="I155" s="152" t="s">
        <v>2080</v>
      </c>
      <c r="J155" s="152" t="s">
        <v>2127</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92"/>
      <c r="B156" s="151" t="s">
        <v>2132</v>
      </c>
      <c r="C156" s="152">
        <v>2</v>
      </c>
      <c r="D156" s="152" t="s">
        <v>2133</v>
      </c>
      <c r="E156" s="152">
        <v>2</v>
      </c>
      <c r="F156" s="152" t="s">
        <v>2133</v>
      </c>
      <c r="G156" s="152">
        <v>2</v>
      </c>
      <c r="H156" s="152"/>
      <c r="I156" s="152" t="s">
        <v>2133</v>
      </c>
      <c r="J156" s="152" t="s">
        <v>2133</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92"/>
      <c r="B157" s="151" t="s">
        <v>2135</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92"/>
      <c r="B158" s="151" t="s">
        <v>2138</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92"/>
      <c r="B159" s="151" t="s">
        <v>2140</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93"/>
      <c r="B160" s="134" t="s">
        <v>2093</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91" t="s">
        <v>2156</v>
      </c>
      <c r="B162" s="195" t="s">
        <v>2157</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92"/>
      <c r="B163" s="151" t="s">
        <v>2130</v>
      </c>
      <c r="C163" s="152" t="s">
        <v>2080</v>
      </c>
      <c r="D163" s="152" t="s">
        <v>2080</v>
      </c>
      <c r="E163" s="152" t="s">
        <v>2128</v>
      </c>
      <c r="F163" s="152" t="s">
        <v>2128</v>
      </c>
      <c r="G163" s="152" t="s">
        <v>2128</v>
      </c>
      <c r="H163" s="152"/>
      <c r="I163" s="152" t="s">
        <v>2128</v>
      </c>
      <c r="J163" s="152" t="s">
        <v>2128</v>
      </c>
      <c r="K163" s="152"/>
      <c r="L163" s="152" t="s">
        <v>2128</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92"/>
      <c r="B164" s="151" t="s">
        <v>2132</v>
      </c>
      <c r="C164" s="152">
        <v>2</v>
      </c>
      <c r="D164" s="152" t="s">
        <v>2133</v>
      </c>
      <c r="E164" s="152">
        <v>2</v>
      </c>
      <c r="F164" s="152" t="s">
        <v>2133</v>
      </c>
      <c r="G164" s="152" t="s">
        <v>2133</v>
      </c>
      <c r="H164" s="152"/>
      <c r="I164" s="152">
        <v>2</v>
      </c>
      <c r="J164" s="152">
        <v>2</v>
      </c>
      <c r="K164" s="152"/>
      <c r="L164" s="152" t="s">
        <v>2133</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92"/>
      <c r="B165" s="151" t="s">
        <v>2135</v>
      </c>
      <c r="C165" s="152" t="s">
        <v>2136</v>
      </c>
      <c r="D165" s="152" t="s">
        <v>2136</v>
      </c>
      <c r="E165" s="152" t="s">
        <v>2136</v>
      </c>
      <c r="F165" s="152" t="s">
        <v>2136</v>
      </c>
      <c r="G165" s="152" t="s">
        <v>2136</v>
      </c>
      <c r="H165" s="152"/>
      <c r="I165" s="152" t="s">
        <v>2137</v>
      </c>
      <c r="J165" s="152" t="s">
        <v>2137</v>
      </c>
      <c r="K165" s="152"/>
      <c r="L165" s="152" t="s">
        <v>2137</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92"/>
      <c r="B166" s="151" t="s">
        <v>2138</v>
      </c>
      <c r="C166" s="152" t="s">
        <v>2139</v>
      </c>
      <c r="D166" s="152" t="s">
        <v>2139</v>
      </c>
      <c r="E166" s="152" t="s">
        <v>2139</v>
      </c>
      <c r="F166" s="152" t="s">
        <v>2139</v>
      </c>
      <c r="G166" s="152" t="s">
        <v>2145</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92"/>
      <c r="B167" s="151" t="s">
        <v>2140</v>
      </c>
      <c r="C167" s="152"/>
      <c r="D167" s="152"/>
      <c r="E167" s="152"/>
      <c r="F167" s="152"/>
      <c r="G167" s="152"/>
      <c r="H167" s="152"/>
      <c r="I167" s="152" t="s">
        <v>2146</v>
      </c>
      <c r="J167" s="152" t="s">
        <v>2146</v>
      </c>
      <c r="K167" s="152"/>
      <c r="L167" s="152" t="s">
        <v>2141</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93"/>
      <c r="B168" s="134" t="s">
        <v>2093</v>
      </c>
      <c r="C168" s="136"/>
      <c r="D168" s="136"/>
      <c r="E168" s="136"/>
      <c r="F168" s="136"/>
      <c r="G168" s="136"/>
      <c r="H168" s="136"/>
      <c r="I168" s="136" t="s">
        <v>2147</v>
      </c>
      <c r="J168" s="136" t="s">
        <v>2094</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91" t="s">
        <v>2158</v>
      </c>
      <c r="B170" s="195" t="s">
        <v>2159</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92"/>
      <c r="B171" s="151" t="s">
        <v>2130</v>
      </c>
      <c r="C171" s="152" t="s">
        <v>2080</v>
      </c>
      <c r="D171" s="152" t="s">
        <v>2080</v>
      </c>
      <c r="E171" s="152" t="s">
        <v>2127</v>
      </c>
      <c r="F171" s="152" t="s">
        <v>2127</v>
      </c>
      <c r="G171" s="152" t="s">
        <v>2126</v>
      </c>
      <c r="H171" s="152"/>
      <c r="I171" s="152" t="s">
        <v>2126</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92"/>
      <c r="B172" s="151" t="s">
        <v>2132</v>
      </c>
      <c r="C172" s="152">
        <v>2</v>
      </c>
      <c r="D172" s="152" t="s">
        <v>2133</v>
      </c>
      <c r="E172" s="152">
        <v>2</v>
      </c>
      <c r="F172" s="152" t="s">
        <v>2133</v>
      </c>
      <c r="G172" s="152">
        <v>2</v>
      </c>
      <c r="H172" s="152"/>
      <c r="I172" s="152" t="s">
        <v>2133</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92"/>
      <c r="B173" s="151" t="s">
        <v>2135</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92"/>
      <c r="B174" s="151" t="s">
        <v>2138</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92"/>
      <c r="B175" s="151" t="s">
        <v>2140</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93"/>
      <c r="B176" s="134" t="s">
        <v>2093</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91" t="s">
        <v>2160</v>
      </c>
      <c r="B178" s="195" t="s">
        <v>2161</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92"/>
      <c r="B179" s="151" t="s">
        <v>2130</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92"/>
      <c r="B180" s="151" t="s">
        <v>2132</v>
      </c>
      <c r="C180" s="152">
        <v>2</v>
      </c>
      <c r="D180" s="152" t="s">
        <v>2162</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92"/>
      <c r="B181" s="151" t="s">
        <v>2135</v>
      </c>
      <c r="C181" s="152"/>
      <c r="D181" s="152"/>
      <c r="E181" s="152" t="s">
        <v>2136</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92"/>
      <c r="B182" s="151" t="s">
        <v>2138</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92"/>
      <c r="B183" s="151" t="s">
        <v>2140</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92"/>
      <c r="B184" s="151" t="s">
        <v>2093</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93"/>
      <c r="B185" s="134" t="s">
        <v>2163</v>
      </c>
      <c r="C185" s="136" t="s">
        <v>2164</v>
      </c>
      <c r="D185" s="136" t="s">
        <v>2164</v>
      </c>
      <c r="E185" s="136" t="s">
        <v>2165</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91" t="s">
        <v>2166</v>
      </c>
      <c r="B187" s="195" t="s">
        <v>2167</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92"/>
      <c r="B188" s="151" t="s">
        <v>2130</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92"/>
      <c r="B189" s="151" t="s">
        <v>2132</v>
      </c>
      <c r="C189" s="152">
        <v>2</v>
      </c>
      <c r="D189" s="152" t="s">
        <v>2162</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92"/>
      <c r="B190" s="151" t="s">
        <v>2135</v>
      </c>
      <c r="C190" s="152"/>
      <c r="D190" s="152"/>
      <c r="E190" s="152" t="s">
        <v>2136</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92"/>
      <c r="B191" s="151" t="s">
        <v>2138</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92"/>
      <c r="B192" s="151" t="s">
        <v>2140</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92"/>
      <c r="B193" s="151" t="s">
        <v>2093</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93"/>
      <c r="B194" s="134" t="s">
        <v>2163</v>
      </c>
      <c r="C194" s="136" t="s">
        <v>2164</v>
      </c>
      <c r="D194" s="136" t="s">
        <v>2164</v>
      </c>
      <c r="E194" s="136" t="s">
        <v>2165</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91" t="s">
        <v>2168</v>
      </c>
      <c r="B196" s="195" t="s">
        <v>2169</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92"/>
      <c r="B197" s="151" t="s">
        <v>2130</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92"/>
      <c r="B198" s="151" t="s">
        <v>2132</v>
      </c>
      <c r="C198" s="152" t="s">
        <v>2170</v>
      </c>
      <c r="D198" s="152" t="s">
        <v>1969</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92"/>
      <c r="B199" s="151" t="s">
        <v>2135</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92"/>
      <c r="B200" s="151" t="s">
        <v>2138</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92"/>
      <c r="B201" s="151" t="s">
        <v>2140</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92"/>
      <c r="B202" s="151" t="s">
        <v>2093</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93"/>
      <c r="B203" s="134" t="s">
        <v>2163</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91" t="s">
        <v>2171</v>
      </c>
      <c r="B205" s="195" t="s">
        <v>2172</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92"/>
      <c r="B206" s="151" t="s">
        <v>2130</v>
      </c>
      <c r="C206" s="152" t="s">
        <v>2080</v>
      </c>
      <c r="D206" s="152" t="s">
        <v>2080</v>
      </c>
      <c r="E206" s="152" t="s">
        <v>2080</v>
      </c>
      <c r="F206" s="152" t="s">
        <v>2080</v>
      </c>
      <c r="G206" s="152" t="s">
        <v>2080</v>
      </c>
      <c r="H206" s="152"/>
      <c r="I206" s="152" t="s">
        <v>2173</v>
      </c>
      <c r="J206" s="152" t="s">
        <v>2173</v>
      </c>
      <c r="K206" s="152"/>
      <c r="L206" s="152" t="s">
        <v>2173</v>
      </c>
      <c r="M206" s="152" t="s">
        <v>2173</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92"/>
      <c r="B207" s="151" t="s">
        <v>2132</v>
      </c>
      <c r="C207" s="152">
        <v>2</v>
      </c>
      <c r="D207" s="152">
        <v>2</v>
      </c>
      <c r="E207" s="152">
        <v>3</v>
      </c>
      <c r="F207" s="152" t="s">
        <v>2133</v>
      </c>
      <c r="G207" s="152">
        <v>3</v>
      </c>
      <c r="H207" s="152"/>
      <c r="I207" s="152">
        <v>2</v>
      </c>
      <c r="J207" s="152">
        <v>3</v>
      </c>
      <c r="K207" s="152"/>
      <c r="L207" s="152">
        <v>2</v>
      </c>
      <c r="M207" s="152" t="s">
        <v>2133</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92"/>
      <c r="B208" s="151" t="s">
        <v>2135</v>
      </c>
      <c r="C208" s="152" t="s">
        <v>2136</v>
      </c>
      <c r="D208" s="152"/>
      <c r="E208" s="152"/>
      <c r="F208" s="152"/>
      <c r="G208" s="152" t="s">
        <v>2136</v>
      </c>
      <c r="H208" s="152"/>
      <c r="I208" s="152" t="s">
        <v>2136</v>
      </c>
      <c r="J208" s="152"/>
      <c r="K208" s="152"/>
      <c r="L208" s="152" t="s">
        <v>2137</v>
      </c>
      <c r="M208" s="152" t="s">
        <v>2137</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92"/>
      <c r="B209" s="151" t="s">
        <v>2138</v>
      </c>
      <c r="C209" s="152"/>
      <c r="D209" s="152"/>
      <c r="E209" s="152" t="s">
        <v>2145</v>
      </c>
      <c r="F209" s="152"/>
      <c r="G209" s="152" t="s">
        <v>2139</v>
      </c>
      <c r="H209" s="152"/>
      <c r="I209" s="152"/>
      <c r="J209" s="152" t="s">
        <v>2145</v>
      </c>
      <c r="K209" s="152"/>
      <c r="L209" s="152" t="s">
        <v>2139</v>
      </c>
      <c r="M209" s="152" t="s">
        <v>2139</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92"/>
      <c r="B210" s="151" t="s">
        <v>2140</v>
      </c>
      <c r="C210" s="152"/>
      <c r="D210" s="152"/>
      <c r="E210" s="152"/>
      <c r="F210" s="152"/>
      <c r="G210" s="152"/>
      <c r="H210" s="152"/>
      <c r="I210" s="152"/>
      <c r="J210" s="152"/>
      <c r="K210" s="152"/>
      <c r="L210" s="152" t="s">
        <v>2141</v>
      </c>
      <c r="M210" s="152" t="s">
        <v>2146</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92"/>
      <c r="B211" s="151" t="s">
        <v>2093</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93"/>
      <c r="B212" s="134" t="s">
        <v>2163</v>
      </c>
      <c r="C212" s="136" t="s">
        <v>2165</v>
      </c>
      <c r="D212" s="136" t="s">
        <v>2164</v>
      </c>
      <c r="E212" s="136" t="s">
        <v>2165</v>
      </c>
      <c r="F212" s="136" t="s">
        <v>2164</v>
      </c>
      <c r="G212" s="136" t="s">
        <v>2165</v>
      </c>
      <c r="H212" s="136"/>
      <c r="I212" s="136" t="s">
        <v>2165</v>
      </c>
      <c r="J212" s="136" t="s">
        <v>2165</v>
      </c>
      <c r="K212" s="136"/>
      <c r="L212" s="136" t="s">
        <v>2165</v>
      </c>
      <c r="M212" s="136" t="s">
        <v>2165</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91" t="s">
        <v>2174</v>
      </c>
      <c r="B214" s="195" t="s">
        <v>2175</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92"/>
      <c r="B215" s="151" t="s">
        <v>2130</v>
      </c>
      <c r="C215" s="152" t="s">
        <v>2080</v>
      </c>
      <c r="D215" s="152" t="s">
        <v>2080</v>
      </c>
      <c r="E215" s="152" t="s">
        <v>2080</v>
      </c>
      <c r="F215" s="152" t="s">
        <v>2080</v>
      </c>
      <c r="G215" s="152" t="s">
        <v>2080</v>
      </c>
      <c r="H215" s="152"/>
      <c r="I215" s="152" t="s">
        <v>2173</v>
      </c>
      <c r="J215" s="152" t="s">
        <v>2173</v>
      </c>
      <c r="K215" s="152"/>
      <c r="L215" s="152" t="s">
        <v>2173</v>
      </c>
      <c r="M215" s="152" t="s">
        <v>2173</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92"/>
      <c r="B216" s="151" t="s">
        <v>2132</v>
      </c>
      <c r="C216" s="152">
        <v>2</v>
      </c>
      <c r="D216" s="152">
        <v>2</v>
      </c>
      <c r="E216" s="152">
        <v>3</v>
      </c>
      <c r="F216" s="152" t="s">
        <v>2133</v>
      </c>
      <c r="G216" s="152">
        <v>3</v>
      </c>
      <c r="H216" s="152"/>
      <c r="I216" s="152">
        <v>2</v>
      </c>
      <c r="J216" s="152">
        <v>3</v>
      </c>
      <c r="K216" s="152"/>
      <c r="L216" s="152">
        <v>2</v>
      </c>
      <c r="M216" s="152" t="s">
        <v>2133</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92"/>
      <c r="B217" s="151" t="s">
        <v>2135</v>
      </c>
      <c r="C217" s="152" t="s">
        <v>2136</v>
      </c>
      <c r="D217" s="152"/>
      <c r="E217" s="152"/>
      <c r="F217" s="152"/>
      <c r="G217" s="152" t="s">
        <v>2136</v>
      </c>
      <c r="H217" s="152"/>
      <c r="I217" s="152" t="s">
        <v>2136</v>
      </c>
      <c r="J217" s="152"/>
      <c r="K217" s="152"/>
      <c r="L217" s="152" t="s">
        <v>2137</v>
      </c>
      <c r="M217" s="152" t="s">
        <v>2137</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92"/>
      <c r="B218" s="151" t="s">
        <v>2138</v>
      </c>
      <c r="C218" s="152"/>
      <c r="D218" s="152"/>
      <c r="E218" s="152" t="s">
        <v>2145</v>
      </c>
      <c r="F218" s="152"/>
      <c r="G218" s="152" t="s">
        <v>2139</v>
      </c>
      <c r="H218" s="152"/>
      <c r="I218" s="152"/>
      <c r="J218" s="152" t="s">
        <v>2145</v>
      </c>
      <c r="K218" s="152"/>
      <c r="L218" s="152" t="s">
        <v>2139</v>
      </c>
      <c r="M218" s="152" t="s">
        <v>2139</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92"/>
      <c r="B219" s="151" t="s">
        <v>2140</v>
      </c>
      <c r="C219" s="152"/>
      <c r="D219" s="152"/>
      <c r="E219" s="152"/>
      <c r="F219" s="152"/>
      <c r="G219" s="152"/>
      <c r="H219" s="152"/>
      <c r="I219" s="152"/>
      <c r="J219" s="152"/>
      <c r="K219" s="152"/>
      <c r="L219" s="152" t="s">
        <v>2141</v>
      </c>
      <c r="M219" s="152" t="s">
        <v>2146</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92"/>
      <c r="B220" s="151" t="s">
        <v>2093</v>
      </c>
      <c r="C220" s="152"/>
      <c r="D220" s="152"/>
      <c r="E220" s="152"/>
      <c r="F220" s="152"/>
      <c r="G220" s="152"/>
      <c r="H220" s="152"/>
      <c r="I220" s="152"/>
      <c r="J220" s="152"/>
      <c r="K220" s="152"/>
      <c r="L220" s="152"/>
      <c r="M220" s="152"/>
      <c r="O220" s="125"/>
    </row>
    <row r="221" spans="1:58" s="124" customFormat="1" ht="16">
      <c r="A221" s="393"/>
      <c r="B221" s="134" t="s">
        <v>2163</v>
      </c>
      <c r="C221" s="136" t="s">
        <v>2165</v>
      </c>
      <c r="D221" s="136" t="s">
        <v>2164</v>
      </c>
      <c r="E221" s="136" t="s">
        <v>2165</v>
      </c>
      <c r="F221" s="136" t="s">
        <v>2164</v>
      </c>
      <c r="G221" s="136" t="s">
        <v>2165</v>
      </c>
      <c r="H221" s="136"/>
      <c r="I221" s="136" t="s">
        <v>2165</v>
      </c>
      <c r="J221" s="136" t="s">
        <v>2165</v>
      </c>
      <c r="K221" s="136"/>
      <c r="L221" s="136" t="s">
        <v>2165</v>
      </c>
      <c r="M221" s="136" t="s">
        <v>2165</v>
      </c>
      <c r="O221" s="125"/>
    </row>
    <row r="222" spans="1:58" s="124" customFormat="1" ht="16">
      <c r="O222" s="125"/>
    </row>
    <row r="223" spans="1:58" s="124" customFormat="1" ht="55">
      <c r="A223" s="394" t="s">
        <v>2176</v>
      </c>
      <c r="B223" s="195" t="s">
        <v>2123</v>
      </c>
      <c r="C223" s="184">
        <v>2</v>
      </c>
      <c r="D223" s="184">
        <v>3</v>
      </c>
      <c r="E223" s="184">
        <v>4</v>
      </c>
      <c r="F223" s="184">
        <v>5</v>
      </c>
      <c r="G223" s="184">
        <v>6</v>
      </c>
      <c r="H223" s="184"/>
      <c r="I223" s="184">
        <v>7</v>
      </c>
      <c r="J223" s="184">
        <v>9</v>
      </c>
      <c r="K223" s="184"/>
      <c r="L223" s="184">
        <v>12</v>
      </c>
      <c r="O223" s="125"/>
    </row>
    <row r="224" spans="1:58" s="124" customFormat="1" ht="16">
      <c r="A224" s="395"/>
      <c r="B224" s="151" t="s">
        <v>2130</v>
      </c>
      <c r="C224" s="152" t="s">
        <v>2124</v>
      </c>
      <c r="D224" s="152" t="s">
        <v>2124</v>
      </c>
      <c r="E224" s="152" t="s">
        <v>2125</v>
      </c>
      <c r="F224" s="152" t="s">
        <v>2125</v>
      </c>
      <c r="G224" s="152" t="s">
        <v>2080</v>
      </c>
      <c r="H224" s="152"/>
      <c r="I224" s="152" t="s">
        <v>2080</v>
      </c>
      <c r="J224" s="152" t="s">
        <v>2128</v>
      </c>
      <c r="K224" s="152"/>
      <c r="L224" s="152" t="s">
        <v>2128</v>
      </c>
      <c r="O224" s="125"/>
    </row>
    <row r="225" spans="1:12" s="124" customFormat="1" ht="16">
      <c r="A225" s="395"/>
      <c r="B225" s="151" t="s">
        <v>2132</v>
      </c>
      <c r="C225" s="152">
        <v>2</v>
      </c>
      <c r="D225" s="152" t="s">
        <v>2133</v>
      </c>
      <c r="E225" s="152">
        <v>2</v>
      </c>
      <c r="F225" s="152" t="s">
        <v>2133</v>
      </c>
      <c r="G225" s="152">
        <v>2</v>
      </c>
      <c r="H225" s="152"/>
      <c r="I225" s="152" t="s">
        <v>2133</v>
      </c>
      <c r="J225" s="152">
        <v>3</v>
      </c>
      <c r="K225" s="152"/>
      <c r="L225" s="152" t="s">
        <v>2134</v>
      </c>
    </row>
    <row r="226" spans="1:12" s="124" customFormat="1" ht="16">
      <c r="A226" s="395"/>
      <c r="B226" s="151" t="s">
        <v>2135</v>
      </c>
      <c r="C226" s="152"/>
      <c r="D226" s="152"/>
      <c r="E226" s="152"/>
      <c r="F226" s="152"/>
      <c r="G226" s="152" t="s">
        <v>2136</v>
      </c>
      <c r="H226" s="152"/>
      <c r="I226" s="152" t="s">
        <v>2136</v>
      </c>
      <c r="J226" s="152" t="s">
        <v>2136</v>
      </c>
      <c r="K226" s="152"/>
      <c r="L226" s="152" t="s">
        <v>2137</v>
      </c>
    </row>
    <row r="227" spans="1:12" s="124" customFormat="1" ht="16">
      <c r="A227" s="395"/>
      <c r="B227" s="151" t="s">
        <v>2138</v>
      </c>
      <c r="C227" s="152"/>
      <c r="D227" s="152"/>
      <c r="E227" s="152"/>
      <c r="F227" s="152"/>
      <c r="G227" s="152" t="s">
        <v>2139</v>
      </c>
      <c r="H227" s="152"/>
      <c r="I227" s="152"/>
      <c r="J227" s="152" t="s">
        <v>2139</v>
      </c>
      <c r="K227" s="152"/>
      <c r="L227" s="152" t="s">
        <v>2139</v>
      </c>
    </row>
    <row r="228" spans="1:12" s="124" customFormat="1" ht="16">
      <c r="A228" s="395"/>
      <c r="B228" s="151" t="s">
        <v>2140</v>
      </c>
      <c r="C228" s="152"/>
      <c r="D228" s="152"/>
      <c r="E228" s="152"/>
      <c r="F228" s="152"/>
      <c r="G228" s="152"/>
      <c r="H228" s="152"/>
      <c r="I228" s="152"/>
      <c r="J228" s="152"/>
      <c r="K228" s="152"/>
      <c r="L228" s="152" t="s">
        <v>2141</v>
      </c>
    </row>
    <row r="229" spans="1:12" s="124" customFormat="1" ht="16">
      <c r="A229" s="396"/>
      <c r="B229" s="134" t="s">
        <v>2093</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94" t="s">
        <v>2177</v>
      </c>
      <c r="B231" s="195" t="s">
        <v>2178</v>
      </c>
      <c r="C231" s="184">
        <v>2</v>
      </c>
      <c r="D231" s="184">
        <v>3</v>
      </c>
      <c r="E231" s="184">
        <v>4</v>
      </c>
      <c r="F231" s="184">
        <v>5</v>
      </c>
      <c r="G231" s="184">
        <v>6</v>
      </c>
      <c r="H231" s="184"/>
      <c r="I231" s="184">
        <v>7</v>
      </c>
      <c r="J231" s="184">
        <v>9</v>
      </c>
      <c r="K231" s="184"/>
      <c r="L231" s="184"/>
    </row>
    <row r="232" spans="1:12" s="124" customFormat="1" ht="16">
      <c r="A232" s="395"/>
      <c r="B232" s="151" t="s">
        <v>2130</v>
      </c>
      <c r="C232" s="152" t="s">
        <v>2124</v>
      </c>
      <c r="D232" s="152" t="s">
        <v>2124</v>
      </c>
      <c r="E232" s="152" t="s">
        <v>2125</v>
      </c>
      <c r="F232" s="152" t="s">
        <v>2125</v>
      </c>
      <c r="G232" s="152" t="s">
        <v>2080</v>
      </c>
      <c r="H232" s="152"/>
      <c r="I232" s="152" t="s">
        <v>2080</v>
      </c>
      <c r="J232" s="152" t="s">
        <v>2127</v>
      </c>
      <c r="K232" s="152"/>
      <c r="L232" s="152"/>
    </row>
    <row r="233" spans="1:12" s="124" customFormat="1" ht="16">
      <c r="A233" s="395"/>
      <c r="B233" s="151" t="s">
        <v>2132</v>
      </c>
      <c r="C233" s="152">
        <v>2</v>
      </c>
      <c r="D233" s="152" t="s">
        <v>2133</v>
      </c>
      <c r="E233" s="152">
        <v>2</v>
      </c>
      <c r="F233" s="152" t="s">
        <v>2133</v>
      </c>
      <c r="G233" s="152">
        <v>2</v>
      </c>
      <c r="H233" s="152"/>
      <c r="I233" s="152" t="s">
        <v>2133</v>
      </c>
      <c r="J233" s="152" t="s">
        <v>2133</v>
      </c>
      <c r="K233" s="152"/>
      <c r="L233" s="152"/>
    </row>
    <row r="234" spans="1:12" s="124" customFormat="1" ht="16">
      <c r="A234" s="395"/>
      <c r="B234" s="151" t="s">
        <v>2135</v>
      </c>
      <c r="C234" s="152"/>
      <c r="D234" s="152"/>
      <c r="E234" s="152"/>
      <c r="F234" s="152"/>
      <c r="G234" s="152"/>
      <c r="H234" s="152"/>
      <c r="I234" s="152"/>
      <c r="J234" s="152"/>
      <c r="K234" s="152"/>
      <c r="L234" s="152"/>
    </row>
    <row r="235" spans="1:12" s="124" customFormat="1" ht="16">
      <c r="A235" s="395"/>
      <c r="B235" s="151" t="s">
        <v>2138</v>
      </c>
      <c r="C235" s="152"/>
      <c r="D235" s="152"/>
      <c r="E235" s="152"/>
      <c r="F235" s="152"/>
      <c r="G235" s="152"/>
      <c r="H235" s="152"/>
      <c r="I235" s="152"/>
      <c r="J235" s="152"/>
      <c r="K235" s="152"/>
      <c r="L235" s="152"/>
    </row>
    <row r="236" spans="1:12" s="124" customFormat="1" ht="16">
      <c r="A236" s="395"/>
      <c r="B236" s="151" t="s">
        <v>2140</v>
      </c>
      <c r="C236" s="152"/>
      <c r="D236" s="152"/>
      <c r="E236" s="152"/>
      <c r="F236" s="152"/>
      <c r="G236" s="152"/>
      <c r="H236" s="152"/>
      <c r="I236" s="152"/>
      <c r="J236" s="152"/>
      <c r="K236" s="152"/>
      <c r="L236" s="152"/>
    </row>
    <row r="237" spans="1:12" s="124" customFormat="1" ht="16">
      <c r="A237" s="396"/>
      <c r="B237" s="134" t="s">
        <v>2093</v>
      </c>
      <c r="C237" s="136"/>
      <c r="D237" s="136"/>
      <c r="E237" s="136"/>
      <c r="F237" s="136"/>
      <c r="G237" s="136"/>
      <c r="H237" s="136"/>
      <c r="I237" s="136"/>
      <c r="J237" s="136"/>
      <c r="K237" s="136"/>
      <c r="L237" s="136"/>
    </row>
    <row r="238" spans="1:12" s="124" customFormat="1" ht="16">
      <c r="L238" s="123"/>
    </row>
    <row r="239" spans="1:12" s="124" customFormat="1" ht="55">
      <c r="A239" s="394" t="s">
        <v>2179</v>
      </c>
      <c r="B239" s="195" t="s">
        <v>2180</v>
      </c>
      <c r="C239" s="184">
        <v>2</v>
      </c>
      <c r="D239" s="184">
        <v>3</v>
      </c>
      <c r="E239" s="184">
        <v>4</v>
      </c>
      <c r="F239" s="184">
        <v>5</v>
      </c>
      <c r="G239" s="184">
        <v>6</v>
      </c>
      <c r="H239" s="184"/>
      <c r="I239" s="184">
        <v>7</v>
      </c>
      <c r="J239" s="184">
        <v>9</v>
      </c>
      <c r="K239" s="184"/>
      <c r="L239" s="184">
        <v>12</v>
      </c>
    </row>
    <row r="240" spans="1:12" s="124" customFormat="1" ht="16">
      <c r="A240" s="395"/>
      <c r="B240" s="151" t="s">
        <v>2130</v>
      </c>
      <c r="C240" s="152" t="s">
        <v>2080</v>
      </c>
      <c r="D240" s="152" t="s">
        <v>2080</v>
      </c>
      <c r="E240" s="152" t="s">
        <v>2128</v>
      </c>
      <c r="F240" s="152" t="s">
        <v>2128</v>
      </c>
      <c r="G240" s="152" t="s">
        <v>2128</v>
      </c>
      <c r="H240" s="152"/>
      <c r="I240" s="152" t="s">
        <v>2128</v>
      </c>
      <c r="J240" s="152" t="s">
        <v>2128</v>
      </c>
      <c r="K240" s="152"/>
      <c r="L240" s="152" t="s">
        <v>2128</v>
      </c>
    </row>
    <row r="241" spans="1:15" s="124" customFormat="1" ht="16">
      <c r="A241" s="395"/>
      <c r="B241" s="151" t="s">
        <v>2132</v>
      </c>
      <c r="C241" s="152">
        <v>2</v>
      </c>
      <c r="D241" s="152" t="s">
        <v>2133</v>
      </c>
      <c r="E241" s="152">
        <v>2</v>
      </c>
      <c r="F241" s="152" t="s">
        <v>2133</v>
      </c>
      <c r="G241" s="152" t="s">
        <v>2133</v>
      </c>
      <c r="H241" s="152"/>
      <c r="I241" s="152">
        <v>2</v>
      </c>
      <c r="J241" s="152">
        <v>2</v>
      </c>
      <c r="K241" s="152"/>
      <c r="L241" s="152" t="s">
        <v>2133</v>
      </c>
    </row>
    <row r="242" spans="1:15" s="124" customFormat="1" ht="16">
      <c r="A242" s="395"/>
      <c r="B242" s="151" t="s">
        <v>2135</v>
      </c>
      <c r="C242" s="152" t="s">
        <v>2136</v>
      </c>
      <c r="D242" s="152" t="s">
        <v>2136</v>
      </c>
      <c r="E242" s="152" t="s">
        <v>2136</v>
      </c>
      <c r="F242" s="152" t="s">
        <v>2136</v>
      </c>
      <c r="G242" s="152" t="s">
        <v>2136</v>
      </c>
      <c r="H242" s="152"/>
      <c r="I242" s="152" t="s">
        <v>2137</v>
      </c>
      <c r="J242" s="152" t="s">
        <v>2137</v>
      </c>
      <c r="K242" s="152"/>
      <c r="L242" s="152" t="s">
        <v>2137</v>
      </c>
    </row>
    <row r="243" spans="1:15" s="124" customFormat="1" ht="16">
      <c r="A243" s="395"/>
      <c r="B243" s="151" t="s">
        <v>2138</v>
      </c>
      <c r="C243" s="152" t="s">
        <v>2139</v>
      </c>
      <c r="D243" s="152" t="s">
        <v>2139</v>
      </c>
      <c r="E243" s="152" t="s">
        <v>2139</v>
      </c>
      <c r="F243" s="152" t="s">
        <v>2139</v>
      </c>
      <c r="G243" s="152" t="s">
        <v>2145</v>
      </c>
      <c r="H243" s="152"/>
      <c r="I243" s="152"/>
      <c r="J243" s="152"/>
      <c r="K243" s="152"/>
      <c r="L243" s="152"/>
    </row>
    <row r="244" spans="1:15" s="124" customFormat="1" ht="16">
      <c r="A244" s="395"/>
      <c r="B244" s="151" t="s">
        <v>2140</v>
      </c>
      <c r="C244" s="152"/>
      <c r="D244" s="152"/>
      <c r="E244" s="152"/>
      <c r="F244" s="152"/>
      <c r="G244" s="152"/>
      <c r="H244" s="152"/>
      <c r="I244" s="152" t="s">
        <v>2146</v>
      </c>
      <c r="J244" s="152" t="s">
        <v>2146</v>
      </c>
      <c r="K244" s="152"/>
      <c r="L244" s="152" t="s">
        <v>2141</v>
      </c>
    </row>
    <row r="245" spans="1:15" s="124" customFormat="1" ht="16">
      <c r="A245" s="396"/>
      <c r="B245" s="134" t="s">
        <v>2093</v>
      </c>
      <c r="C245" s="136"/>
      <c r="D245" s="136"/>
      <c r="E245" s="136"/>
      <c r="F245" s="136"/>
      <c r="G245" s="136"/>
      <c r="H245" s="136"/>
      <c r="I245" s="136" t="s">
        <v>2147</v>
      </c>
      <c r="J245" s="136" t="s">
        <v>2094</v>
      </c>
      <c r="K245" s="136"/>
      <c r="L245" s="136"/>
    </row>
    <row r="246" spans="1:15" s="124" customFormat="1" ht="16">
      <c r="C246" s="123"/>
      <c r="D246" s="123"/>
      <c r="E246" s="123"/>
      <c r="F246" s="123"/>
      <c r="G246" s="123"/>
      <c r="H246" s="123"/>
      <c r="I246" s="123"/>
      <c r="J246" s="123"/>
      <c r="K246" s="123"/>
      <c r="L246" s="123"/>
    </row>
    <row r="247" spans="1:15" s="124" customFormat="1" ht="74">
      <c r="A247" s="394" t="s">
        <v>2181</v>
      </c>
      <c r="B247" s="195" t="s">
        <v>2149</v>
      </c>
      <c r="C247" s="184">
        <v>2</v>
      </c>
      <c r="D247" s="184">
        <v>3</v>
      </c>
      <c r="E247" s="184">
        <v>4</v>
      </c>
      <c r="F247" s="184">
        <v>5</v>
      </c>
      <c r="G247" s="184">
        <v>6</v>
      </c>
      <c r="H247" s="184"/>
      <c r="I247" s="184">
        <v>7</v>
      </c>
      <c r="J247" s="184"/>
      <c r="K247" s="184"/>
      <c r="L247" s="184"/>
    </row>
    <row r="248" spans="1:15" s="124" customFormat="1" ht="16">
      <c r="A248" s="395"/>
      <c r="B248" s="151" t="s">
        <v>2130</v>
      </c>
      <c r="C248" s="152" t="s">
        <v>2080</v>
      </c>
      <c r="D248" s="152" t="s">
        <v>2080</v>
      </c>
      <c r="E248" s="152" t="s">
        <v>2127</v>
      </c>
      <c r="F248" s="152" t="s">
        <v>2127</v>
      </c>
      <c r="G248" s="152" t="s">
        <v>2126</v>
      </c>
      <c r="H248" s="152"/>
      <c r="I248" s="152" t="s">
        <v>2126</v>
      </c>
      <c r="J248" s="152"/>
      <c r="K248" s="152"/>
      <c r="L248" s="152"/>
    </row>
    <row r="249" spans="1:15" s="124" customFormat="1" ht="16">
      <c r="A249" s="395"/>
      <c r="B249" s="151" t="s">
        <v>2132</v>
      </c>
      <c r="C249" s="152">
        <v>2</v>
      </c>
      <c r="D249" s="152" t="s">
        <v>2133</v>
      </c>
      <c r="E249" s="152">
        <v>2</v>
      </c>
      <c r="F249" s="152" t="s">
        <v>2133</v>
      </c>
      <c r="G249" s="152">
        <v>2</v>
      </c>
      <c r="H249" s="152"/>
      <c r="I249" s="152" t="s">
        <v>2133</v>
      </c>
      <c r="J249" s="152"/>
      <c r="K249" s="152"/>
      <c r="L249" s="152"/>
    </row>
    <row r="250" spans="1:15" s="124" customFormat="1" ht="16">
      <c r="A250" s="395"/>
      <c r="B250" s="151" t="s">
        <v>2135</v>
      </c>
      <c r="C250" s="152"/>
      <c r="D250" s="152"/>
      <c r="E250" s="152"/>
      <c r="F250" s="152"/>
      <c r="G250" s="152"/>
      <c r="H250" s="152"/>
      <c r="I250" s="152"/>
      <c r="J250" s="152"/>
      <c r="K250" s="152"/>
      <c r="L250" s="152"/>
    </row>
    <row r="251" spans="1:15" s="124" customFormat="1" ht="16">
      <c r="A251" s="395"/>
      <c r="B251" s="151" t="s">
        <v>2138</v>
      </c>
      <c r="C251" s="152"/>
      <c r="D251" s="152"/>
      <c r="E251" s="152"/>
      <c r="F251" s="152"/>
      <c r="G251" s="152"/>
      <c r="H251" s="152"/>
      <c r="I251" s="152"/>
      <c r="J251" s="152"/>
      <c r="K251" s="152"/>
      <c r="L251" s="152"/>
    </row>
    <row r="252" spans="1:15" s="124" customFormat="1" ht="16">
      <c r="A252" s="395"/>
      <c r="B252" s="151" t="s">
        <v>2140</v>
      </c>
      <c r="C252" s="152"/>
      <c r="D252" s="152"/>
      <c r="E252" s="152"/>
      <c r="F252" s="152"/>
      <c r="G252" s="152"/>
      <c r="H252" s="152"/>
      <c r="I252" s="152"/>
      <c r="J252" s="152"/>
      <c r="K252" s="152"/>
      <c r="L252" s="152"/>
    </row>
    <row r="253" spans="1:15" s="124" customFormat="1" ht="16">
      <c r="A253" s="396"/>
      <c r="B253" s="134" t="s">
        <v>2093</v>
      </c>
      <c r="C253" s="136"/>
      <c r="D253" s="136"/>
      <c r="E253" s="136"/>
      <c r="F253" s="136"/>
      <c r="G253" s="136"/>
      <c r="H253" s="136"/>
      <c r="I253" s="136"/>
      <c r="J253" s="136"/>
      <c r="K253" s="136"/>
      <c r="L253" s="136"/>
    </row>
    <row r="254" spans="1:15" s="124" customFormat="1" ht="16">
      <c r="O254" s="125"/>
    </row>
    <row r="255" spans="1:15" s="124" customFormat="1" ht="55">
      <c r="A255" s="391" t="s">
        <v>2182</v>
      </c>
      <c r="B255" s="195" t="s">
        <v>2153</v>
      </c>
      <c r="C255" s="184">
        <v>2</v>
      </c>
      <c r="D255" s="184">
        <v>3</v>
      </c>
      <c r="E255" s="184">
        <v>4</v>
      </c>
      <c r="F255" s="184">
        <v>5</v>
      </c>
      <c r="G255" s="184">
        <v>6</v>
      </c>
      <c r="H255" s="184"/>
      <c r="I255" s="184">
        <v>7</v>
      </c>
      <c r="J255" s="184">
        <v>9</v>
      </c>
      <c r="K255" s="184"/>
      <c r="L255" s="184">
        <v>12</v>
      </c>
    </row>
    <row r="256" spans="1:15" s="124" customFormat="1" ht="16">
      <c r="A256" s="392"/>
      <c r="B256" s="151" t="s">
        <v>2130</v>
      </c>
      <c r="C256" s="152" t="s">
        <v>2124</v>
      </c>
      <c r="D256" s="152" t="s">
        <v>2124</v>
      </c>
      <c r="E256" s="152" t="s">
        <v>2125</v>
      </c>
      <c r="F256" s="152" t="s">
        <v>2125</v>
      </c>
      <c r="G256" s="152" t="s">
        <v>2080</v>
      </c>
      <c r="H256" s="152"/>
      <c r="I256" s="152" t="s">
        <v>2080</v>
      </c>
      <c r="J256" s="152" t="s">
        <v>2128</v>
      </c>
      <c r="K256" s="152"/>
      <c r="L256" s="152" t="s">
        <v>2128</v>
      </c>
    </row>
    <row r="257" spans="1:12" s="124" customFormat="1" ht="16">
      <c r="A257" s="392"/>
      <c r="B257" s="151" t="s">
        <v>2132</v>
      </c>
      <c r="C257" s="152">
        <v>2</v>
      </c>
      <c r="D257" s="152" t="s">
        <v>2133</v>
      </c>
      <c r="E257" s="152">
        <v>2</v>
      </c>
      <c r="F257" s="152" t="s">
        <v>2133</v>
      </c>
      <c r="G257" s="152">
        <v>2</v>
      </c>
      <c r="H257" s="152"/>
      <c r="I257" s="152" t="s">
        <v>2133</v>
      </c>
      <c r="J257" s="152">
        <v>3</v>
      </c>
      <c r="K257" s="152"/>
      <c r="L257" s="152" t="s">
        <v>2134</v>
      </c>
    </row>
    <row r="258" spans="1:12" s="124" customFormat="1" ht="16">
      <c r="A258" s="392"/>
      <c r="B258" s="151" t="s">
        <v>2135</v>
      </c>
      <c r="C258" s="152"/>
      <c r="D258" s="152"/>
      <c r="E258" s="152"/>
      <c r="F258" s="152"/>
      <c r="G258" s="152" t="s">
        <v>2136</v>
      </c>
      <c r="H258" s="152"/>
      <c r="I258" s="152" t="s">
        <v>2136</v>
      </c>
      <c r="J258" s="152" t="s">
        <v>2136</v>
      </c>
      <c r="K258" s="152"/>
      <c r="L258" s="152" t="s">
        <v>2137</v>
      </c>
    </row>
    <row r="259" spans="1:12" s="124" customFormat="1" ht="16">
      <c r="A259" s="392"/>
      <c r="B259" s="151" t="s">
        <v>2138</v>
      </c>
      <c r="C259" s="152"/>
      <c r="D259" s="152"/>
      <c r="E259" s="152"/>
      <c r="F259" s="152"/>
      <c r="G259" s="152" t="s">
        <v>2139</v>
      </c>
      <c r="H259" s="152"/>
      <c r="I259" s="152"/>
      <c r="J259" s="152" t="s">
        <v>2139</v>
      </c>
      <c r="K259" s="152"/>
      <c r="L259" s="152" t="s">
        <v>2139</v>
      </c>
    </row>
    <row r="260" spans="1:12" s="124" customFormat="1" ht="16">
      <c r="A260" s="392"/>
      <c r="B260" s="151" t="s">
        <v>2140</v>
      </c>
      <c r="C260" s="152"/>
      <c r="D260" s="152"/>
      <c r="E260" s="152"/>
      <c r="F260" s="152"/>
      <c r="G260" s="152"/>
      <c r="H260" s="152"/>
      <c r="I260" s="152"/>
      <c r="J260" s="152"/>
      <c r="K260" s="152"/>
      <c r="L260" s="152" t="s">
        <v>2141</v>
      </c>
    </row>
    <row r="261" spans="1:12" s="124" customFormat="1" ht="16">
      <c r="A261" s="393"/>
      <c r="B261" s="134" t="s">
        <v>2093</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91" t="s">
        <v>2183</v>
      </c>
      <c r="B263" s="195" t="s">
        <v>2155</v>
      </c>
      <c r="C263" s="184">
        <v>2</v>
      </c>
      <c r="D263" s="184">
        <v>3</v>
      </c>
      <c r="E263" s="184">
        <v>4</v>
      </c>
      <c r="F263" s="184">
        <v>5</v>
      </c>
      <c r="G263" s="184">
        <v>6</v>
      </c>
      <c r="H263" s="184"/>
      <c r="I263" s="184">
        <v>7</v>
      </c>
      <c r="J263" s="184">
        <v>9</v>
      </c>
      <c r="K263" s="184"/>
      <c r="L263" s="184"/>
    </row>
    <row r="264" spans="1:12" s="124" customFormat="1" ht="16">
      <c r="A264" s="392"/>
      <c r="B264" s="151" t="s">
        <v>2130</v>
      </c>
      <c r="C264" s="152" t="s">
        <v>2124</v>
      </c>
      <c r="D264" s="152" t="s">
        <v>2124</v>
      </c>
      <c r="E264" s="152" t="s">
        <v>2125</v>
      </c>
      <c r="F264" s="152" t="s">
        <v>2125</v>
      </c>
      <c r="G264" s="152" t="s">
        <v>2080</v>
      </c>
      <c r="H264" s="152"/>
      <c r="I264" s="152" t="s">
        <v>2080</v>
      </c>
      <c r="J264" s="152" t="s">
        <v>2127</v>
      </c>
      <c r="K264" s="152"/>
      <c r="L264" s="152"/>
    </row>
    <row r="265" spans="1:12" s="124" customFormat="1" ht="16">
      <c r="A265" s="392"/>
      <c r="B265" s="151" t="s">
        <v>2132</v>
      </c>
      <c r="C265" s="152">
        <v>2</v>
      </c>
      <c r="D265" s="152" t="s">
        <v>2133</v>
      </c>
      <c r="E265" s="152">
        <v>2</v>
      </c>
      <c r="F265" s="152" t="s">
        <v>2133</v>
      </c>
      <c r="G265" s="152">
        <v>2</v>
      </c>
      <c r="H265" s="152"/>
      <c r="I265" s="152" t="s">
        <v>2133</v>
      </c>
      <c r="J265" s="152" t="s">
        <v>2133</v>
      </c>
      <c r="K265" s="152"/>
      <c r="L265" s="152"/>
    </row>
    <row r="266" spans="1:12" s="124" customFormat="1" ht="16">
      <c r="A266" s="392"/>
      <c r="B266" s="151" t="s">
        <v>2135</v>
      </c>
      <c r="C266" s="152"/>
      <c r="D266" s="152"/>
      <c r="E266" s="152"/>
      <c r="F266" s="152"/>
      <c r="G266" s="152"/>
      <c r="H266" s="152"/>
      <c r="I266" s="152"/>
      <c r="J266" s="152"/>
      <c r="K266" s="152"/>
      <c r="L266" s="152"/>
    </row>
    <row r="267" spans="1:12" s="124" customFormat="1" ht="16">
      <c r="A267" s="392"/>
      <c r="B267" s="151" t="s">
        <v>2138</v>
      </c>
      <c r="C267" s="152"/>
      <c r="D267" s="152"/>
      <c r="E267" s="152"/>
      <c r="F267" s="152"/>
      <c r="G267" s="152"/>
      <c r="H267" s="152"/>
      <c r="I267" s="152"/>
      <c r="J267" s="152"/>
      <c r="K267" s="152"/>
      <c r="L267" s="152"/>
    </row>
    <row r="268" spans="1:12" s="124" customFormat="1" ht="16">
      <c r="A268" s="392"/>
      <c r="B268" s="151" t="s">
        <v>2140</v>
      </c>
      <c r="C268" s="152"/>
      <c r="D268" s="152"/>
      <c r="E268" s="152"/>
      <c r="F268" s="152"/>
      <c r="G268" s="152"/>
      <c r="H268" s="152"/>
      <c r="I268" s="152"/>
      <c r="J268" s="152"/>
      <c r="K268" s="152"/>
      <c r="L268" s="152"/>
    </row>
    <row r="269" spans="1:12" s="124" customFormat="1" ht="16">
      <c r="A269" s="393"/>
      <c r="B269" s="134" t="s">
        <v>2093</v>
      </c>
      <c r="C269" s="136"/>
      <c r="D269" s="136"/>
      <c r="E269" s="136"/>
      <c r="F269" s="136"/>
      <c r="G269" s="136"/>
      <c r="H269" s="136"/>
      <c r="I269" s="136"/>
      <c r="J269" s="136"/>
      <c r="K269" s="136"/>
      <c r="L269" s="136"/>
    </row>
    <row r="270" spans="1:12" s="124" customFormat="1" ht="16">
      <c r="A270" s="203"/>
      <c r="L270" s="123"/>
    </row>
    <row r="271" spans="1:12" s="124" customFormat="1" ht="55">
      <c r="A271" s="391" t="s">
        <v>2184</v>
      </c>
      <c r="B271" s="195" t="s">
        <v>2157</v>
      </c>
      <c r="C271" s="184">
        <v>2</v>
      </c>
      <c r="D271" s="184">
        <v>3</v>
      </c>
      <c r="E271" s="184">
        <v>4</v>
      </c>
      <c r="F271" s="184">
        <v>5</v>
      </c>
      <c r="G271" s="184">
        <v>6</v>
      </c>
      <c r="H271" s="184"/>
      <c r="I271" s="184">
        <v>7</v>
      </c>
      <c r="J271" s="184">
        <v>9</v>
      </c>
      <c r="K271" s="184"/>
      <c r="L271" s="184">
        <v>12</v>
      </c>
    </row>
    <row r="272" spans="1:12" s="124" customFormat="1" ht="16">
      <c r="A272" s="392"/>
      <c r="B272" s="151" t="s">
        <v>2130</v>
      </c>
      <c r="C272" s="152" t="s">
        <v>2080</v>
      </c>
      <c r="D272" s="152" t="s">
        <v>2080</v>
      </c>
      <c r="E272" s="152" t="s">
        <v>2128</v>
      </c>
      <c r="F272" s="152" t="s">
        <v>2128</v>
      </c>
      <c r="G272" s="152" t="s">
        <v>2128</v>
      </c>
      <c r="H272" s="152"/>
      <c r="I272" s="152" t="s">
        <v>2128</v>
      </c>
      <c r="J272" s="152" t="s">
        <v>2128</v>
      </c>
      <c r="K272" s="152"/>
      <c r="L272" s="152" t="s">
        <v>2128</v>
      </c>
    </row>
    <row r="273" spans="1:15" s="124" customFormat="1" ht="16">
      <c r="A273" s="392"/>
      <c r="B273" s="151" t="s">
        <v>2132</v>
      </c>
      <c r="C273" s="152">
        <v>2</v>
      </c>
      <c r="D273" s="152" t="s">
        <v>2133</v>
      </c>
      <c r="E273" s="152">
        <v>2</v>
      </c>
      <c r="F273" s="152" t="s">
        <v>2133</v>
      </c>
      <c r="G273" s="152" t="s">
        <v>2133</v>
      </c>
      <c r="H273" s="152"/>
      <c r="I273" s="152">
        <v>2</v>
      </c>
      <c r="J273" s="152">
        <v>2</v>
      </c>
      <c r="K273" s="152"/>
      <c r="L273" s="152" t="s">
        <v>2133</v>
      </c>
    </row>
    <row r="274" spans="1:15" s="124" customFormat="1" ht="16">
      <c r="A274" s="392"/>
      <c r="B274" s="151" t="s">
        <v>2135</v>
      </c>
      <c r="C274" s="152" t="s">
        <v>2136</v>
      </c>
      <c r="D274" s="152" t="s">
        <v>2136</v>
      </c>
      <c r="E274" s="152" t="s">
        <v>2136</v>
      </c>
      <c r="F274" s="152" t="s">
        <v>2136</v>
      </c>
      <c r="G274" s="152" t="s">
        <v>2136</v>
      </c>
      <c r="H274" s="152"/>
      <c r="I274" s="152" t="s">
        <v>2137</v>
      </c>
      <c r="J274" s="152" t="s">
        <v>2137</v>
      </c>
      <c r="K274" s="152"/>
      <c r="L274" s="152" t="s">
        <v>2137</v>
      </c>
    </row>
    <row r="275" spans="1:15" s="124" customFormat="1" ht="16">
      <c r="A275" s="392"/>
      <c r="B275" s="151" t="s">
        <v>2138</v>
      </c>
      <c r="C275" s="152" t="s">
        <v>2139</v>
      </c>
      <c r="D275" s="152" t="s">
        <v>2139</v>
      </c>
      <c r="E275" s="152" t="s">
        <v>2139</v>
      </c>
      <c r="F275" s="152" t="s">
        <v>2139</v>
      </c>
      <c r="G275" s="152" t="s">
        <v>2145</v>
      </c>
      <c r="H275" s="152"/>
      <c r="I275" s="152"/>
      <c r="J275" s="152"/>
      <c r="K275" s="152"/>
      <c r="L275" s="152"/>
    </row>
    <row r="276" spans="1:15" s="124" customFormat="1" ht="16">
      <c r="A276" s="392"/>
      <c r="B276" s="151" t="s">
        <v>2140</v>
      </c>
      <c r="C276" s="152"/>
      <c r="D276" s="152"/>
      <c r="E276" s="152"/>
      <c r="F276" s="152"/>
      <c r="G276" s="152"/>
      <c r="H276" s="152"/>
      <c r="I276" s="152" t="s">
        <v>2146</v>
      </c>
      <c r="J276" s="152" t="s">
        <v>2146</v>
      </c>
      <c r="K276" s="152"/>
      <c r="L276" s="152" t="s">
        <v>2141</v>
      </c>
    </row>
    <row r="277" spans="1:15" s="124" customFormat="1" ht="16">
      <c r="A277" s="393"/>
      <c r="B277" s="134" t="s">
        <v>2093</v>
      </c>
      <c r="C277" s="136"/>
      <c r="D277" s="136"/>
      <c r="E277" s="136"/>
      <c r="F277" s="136"/>
      <c r="G277" s="136"/>
      <c r="H277" s="136"/>
      <c r="I277" s="136" t="s">
        <v>2147</v>
      </c>
      <c r="J277" s="136" t="s">
        <v>2094</v>
      </c>
      <c r="K277" s="136"/>
      <c r="L277" s="136"/>
    </row>
    <row r="278" spans="1:15" s="124" customFormat="1" ht="16">
      <c r="C278" s="123"/>
      <c r="D278" s="123"/>
      <c r="E278" s="123"/>
      <c r="F278" s="123"/>
      <c r="G278" s="123"/>
      <c r="H278" s="123"/>
      <c r="I278" s="123"/>
      <c r="J278" s="123"/>
      <c r="K278" s="123"/>
      <c r="L278" s="123"/>
    </row>
    <row r="279" spans="1:15" s="124" customFormat="1" ht="74">
      <c r="A279" s="391" t="s">
        <v>2185</v>
      </c>
      <c r="B279" s="195" t="s">
        <v>2159</v>
      </c>
      <c r="C279" s="184">
        <v>2</v>
      </c>
      <c r="D279" s="184">
        <v>3</v>
      </c>
      <c r="E279" s="184">
        <v>4</v>
      </c>
      <c r="F279" s="184">
        <v>5</v>
      </c>
      <c r="G279" s="184">
        <v>6</v>
      </c>
      <c r="H279" s="184"/>
      <c r="I279" s="184">
        <v>7</v>
      </c>
      <c r="J279" s="184"/>
      <c r="K279" s="184"/>
      <c r="L279" s="184"/>
    </row>
    <row r="280" spans="1:15" s="124" customFormat="1" ht="16">
      <c r="A280" s="392"/>
      <c r="B280" s="151" t="s">
        <v>2130</v>
      </c>
      <c r="C280" s="152" t="s">
        <v>2080</v>
      </c>
      <c r="D280" s="152" t="s">
        <v>2080</v>
      </c>
      <c r="E280" s="152" t="s">
        <v>2127</v>
      </c>
      <c r="F280" s="152" t="s">
        <v>2127</v>
      </c>
      <c r="G280" s="152" t="s">
        <v>2126</v>
      </c>
      <c r="H280" s="152"/>
      <c r="I280" s="152" t="s">
        <v>2126</v>
      </c>
      <c r="J280" s="152"/>
      <c r="K280" s="152"/>
      <c r="L280" s="152"/>
    </row>
    <row r="281" spans="1:15" s="124" customFormat="1" ht="16">
      <c r="A281" s="392"/>
      <c r="B281" s="151" t="s">
        <v>2132</v>
      </c>
      <c r="C281" s="152">
        <v>2</v>
      </c>
      <c r="D281" s="152" t="s">
        <v>2133</v>
      </c>
      <c r="E281" s="152">
        <v>2</v>
      </c>
      <c r="F281" s="152" t="s">
        <v>2133</v>
      </c>
      <c r="G281" s="152">
        <v>2</v>
      </c>
      <c r="H281" s="152"/>
      <c r="I281" s="152" t="s">
        <v>2133</v>
      </c>
      <c r="J281" s="152"/>
      <c r="K281" s="152"/>
      <c r="L281" s="152"/>
    </row>
    <row r="282" spans="1:15" s="124" customFormat="1" ht="16">
      <c r="A282" s="392"/>
      <c r="B282" s="151" t="s">
        <v>2135</v>
      </c>
      <c r="C282" s="152"/>
      <c r="D282" s="152"/>
      <c r="E282" s="152"/>
      <c r="F282" s="152"/>
      <c r="G282" s="152"/>
      <c r="H282" s="152"/>
      <c r="I282" s="152"/>
      <c r="J282" s="152"/>
      <c r="K282" s="152"/>
      <c r="L282" s="152"/>
    </row>
    <row r="283" spans="1:15" s="124" customFormat="1" ht="16">
      <c r="A283" s="392"/>
      <c r="B283" s="151" t="s">
        <v>2138</v>
      </c>
      <c r="C283" s="152"/>
      <c r="D283" s="152"/>
      <c r="E283" s="152"/>
      <c r="F283" s="152"/>
      <c r="G283" s="152"/>
      <c r="H283" s="152"/>
      <c r="I283" s="152"/>
      <c r="J283" s="152"/>
      <c r="K283" s="152"/>
      <c r="L283" s="152"/>
    </row>
    <row r="284" spans="1:15" s="124" customFormat="1" ht="16">
      <c r="A284" s="392"/>
      <c r="B284" s="151" t="s">
        <v>2140</v>
      </c>
      <c r="C284" s="152"/>
      <c r="D284" s="152"/>
      <c r="E284" s="152"/>
      <c r="F284" s="152"/>
      <c r="G284" s="152"/>
      <c r="H284" s="152"/>
      <c r="I284" s="152"/>
      <c r="J284" s="152"/>
      <c r="K284" s="152"/>
      <c r="L284" s="152"/>
    </row>
    <row r="285" spans="1:15" s="124" customFormat="1" ht="16">
      <c r="A285" s="393"/>
      <c r="B285" s="134" t="s">
        <v>2093</v>
      </c>
      <c r="C285" s="136"/>
      <c r="D285" s="136"/>
      <c r="E285" s="136"/>
      <c r="F285" s="136"/>
      <c r="G285" s="136"/>
      <c r="H285" s="136"/>
      <c r="I285" s="136"/>
      <c r="J285" s="136"/>
      <c r="K285" s="136"/>
      <c r="L285" s="136"/>
    </row>
    <row r="286" spans="1:15" s="124" customFormat="1" ht="16">
      <c r="O286" s="125"/>
    </row>
  </sheetData>
  <mergeCells count="30">
    <mergeCell ref="A279:A285"/>
    <mergeCell ref="A187:A194"/>
    <mergeCell ref="A196:A203"/>
    <mergeCell ref="A205:A212"/>
    <mergeCell ref="A214:A221"/>
    <mergeCell ref="A223:A229"/>
    <mergeCell ref="A231:A237"/>
    <mergeCell ref="A239:A245"/>
    <mergeCell ref="A247:A253"/>
    <mergeCell ref="A255:A261"/>
    <mergeCell ref="A263:A269"/>
    <mergeCell ref="A271:A2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19:A21"/>
    <mergeCell ref="A51:A60"/>
    <mergeCell ref="A61:A68"/>
    <mergeCell ref="A75:A77"/>
    <mergeCell ref="B75:B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2025-03-10T21:01:35Z</dcterms:modified>
</cp:coreProperties>
</file>