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3\GSI\TP6\"/>
    </mc:Choice>
  </mc:AlternateContent>
  <bookViews>
    <workbookView xWindow="480" yWindow="105" windowWidth="17655" windowHeight="7680" activeTab="1"/>
  </bookViews>
  <sheets>
    <sheet name="Commentaires" sheetId="2" r:id="rId1"/>
    <sheet name="Données" sheetId="1" r:id="rId2"/>
    <sheet name="Budget 2018" sheetId="3" r:id="rId3"/>
    <sheet name="Amortissements et maintenance" sheetId="4" r:id="rId4"/>
  </sheets>
  <calcPr calcId="152511"/>
</workbook>
</file>

<file path=xl/calcChain.xml><?xml version="1.0" encoding="utf-8"?>
<calcChain xmlns="http://schemas.openxmlformats.org/spreadsheetml/2006/main">
  <c r="D11" i="3" l="1"/>
  <c r="D10" i="3"/>
  <c r="D9" i="3"/>
  <c r="D8" i="3"/>
  <c r="D7" i="3"/>
  <c r="I35" i="4"/>
  <c r="I31" i="4"/>
  <c r="I34" i="4"/>
  <c r="I30" i="4"/>
  <c r="G34" i="4"/>
  <c r="D27" i="4"/>
  <c r="E30" i="4"/>
  <c r="E34" i="4"/>
  <c r="C27" i="4"/>
  <c r="D15" i="3"/>
  <c r="D12" i="3"/>
  <c r="I27" i="4"/>
  <c r="I23" i="4"/>
  <c r="I24" i="4"/>
  <c r="I25" i="4"/>
  <c r="I26" i="4"/>
  <c r="I22" i="4"/>
  <c r="I16" i="4"/>
  <c r="H23" i="4"/>
  <c r="H24" i="4"/>
  <c r="H25" i="4"/>
  <c r="H26" i="4"/>
  <c r="H22" i="4"/>
  <c r="H16" i="4"/>
  <c r="G23" i="4"/>
  <c r="G24" i="4"/>
  <c r="G25" i="4"/>
  <c r="G26" i="4"/>
  <c r="G22" i="4"/>
  <c r="I17" i="4"/>
  <c r="D17" i="4"/>
  <c r="C17" i="4"/>
  <c r="I7" i="4"/>
  <c r="I8" i="4"/>
  <c r="I9" i="4"/>
  <c r="I10" i="4"/>
  <c r="I11" i="4"/>
  <c r="I12" i="4"/>
  <c r="I13" i="4"/>
  <c r="I14" i="4"/>
  <c r="I15" i="4"/>
  <c r="I6" i="4"/>
  <c r="H6" i="4"/>
  <c r="H7" i="4"/>
  <c r="H8" i="4"/>
  <c r="H9" i="4"/>
  <c r="H10" i="4"/>
  <c r="H11" i="4"/>
  <c r="H12" i="4"/>
  <c r="H13" i="4"/>
  <c r="H14" i="4"/>
  <c r="H15" i="4"/>
  <c r="D6" i="3"/>
  <c r="C15" i="3"/>
  <c r="H5" i="4"/>
  <c r="G7" i="4"/>
  <c r="G8" i="4"/>
  <c r="G9" i="4"/>
  <c r="G10" i="4"/>
  <c r="G11" i="4"/>
  <c r="G12" i="4"/>
  <c r="G13" i="4"/>
  <c r="G14" i="4"/>
  <c r="G15" i="4"/>
  <c r="G16" i="4"/>
  <c r="G6" i="4"/>
  <c r="E26" i="4"/>
  <c r="E25" i="4"/>
  <c r="E24" i="4"/>
  <c r="E23" i="4"/>
  <c r="E22" i="4"/>
  <c r="D26" i="4"/>
  <c r="D25" i="4"/>
  <c r="D24" i="4"/>
  <c r="D23" i="4"/>
  <c r="D22" i="4"/>
  <c r="E16" i="4"/>
  <c r="E15" i="4"/>
  <c r="E14" i="4"/>
  <c r="E13" i="4"/>
  <c r="E12" i="4"/>
  <c r="D16" i="4"/>
  <c r="D15" i="4"/>
  <c r="D14" i="4"/>
  <c r="D13" i="4"/>
  <c r="D12" i="4"/>
  <c r="E11" i="4"/>
  <c r="E10" i="4"/>
  <c r="E9" i="4"/>
  <c r="E8" i="4"/>
  <c r="E7" i="4"/>
  <c r="E6" i="4"/>
  <c r="E5" i="4"/>
  <c r="E20" i="1"/>
  <c r="D11" i="4"/>
  <c r="D10" i="4"/>
  <c r="D9" i="4"/>
  <c r="D8" i="4"/>
  <c r="D7" i="4"/>
  <c r="D6" i="4"/>
  <c r="D5" i="4"/>
  <c r="D13" i="3"/>
  <c r="D14" i="3"/>
  <c r="C17" i="3"/>
  <c r="C21" i="3" s="1"/>
  <c r="D17" i="3" l="1"/>
  <c r="D21" i="3" s="1"/>
  <c r="D2" i="3"/>
  <c r="C3" i="1"/>
  <c r="E25" i="1" s="1"/>
  <c r="B23" i="4"/>
  <c r="B24" i="4"/>
  <c r="B25" i="4"/>
  <c r="B26" i="4"/>
  <c r="B22" i="4"/>
  <c r="D21" i="1"/>
  <c r="D22" i="1"/>
  <c r="D23" i="1"/>
  <c r="D24" i="1"/>
  <c r="D25" i="1"/>
  <c r="D26" i="1"/>
  <c r="D27" i="1"/>
  <c r="D28" i="1"/>
  <c r="D29" i="1"/>
  <c r="D30" i="1"/>
  <c r="D31" i="1"/>
  <c r="D20" i="1"/>
  <c r="C4" i="4"/>
  <c r="C21" i="4" s="1"/>
  <c r="D4" i="4"/>
  <c r="D21" i="4" s="1"/>
  <c r="E4" i="4"/>
  <c r="E21" i="4" s="1"/>
  <c r="F4" i="4"/>
  <c r="F21" i="4" s="1"/>
  <c r="B16" i="4"/>
  <c r="B5" i="4"/>
  <c r="B6" i="4"/>
  <c r="B7" i="4"/>
  <c r="B8" i="4"/>
  <c r="B9" i="4"/>
  <c r="B10" i="4"/>
  <c r="B11" i="4"/>
  <c r="B12" i="4"/>
  <c r="B13" i="4"/>
  <c r="B14" i="4"/>
  <c r="B15" i="4"/>
  <c r="B4" i="4"/>
  <c r="B21" i="4" s="1"/>
  <c r="D37" i="1"/>
  <c r="D38" i="1"/>
  <c r="D39" i="1"/>
  <c r="D40" i="1"/>
  <c r="D36" i="1"/>
  <c r="E12" i="1"/>
  <c r="E56" i="1"/>
  <c r="E3" i="1" l="1"/>
  <c r="C45" i="1" s="1"/>
  <c r="C50" i="1" s="1"/>
  <c r="D58" i="1" s="1"/>
  <c r="E39" i="1"/>
  <c r="E21" i="1"/>
  <c r="E26" i="1"/>
  <c r="E30" i="1"/>
  <c r="J2" i="2"/>
  <c r="J4" i="2" s="1"/>
  <c r="D7" i="2" s="1"/>
  <c r="E24" i="1"/>
  <c r="E29" i="1"/>
  <c r="E38" i="1"/>
  <c r="E40" i="1"/>
  <c r="D45" i="1"/>
  <c r="D50" i="1" s="1"/>
  <c r="E23" i="1"/>
  <c r="E28" i="1"/>
  <c r="E37" i="1"/>
  <c r="E31" i="1"/>
  <c r="E22" i="1"/>
  <c r="E27" i="1"/>
  <c r="E36" i="1"/>
</calcChain>
</file>

<file path=xl/sharedStrings.xml><?xml version="1.0" encoding="utf-8"?>
<sst xmlns="http://schemas.openxmlformats.org/spreadsheetml/2006/main" count="123" uniqueCount="92">
  <si>
    <t>Budget informatique</t>
  </si>
  <si>
    <t>Masse salariale</t>
  </si>
  <si>
    <t>Amortissement matériel</t>
  </si>
  <si>
    <t>Maintenance matériel</t>
  </si>
  <si>
    <t>Maintenance logiciel</t>
  </si>
  <si>
    <t>Formation</t>
  </si>
  <si>
    <t>Déplacements et Réceptions</t>
  </si>
  <si>
    <t>Salaire mensuel brut</t>
  </si>
  <si>
    <t>Matériels</t>
  </si>
  <si>
    <t>Description</t>
  </si>
  <si>
    <t>Prix catalogue</t>
  </si>
  <si>
    <t>Prix d'achat</t>
  </si>
  <si>
    <t>Durée amort</t>
  </si>
  <si>
    <t>Logiciels</t>
  </si>
  <si>
    <t>du salaire brut</t>
  </si>
  <si>
    <t>Coût de la maintenance matériel</t>
  </si>
  <si>
    <t>Coût de la maintenance logiciel</t>
  </si>
  <si>
    <t>du prix d'achat catalogue</t>
  </si>
  <si>
    <t>CA</t>
  </si>
  <si>
    <t>Fonction</t>
  </si>
  <si>
    <t>Total</t>
  </si>
  <si>
    <t>Directeur informatique</t>
  </si>
  <si>
    <t>Chef de projet</t>
  </si>
  <si>
    <t>Développeur</t>
  </si>
  <si>
    <t>Responsable matériel</t>
  </si>
  <si>
    <t>Anne</t>
  </si>
  <si>
    <t>Dupont</t>
  </si>
  <si>
    <t>Durand</t>
  </si>
  <si>
    <t>Jean</t>
  </si>
  <si>
    <t>Jacques</t>
  </si>
  <si>
    <t>Dupond</t>
  </si>
  <si>
    <t>Jeanne</t>
  </si>
  <si>
    <t>Durant</t>
  </si>
  <si>
    <t>Jacqueline</t>
  </si>
  <si>
    <t>Ordi 1</t>
  </si>
  <si>
    <t>Ordi 2</t>
  </si>
  <si>
    <t>Ordi 3</t>
  </si>
  <si>
    <t>Serveur 1</t>
  </si>
  <si>
    <t>Serveur 2</t>
  </si>
  <si>
    <t>Imprimante 1</t>
  </si>
  <si>
    <t>Imprimante 2</t>
  </si>
  <si>
    <t>Imprimante 3</t>
  </si>
  <si>
    <t>Ordi 4</t>
  </si>
  <si>
    <t>Date d'achat</t>
  </si>
  <si>
    <t>Euros</t>
  </si>
  <si>
    <t>Années</t>
  </si>
  <si>
    <t>Ordi 5</t>
  </si>
  <si>
    <t>Ordi 6</t>
  </si>
  <si>
    <t>Ordi 7</t>
  </si>
  <si>
    <t>Logiciel 1</t>
  </si>
  <si>
    <t>Logiciel 2</t>
  </si>
  <si>
    <t>Logiciel 3</t>
  </si>
  <si>
    <t>Logiciel 4</t>
  </si>
  <si>
    <t>Logiciel 5</t>
  </si>
  <si>
    <t>Consommables</t>
  </si>
  <si>
    <t>Quote-part des FG</t>
  </si>
  <si>
    <t>Amort annuel</t>
  </si>
  <si>
    <t>Age début exercice</t>
  </si>
  <si>
    <t>Calcul au</t>
  </si>
  <si>
    <t>Maintenance Matériel</t>
  </si>
  <si>
    <t>Taux</t>
  </si>
  <si>
    <t>Coût annuel</t>
  </si>
  <si>
    <t>Coût mensuel</t>
  </si>
  <si>
    <t>Maintenance Logiciel</t>
  </si>
  <si>
    <t>Effectif total</t>
  </si>
  <si>
    <t>Amortissement logiciel</t>
  </si>
  <si>
    <t>Durond</t>
  </si>
  <si>
    <t>Dupant</t>
  </si>
  <si>
    <t>Les FG sont répartis au pro-rata des effectifs de chaque service.</t>
  </si>
  <si>
    <t xml:space="preserve">On vous demande de préparer le budget du service informatique pour </t>
  </si>
  <si>
    <t>Effectif pour</t>
  </si>
  <si>
    <t xml:space="preserve">identique à celui de </t>
  </si>
  <si>
    <t>Remarque: En l'absence d'autres informations, considérez que vous dépenserez en</t>
  </si>
  <si>
    <t>de plus que ce que</t>
  </si>
  <si>
    <t xml:space="preserve">Etablissez le budget </t>
  </si>
  <si>
    <t>Faites le ratio Budget Info / Chiffre d'affaires de l'entreprise pour les 2 années.</t>
  </si>
  <si>
    <t>et comparez-le à l'année précédente.</t>
  </si>
  <si>
    <t>budget</t>
  </si>
  <si>
    <t>Autres informations: Réel pour</t>
  </si>
  <si>
    <t>Ratio Budget Info / CA</t>
  </si>
  <si>
    <t>Prestataires extérieurs</t>
  </si>
  <si>
    <t>Préparez une présentation de ce budget à votre PDG.</t>
  </si>
  <si>
    <t>La poliique de l'entreprise est de consacrer</t>
  </si>
  <si>
    <t>de la masse salariale brute à la formation.</t>
  </si>
  <si>
    <t xml:space="preserve">Taux de charges patronales:  </t>
  </si>
  <si>
    <t xml:space="preserve">       Budget pour l'année à venir  </t>
  </si>
  <si>
    <t>Frais généraux</t>
  </si>
  <si>
    <t>avez réellement dépensé en 2017.</t>
  </si>
  <si>
    <t>Amort 2018</t>
  </si>
  <si>
    <t>(charge payé par les entreprises sur les salariés</t>
  </si>
  <si>
    <t>FG= electricité,eau, taxes, loyer, salaire des admistratifs</t>
  </si>
  <si>
    <t>Salaires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</si>
</sst>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  <numFmt numFmtId="166" formatCode="0.0"/>
    <numFmt numFmtId="167" formatCode="#,##0_ ;\-#,##0\ "/>
    <numFmt numFmtId="169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9" fontId="1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64" fontId="1" fillId="0" borderId="0" xfId="1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Border="1"/>
    <xf numFmtId="3" fontId="4" fillId="0" borderId="0" xfId="0" applyNumberFormat="1" applyFont="1" applyBorder="1"/>
    <xf numFmtId="165" fontId="4" fillId="0" borderId="0" xfId="2" applyNumberFormat="1" applyFont="1" applyBorder="1"/>
    <xf numFmtId="9" fontId="6" fillId="0" borderId="0" xfId="0" applyNumberFormat="1" applyFont="1"/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167" fontId="1" fillId="0" borderId="1" xfId="1" applyNumberFormat="1" applyFont="1" applyBorder="1" applyAlignment="1">
      <alignment horizontal="center"/>
    </xf>
    <xf numFmtId="167" fontId="1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" fontId="0" fillId="0" borderId="1" xfId="0" applyNumberFormat="1" applyBorder="1"/>
    <xf numFmtId="0" fontId="7" fillId="0" borderId="1" xfId="0" applyFont="1" applyBorder="1"/>
    <xf numFmtId="3" fontId="7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7" fontId="1" fillId="0" borderId="0" xfId="0" applyNumberFormat="1" applyFont="1" applyAlignment="1">
      <alignment horizontal="left"/>
    </xf>
    <xf numFmtId="9" fontId="4" fillId="0" borderId="0" xfId="2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3" fontId="1" fillId="0" borderId="0" xfId="0" applyNumberFormat="1" applyFont="1"/>
    <xf numFmtId="3" fontId="1" fillId="0" borderId="0" xfId="0" applyNumberFormat="1" applyFont="1" applyBorder="1"/>
    <xf numFmtId="10" fontId="1" fillId="0" borderId="1" xfId="2" applyNumberFormat="1" applyFont="1" applyBorder="1"/>
    <xf numFmtId="165" fontId="1" fillId="0" borderId="0" xfId="2" applyNumberFormat="1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9" fontId="0" fillId="0" borderId="2" xfId="0" applyNumberFormat="1" applyBorder="1" applyAlignment="1">
      <alignment horizontal="center"/>
    </xf>
    <xf numFmtId="166" fontId="0" fillId="0" borderId="1" xfId="0" applyNumberFormat="1" applyBorder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M5" sqref="M5"/>
    </sheetView>
  </sheetViews>
  <sheetFormatPr baseColWidth="10" defaultRowHeight="14.25" x14ac:dyDescent="0.2"/>
  <cols>
    <col min="1" max="1" width="4.28515625" style="15" customWidth="1"/>
    <col min="2" max="8" width="11.42578125" style="15"/>
    <col min="9" max="9" width="6.42578125" style="15" customWidth="1"/>
    <col min="10" max="10" width="9" style="15" customWidth="1"/>
    <col min="11" max="11" width="6.5703125" style="15" customWidth="1"/>
    <col min="12" max="12" width="7.42578125" style="15" customWidth="1"/>
    <col min="13" max="13" width="11.42578125" style="15"/>
    <col min="14" max="14" width="4.7109375" style="15" customWidth="1"/>
    <col min="15" max="16384" width="11.42578125" style="15"/>
  </cols>
  <sheetData>
    <row r="2" spans="2:12" ht="18" x14ac:dyDescent="0.25">
      <c r="B2" s="2" t="s">
        <v>69</v>
      </c>
      <c r="J2" s="2">
        <f>+Données!C3</f>
        <v>2018</v>
      </c>
    </row>
    <row r="4" spans="2:12" ht="15" x14ac:dyDescent="0.2">
      <c r="B4" s="17" t="s">
        <v>72</v>
      </c>
      <c r="J4" s="23">
        <f>+J2</f>
        <v>2018</v>
      </c>
      <c r="K4" s="22">
        <v>0.05</v>
      </c>
      <c r="L4" s="17" t="s">
        <v>73</v>
      </c>
    </row>
    <row r="5" spans="2:12" ht="15" x14ac:dyDescent="0.2">
      <c r="B5" s="17" t="s">
        <v>87</v>
      </c>
    </row>
    <row r="7" spans="2:12" ht="15" x14ac:dyDescent="0.2">
      <c r="B7" s="16" t="s">
        <v>74</v>
      </c>
      <c r="C7" s="16"/>
      <c r="D7" s="27">
        <f>+J4</f>
        <v>2018</v>
      </c>
      <c r="E7" s="16" t="s">
        <v>76</v>
      </c>
    </row>
    <row r="8" spans="2:12" ht="15" x14ac:dyDescent="0.2">
      <c r="B8" s="16"/>
      <c r="C8" s="16"/>
      <c r="D8" s="16"/>
      <c r="E8" s="16"/>
    </row>
    <row r="9" spans="2:12" ht="15" x14ac:dyDescent="0.2">
      <c r="B9" s="16" t="s">
        <v>75</v>
      </c>
      <c r="C9" s="16"/>
      <c r="D9" s="16"/>
      <c r="E9" s="16"/>
    </row>
    <row r="11" spans="2:12" ht="15" x14ac:dyDescent="0.2">
      <c r="B11" s="16" t="s">
        <v>81</v>
      </c>
    </row>
  </sheetData>
  <pageMargins left="0.55118110236220474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tabSelected="1" topLeftCell="A16" zoomScale="80" zoomScaleNormal="80" workbookViewId="0">
      <selection activeCell="E12" sqref="E12"/>
    </sheetView>
  </sheetViews>
  <sheetFormatPr baseColWidth="10" defaultRowHeight="18" x14ac:dyDescent="0.25"/>
  <cols>
    <col min="1" max="1" width="3.5703125" style="2" customWidth="1"/>
    <col min="2" max="2" width="24.42578125" style="2" customWidth="1"/>
    <col min="3" max="3" width="27.140625" style="2" customWidth="1"/>
    <col min="4" max="4" width="26.5703125" style="2" customWidth="1"/>
    <col min="5" max="5" width="25" style="2" customWidth="1"/>
    <col min="6" max="6" width="17.28515625" style="2" customWidth="1"/>
    <col min="7" max="22" width="5.85546875" style="2" customWidth="1"/>
    <col min="23" max="16384" width="11.42578125" style="2"/>
  </cols>
  <sheetData>
    <row r="1" spans="1:6" ht="25.5" x14ac:dyDescent="0.35">
      <c r="B1" s="5" t="s">
        <v>0</v>
      </c>
      <c r="D1" s="42">
        <v>2018</v>
      </c>
    </row>
    <row r="2" spans="1:6" ht="15" customHeight="1" x14ac:dyDescent="0.25"/>
    <row r="3" spans="1:6" x14ac:dyDescent="0.25">
      <c r="B3" s="2" t="s">
        <v>70</v>
      </c>
      <c r="C3" s="8">
        <f>+D1</f>
        <v>2018</v>
      </c>
      <c r="D3" s="8" t="s">
        <v>71</v>
      </c>
      <c r="E3" s="18">
        <f>+C3-1</f>
        <v>2017</v>
      </c>
    </row>
    <row r="4" spans="1:6" ht="6.75" customHeight="1" x14ac:dyDescent="0.25"/>
    <row r="5" spans="1:6" ht="18.75" x14ac:dyDescent="0.3">
      <c r="B5" s="57" t="s">
        <v>91</v>
      </c>
      <c r="C5" s="58"/>
      <c r="D5" s="10" t="s">
        <v>19</v>
      </c>
      <c r="E5" s="3" t="s">
        <v>7</v>
      </c>
    </row>
    <row r="6" spans="1:6" x14ac:dyDescent="0.25">
      <c r="A6" s="2">
        <v>1</v>
      </c>
      <c r="B6" s="3" t="s">
        <v>25</v>
      </c>
      <c r="C6" s="3" t="s">
        <v>26</v>
      </c>
      <c r="D6" s="3" t="s">
        <v>21</v>
      </c>
      <c r="E6" s="28">
        <v>6000</v>
      </c>
    </row>
    <row r="7" spans="1:6" x14ac:dyDescent="0.25">
      <c r="A7" s="2">
        <v>2</v>
      </c>
      <c r="B7" s="3" t="s">
        <v>28</v>
      </c>
      <c r="C7" s="3" t="s">
        <v>27</v>
      </c>
      <c r="D7" s="3" t="s">
        <v>22</v>
      </c>
      <c r="E7" s="28">
        <v>4500</v>
      </c>
    </row>
    <row r="8" spans="1:6" x14ac:dyDescent="0.25">
      <c r="A8" s="2">
        <v>3</v>
      </c>
      <c r="B8" s="3" t="s">
        <v>29</v>
      </c>
      <c r="C8" s="3" t="s">
        <v>30</v>
      </c>
      <c r="D8" s="3" t="s">
        <v>23</v>
      </c>
      <c r="E8" s="28">
        <v>3000</v>
      </c>
    </row>
    <row r="9" spans="1:6" x14ac:dyDescent="0.25">
      <c r="A9" s="2">
        <v>4</v>
      </c>
      <c r="B9" s="3" t="s">
        <v>31</v>
      </c>
      <c r="C9" s="3" t="s">
        <v>32</v>
      </c>
      <c r="D9" s="3" t="s">
        <v>23</v>
      </c>
      <c r="E9" s="28">
        <v>2500</v>
      </c>
    </row>
    <row r="10" spans="1:6" x14ac:dyDescent="0.25">
      <c r="A10" s="2">
        <v>5</v>
      </c>
      <c r="B10" s="3" t="s">
        <v>29</v>
      </c>
      <c r="C10" s="3" t="s">
        <v>66</v>
      </c>
      <c r="D10" s="3" t="s">
        <v>24</v>
      </c>
      <c r="E10" s="28">
        <v>2500</v>
      </c>
    </row>
    <row r="11" spans="1:6" x14ac:dyDescent="0.25">
      <c r="A11" s="2">
        <v>6</v>
      </c>
      <c r="B11" s="3" t="s">
        <v>33</v>
      </c>
      <c r="C11" s="3" t="s">
        <v>67</v>
      </c>
      <c r="D11" s="3" t="s">
        <v>23</v>
      </c>
      <c r="E11" s="28">
        <v>2200</v>
      </c>
    </row>
    <row r="12" spans="1:6" x14ac:dyDescent="0.25">
      <c r="B12" s="3" t="s">
        <v>20</v>
      </c>
      <c r="C12" s="3"/>
      <c r="D12" s="3"/>
      <c r="E12" s="28">
        <f>SUM(E6:E11)</f>
        <v>20700</v>
      </c>
    </row>
    <row r="13" spans="1:6" ht="6.75" customHeight="1" x14ac:dyDescent="0.25"/>
    <row r="14" spans="1:6" x14ac:dyDescent="0.25">
      <c r="C14" s="30" t="s">
        <v>84</v>
      </c>
      <c r="D14" s="41">
        <v>0.45</v>
      </c>
      <c r="E14" s="2" t="s">
        <v>14</v>
      </c>
      <c r="F14" s="2" t="s">
        <v>89</v>
      </c>
    </row>
    <row r="16" spans="1:6" x14ac:dyDescent="0.25">
      <c r="B16" s="2" t="s">
        <v>8</v>
      </c>
    </row>
    <row r="17" spans="2:6" ht="10.5" customHeight="1" x14ac:dyDescent="0.25"/>
    <row r="18" spans="2:6" x14ac:dyDescent="0.25">
      <c r="B18" s="6" t="s">
        <v>9</v>
      </c>
      <c r="C18" s="6" t="s">
        <v>10</v>
      </c>
      <c r="D18" s="6" t="s">
        <v>11</v>
      </c>
      <c r="E18" s="6" t="s">
        <v>43</v>
      </c>
      <c r="F18" s="3" t="s">
        <v>12</v>
      </c>
    </row>
    <row r="19" spans="2:6" s="9" customFormat="1" x14ac:dyDescent="0.25">
      <c r="B19" s="10"/>
      <c r="C19" s="10" t="s">
        <v>44</v>
      </c>
      <c r="D19" s="10" t="s">
        <v>44</v>
      </c>
      <c r="E19" s="10"/>
      <c r="F19" s="10" t="s">
        <v>45</v>
      </c>
    </row>
    <row r="20" spans="2:6" x14ac:dyDescent="0.25">
      <c r="B20" s="6" t="s">
        <v>34</v>
      </c>
      <c r="C20" s="28">
        <v>2000</v>
      </c>
      <c r="D20" s="28">
        <f>+C20*0.75</f>
        <v>1500</v>
      </c>
      <c r="E20" s="31">
        <f>DATE($C$3-4,1,1)</f>
        <v>41640</v>
      </c>
      <c r="F20" s="6">
        <v>3</v>
      </c>
    </row>
    <row r="21" spans="2:6" x14ac:dyDescent="0.25">
      <c r="B21" s="6" t="s">
        <v>35</v>
      </c>
      <c r="C21" s="28">
        <v>1600</v>
      </c>
      <c r="D21" s="28">
        <f t="shared" ref="D21:D31" si="0">+C21*0.75</f>
        <v>1200</v>
      </c>
      <c r="E21" s="31">
        <f>DATE($C$3-1,1,1)</f>
        <v>42736</v>
      </c>
      <c r="F21" s="6">
        <v>3</v>
      </c>
    </row>
    <row r="22" spans="2:6" x14ac:dyDescent="0.25">
      <c r="B22" s="6" t="s">
        <v>36</v>
      </c>
      <c r="C22" s="28">
        <v>1000</v>
      </c>
      <c r="D22" s="28">
        <f t="shared" si="0"/>
        <v>750</v>
      </c>
      <c r="E22" s="31">
        <f>DATE($C$3-3,1,1)</f>
        <v>42005</v>
      </c>
      <c r="F22" s="6">
        <v>3</v>
      </c>
    </row>
    <row r="23" spans="2:6" x14ac:dyDescent="0.25">
      <c r="B23" s="6" t="s">
        <v>42</v>
      </c>
      <c r="C23" s="28">
        <v>2000</v>
      </c>
      <c r="D23" s="28">
        <f t="shared" si="0"/>
        <v>1500</v>
      </c>
      <c r="E23" s="31">
        <f>DATE($C$3-2,1,1)</f>
        <v>42370</v>
      </c>
      <c r="F23" s="6">
        <v>3</v>
      </c>
    </row>
    <row r="24" spans="2:6" x14ac:dyDescent="0.25">
      <c r="B24" s="6" t="s">
        <v>46</v>
      </c>
      <c r="C24" s="28">
        <v>2400</v>
      </c>
      <c r="D24" s="28">
        <f t="shared" si="0"/>
        <v>1800</v>
      </c>
      <c r="E24" s="31">
        <f>DATE($C$3-3,1,1)</f>
        <v>42005</v>
      </c>
      <c r="F24" s="6">
        <v>3</v>
      </c>
    </row>
    <row r="25" spans="2:6" x14ac:dyDescent="0.25">
      <c r="B25" s="6" t="s">
        <v>47</v>
      </c>
      <c r="C25" s="28">
        <v>1200</v>
      </c>
      <c r="D25" s="28">
        <f t="shared" si="0"/>
        <v>900</v>
      </c>
      <c r="E25" s="31">
        <f>DATE($C$3-2,1,1)</f>
        <v>42370</v>
      </c>
      <c r="F25" s="6">
        <v>3</v>
      </c>
    </row>
    <row r="26" spans="2:6" x14ac:dyDescent="0.25">
      <c r="B26" s="6" t="s">
        <v>48</v>
      </c>
      <c r="C26" s="28">
        <v>1600</v>
      </c>
      <c r="D26" s="28">
        <f t="shared" si="0"/>
        <v>1200</v>
      </c>
      <c r="E26" s="31">
        <f>DATE($C$3-3,1,1)</f>
        <v>42005</v>
      </c>
      <c r="F26" s="6">
        <v>3</v>
      </c>
    </row>
    <row r="27" spans="2:6" x14ac:dyDescent="0.25">
      <c r="B27" s="6" t="s">
        <v>37</v>
      </c>
      <c r="C27" s="28">
        <v>6000</v>
      </c>
      <c r="D27" s="28">
        <f t="shared" si="0"/>
        <v>4500</v>
      </c>
      <c r="E27" s="31">
        <f>DATE($C$3-2,1,1)</f>
        <v>42370</v>
      </c>
      <c r="F27" s="6">
        <v>3</v>
      </c>
    </row>
    <row r="28" spans="2:6" x14ac:dyDescent="0.25">
      <c r="B28" s="6" t="s">
        <v>38</v>
      </c>
      <c r="C28" s="28">
        <v>4800</v>
      </c>
      <c r="D28" s="28">
        <f t="shared" si="0"/>
        <v>3600</v>
      </c>
      <c r="E28" s="31">
        <f>DATE($C$3-6,1,1)</f>
        <v>40909</v>
      </c>
      <c r="F28" s="6">
        <v>3</v>
      </c>
    </row>
    <row r="29" spans="2:6" x14ac:dyDescent="0.25">
      <c r="B29" s="6" t="s">
        <v>39</v>
      </c>
      <c r="C29" s="28">
        <v>2000</v>
      </c>
      <c r="D29" s="28">
        <f t="shared" si="0"/>
        <v>1500</v>
      </c>
      <c r="E29" s="31">
        <f>DATE($C$3-2,1,1)</f>
        <v>42370</v>
      </c>
      <c r="F29" s="6">
        <v>3</v>
      </c>
    </row>
    <row r="30" spans="2:6" x14ac:dyDescent="0.25">
      <c r="B30" s="6" t="s">
        <v>40</v>
      </c>
      <c r="C30" s="28">
        <v>3200</v>
      </c>
      <c r="D30" s="28">
        <f t="shared" si="0"/>
        <v>2400</v>
      </c>
      <c r="E30" s="31">
        <f>DATE($C$3-1,1,1)</f>
        <v>42736</v>
      </c>
      <c r="F30" s="6">
        <v>3</v>
      </c>
    </row>
    <row r="31" spans="2:6" x14ac:dyDescent="0.25">
      <c r="B31" s="6" t="s">
        <v>41</v>
      </c>
      <c r="C31" s="28">
        <v>1200</v>
      </c>
      <c r="D31" s="28">
        <f t="shared" si="0"/>
        <v>900</v>
      </c>
      <c r="E31" s="31">
        <f>DATE($C$3,1,1)</f>
        <v>43101</v>
      </c>
      <c r="F31" s="6">
        <v>3</v>
      </c>
    </row>
    <row r="33" spans="2:6" x14ac:dyDescent="0.25">
      <c r="B33" s="2" t="s">
        <v>13</v>
      </c>
    </row>
    <row r="34" spans="2:6" ht="8.25" customHeight="1" x14ac:dyDescent="0.25"/>
    <row r="35" spans="2:6" x14ac:dyDescent="0.25">
      <c r="B35" s="3" t="s">
        <v>9</v>
      </c>
      <c r="C35" s="3" t="s">
        <v>10</v>
      </c>
      <c r="D35" s="6" t="s">
        <v>11</v>
      </c>
      <c r="E35" s="6" t="s">
        <v>43</v>
      </c>
      <c r="F35" s="3" t="s">
        <v>12</v>
      </c>
    </row>
    <row r="36" spans="2:6" x14ac:dyDescent="0.25">
      <c r="B36" s="3" t="s">
        <v>49</v>
      </c>
      <c r="C36" s="28">
        <v>10000</v>
      </c>
      <c r="D36" s="28">
        <f>+C36*75%</f>
        <v>7500</v>
      </c>
      <c r="E36" s="31">
        <f>DATE($C$3-3,1,1)</f>
        <v>42005</v>
      </c>
      <c r="F36" s="6">
        <v>3</v>
      </c>
    </row>
    <row r="37" spans="2:6" x14ac:dyDescent="0.25">
      <c r="B37" s="3" t="s">
        <v>50</v>
      </c>
      <c r="C37" s="28">
        <v>15000</v>
      </c>
      <c r="D37" s="28">
        <f t="shared" ref="D37:D40" si="1">+C37*75%</f>
        <v>11250</v>
      </c>
      <c r="E37" s="31">
        <f>DATE($C$3-2,1,1)</f>
        <v>42370</v>
      </c>
      <c r="F37" s="6">
        <v>3</v>
      </c>
    </row>
    <row r="38" spans="2:6" x14ac:dyDescent="0.25">
      <c r="B38" s="3" t="s">
        <v>51</v>
      </c>
      <c r="C38" s="28">
        <v>5000</v>
      </c>
      <c r="D38" s="28">
        <f t="shared" si="1"/>
        <v>3750</v>
      </c>
      <c r="E38" s="31">
        <f>DATE($C$3-6,1,1)</f>
        <v>40909</v>
      </c>
      <c r="F38" s="6">
        <v>3</v>
      </c>
    </row>
    <row r="39" spans="2:6" x14ac:dyDescent="0.25">
      <c r="B39" s="3" t="s">
        <v>52</v>
      </c>
      <c r="C39" s="28">
        <v>10000</v>
      </c>
      <c r="D39" s="28">
        <f t="shared" si="1"/>
        <v>7500</v>
      </c>
      <c r="E39" s="31">
        <f>DATE($C$3-2,1,1)</f>
        <v>42370</v>
      </c>
      <c r="F39" s="6">
        <v>3</v>
      </c>
    </row>
    <row r="40" spans="2:6" x14ac:dyDescent="0.25">
      <c r="B40" s="3" t="s">
        <v>53</v>
      </c>
      <c r="C40" s="28">
        <v>50000</v>
      </c>
      <c r="D40" s="28">
        <f t="shared" si="1"/>
        <v>37500</v>
      </c>
      <c r="E40" s="31">
        <f>DATE($C$3,1,1)</f>
        <v>43101</v>
      </c>
      <c r="F40" s="6">
        <v>3</v>
      </c>
    </row>
    <row r="42" spans="2:6" x14ac:dyDescent="0.25">
      <c r="B42" s="2" t="s">
        <v>82</v>
      </c>
      <c r="D42" s="41">
        <v>0.03</v>
      </c>
      <c r="E42" s="4" t="s">
        <v>83</v>
      </c>
    </row>
    <row r="43" spans="2:6" x14ac:dyDescent="0.25">
      <c r="D43" s="41"/>
      <c r="E43" s="4"/>
    </row>
    <row r="44" spans="2:6" x14ac:dyDescent="0.25">
      <c r="D44" s="8" t="s">
        <v>77</v>
      </c>
    </row>
    <row r="45" spans="2:6" x14ac:dyDescent="0.25">
      <c r="B45" s="8"/>
      <c r="C45" s="6">
        <f>+E3</f>
        <v>2017</v>
      </c>
      <c r="D45" s="6">
        <f>+C3</f>
        <v>2018</v>
      </c>
      <c r="E45" s="2" t="s">
        <v>90</v>
      </c>
    </row>
    <row r="46" spans="2:6" x14ac:dyDescent="0.25">
      <c r="B46" s="8" t="s">
        <v>86</v>
      </c>
      <c r="C46" s="28">
        <v>150000</v>
      </c>
      <c r="D46" s="28">
        <v>160000</v>
      </c>
    </row>
    <row r="47" spans="2:6" ht="7.5" customHeight="1" x14ac:dyDescent="0.25">
      <c r="C47" s="12"/>
      <c r="D47" s="12"/>
    </row>
    <row r="48" spans="2:6" x14ac:dyDescent="0.25">
      <c r="B48" s="2" t="s">
        <v>68</v>
      </c>
      <c r="C48" s="12"/>
      <c r="D48" s="12"/>
    </row>
    <row r="49" spans="2:6" x14ac:dyDescent="0.25">
      <c r="C49" s="12"/>
      <c r="D49" s="12"/>
    </row>
    <row r="50" spans="2:6" x14ac:dyDescent="0.25">
      <c r="C50" s="29">
        <f>+C45</f>
        <v>2017</v>
      </c>
      <c r="D50" s="29">
        <f>+D45</f>
        <v>2018</v>
      </c>
    </row>
    <row r="51" spans="2:6" x14ac:dyDescent="0.25">
      <c r="B51" s="2" t="s">
        <v>64</v>
      </c>
      <c r="C51" s="10">
        <v>120</v>
      </c>
      <c r="D51" s="10">
        <v>125</v>
      </c>
    </row>
    <row r="52" spans="2:6" x14ac:dyDescent="0.25">
      <c r="B52" s="2" t="s">
        <v>18</v>
      </c>
      <c r="C52" s="28">
        <v>4000000</v>
      </c>
      <c r="D52" s="28">
        <v>4200000</v>
      </c>
      <c r="E52" s="12"/>
      <c r="F52" s="14"/>
    </row>
    <row r="53" spans="2:6" x14ac:dyDescent="0.25">
      <c r="E53" s="14"/>
      <c r="F53" s="14"/>
    </row>
    <row r="54" spans="2:6" x14ac:dyDescent="0.25">
      <c r="B54" s="2" t="s">
        <v>15</v>
      </c>
      <c r="D54" s="7">
        <v>0.05</v>
      </c>
      <c r="E54" s="2" t="s">
        <v>17</v>
      </c>
    </row>
    <row r="55" spans="2:6" ht="10.5" customHeight="1" x14ac:dyDescent="0.25">
      <c r="D55" s="8"/>
    </row>
    <row r="56" spans="2:6" x14ac:dyDescent="0.25">
      <c r="B56" s="2" t="s">
        <v>16</v>
      </c>
      <c r="D56" s="7">
        <v>0.1</v>
      </c>
      <c r="E56" s="2" t="str">
        <f>+E54</f>
        <v>du prix d'achat catalogue</v>
      </c>
    </row>
    <row r="58" spans="2:6" x14ac:dyDescent="0.25">
      <c r="B58" s="2" t="s">
        <v>78</v>
      </c>
      <c r="D58" s="43">
        <f>+C50</f>
        <v>2017</v>
      </c>
    </row>
    <row r="59" spans="2:6" ht="12.75" customHeight="1" x14ac:dyDescent="0.25"/>
    <row r="60" spans="2:6" ht="18.75" customHeight="1" x14ac:dyDescent="0.25">
      <c r="B60" s="61" t="s">
        <v>1</v>
      </c>
      <c r="C60" s="62"/>
      <c r="D60" s="39">
        <v>352000</v>
      </c>
    </row>
    <row r="61" spans="2:6" ht="18.75" customHeight="1" x14ac:dyDescent="0.25">
      <c r="B61" s="61" t="s">
        <v>65</v>
      </c>
      <c r="C61" s="62"/>
      <c r="D61" s="39">
        <v>19000</v>
      </c>
    </row>
    <row r="62" spans="2:6" ht="18.75" customHeight="1" x14ac:dyDescent="0.25">
      <c r="B62" s="61" t="s">
        <v>2</v>
      </c>
      <c r="C62" s="62"/>
      <c r="D62" s="39">
        <v>4500</v>
      </c>
    </row>
    <row r="63" spans="2:6" ht="18.75" customHeight="1" x14ac:dyDescent="0.25">
      <c r="B63" s="61" t="s">
        <v>3</v>
      </c>
      <c r="C63" s="62"/>
      <c r="D63" s="39">
        <v>1500</v>
      </c>
    </row>
    <row r="64" spans="2:6" ht="18.75" customHeight="1" x14ac:dyDescent="0.25">
      <c r="B64" s="61" t="s">
        <v>4</v>
      </c>
      <c r="C64" s="62"/>
      <c r="D64" s="39">
        <v>9200</v>
      </c>
    </row>
    <row r="65" spans="2:4" ht="18.75" customHeight="1" x14ac:dyDescent="0.25">
      <c r="B65" s="61" t="s">
        <v>80</v>
      </c>
      <c r="C65" s="62"/>
      <c r="D65" s="40">
        <v>5500</v>
      </c>
    </row>
    <row r="66" spans="2:4" ht="18.75" customHeight="1" x14ac:dyDescent="0.25">
      <c r="B66" s="59" t="s">
        <v>5</v>
      </c>
      <c r="C66" s="60"/>
      <c r="D66" s="38">
        <v>6000</v>
      </c>
    </row>
    <row r="67" spans="2:4" ht="18.75" customHeight="1" x14ac:dyDescent="0.25">
      <c r="B67" s="59" t="s">
        <v>6</v>
      </c>
      <c r="C67" s="60"/>
      <c r="D67" s="38">
        <v>2000</v>
      </c>
    </row>
    <row r="68" spans="2:4" ht="18.75" customHeight="1" x14ac:dyDescent="0.25">
      <c r="B68" s="59" t="s">
        <v>54</v>
      </c>
      <c r="C68" s="60"/>
      <c r="D68" s="38">
        <v>2500</v>
      </c>
    </row>
    <row r="69" spans="2:4" ht="7.5" customHeight="1" x14ac:dyDescent="0.25"/>
  </sheetData>
  <mergeCells count="10">
    <mergeCell ref="B5:C5"/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</mergeCells>
  <pageMargins left="0.31496062992125984" right="0.31496062992125984" top="0.47244094488188981" bottom="0.27559055118110237" header="0.31496062992125984" footer="0.15748031496062992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opLeftCell="A4" workbookViewId="0">
      <selection activeCell="D17" sqref="D17"/>
    </sheetView>
  </sheetViews>
  <sheetFormatPr baseColWidth="10" defaultRowHeight="14.25" x14ac:dyDescent="0.2"/>
  <cols>
    <col min="1" max="1" width="4.28515625" style="15" customWidth="1"/>
    <col min="2" max="2" width="36.42578125" style="15" customWidth="1"/>
    <col min="3" max="3" width="24.5703125" style="15" customWidth="1"/>
    <col min="4" max="4" width="20.28515625" style="15" customWidth="1"/>
    <col min="5" max="5" width="14.140625" style="15" customWidth="1"/>
    <col min="6" max="16384" width="11.42578125" style="15"/>
  </cols>
  <sheetData>
    <row r="2" spans="2:9" ht="25.5" x14ac:dyDescent="0.35">
      <c r="B2" s="5"/>
      <c r="C2" s="51" t="s">
        <v>85</v>
      </c>
      <c r="D2" s="52">
        <f>+D5</f>
        <v>2018</v>
      </c>
    </row>
    <row r="4" spans="2:9" x14ac:dyDescent="0.2">
      <c r="E4" s="19"/>
      <c r="F4" s="19"/>
      <c r="G4" s="19"/>
      <c r="H4" s="19"/>
      <c r="I4" s="19"/>
    </row>
    <row r="5" spans="2:9" s="25" customFormat="1" ht="18.75" customHeight="1" x14ac:dyDescent="0.25">
      <c r="B5" s="13"/>
      <c r="C5" s="10">
        <v>2017</v>
      </c>
      <c r="D5" s="10">
        <v>2018</v>
      </c>
      <c r="E5" s="45"/>
      <c r="F5" s="24"/>
      <c r="G5" s="24"/>
      <c r="H5" s="24"/>
      <c r="I5" s="24"/>
    </row>
    <row r="6" spans="2:9" s="25" customFormat="1" ht="18.75" customHeight="1" x14ac:dyDescent="0.25">
      <c r="B6" s="13" t="s">
        <v>1</v>
      </c>
      <c r="C6" s="39">
        <v>352000</v>
      </c>
      <c r="D6" s="39">
        <f>Données!E12*(1+Données!D14)*12</f>
        <v>360180</v>
      </c>
      <c r="E6" s="46"/>
      <c r="F6" s="44"/>
      <c r="G6" s="26"/>
      <c r="H6" s="26"/>
      <c r="I6" s="24"/>
    </row>
    <row r="7" spans="2:9" s="25" customFormat="1" ht="18.75" customHeight="1" x14ac:dyDescent="0.25">
      <c r="B7" s="13" t="s">
        <v>65</v>
      </c>
      <c r="C7" s="39">
        <v>19000</v>
      </c>
      <c r="D7" s="39">
        <f>'Amortissements et maintenance'!I27</f>
        <v>18750</v>
      </c>
      <c r="E7" s="46"/>
      <c r="F7" s="26"/>
      <c r="G7" s="26"/>
      <c r="H7" s="26"/>
      <c r="I7" s="24"/>
    </row>
    <row r="8" spans="2:9" s="25" customFormat="1" ht="18.75" customHeight="1" x14ac:dyDescent="0.25">
      <c r="B8" s="13" t="s">
        <v>2</v>
      </c>
      <c r="C8" s="39">
        <v>4500</v>
      </c>
      <c r="D8" s="39">
        <f>'Amortissements et maintenance'!I17</f>
        <v>4300</v>
      </c>
      <c r="E8" s="46"/>
      <c r="F8" s="26"/>
      <c r="G8" s="26"/>
      <c r="H8" s="26"/>
      <c r="I8" s="24"/>
    </row>
    <row r="9" spans="2:9" s="25" customFormat="1" ht="18.75" customHeight="1" x14ac:dyDescent="0.25">
      <c r="B9" s="13" t="s">
        <v>3</v>
      </c>
      <c r="C9" s="39">
        <v>1500</v>
      </c>
      <c r="D9" s="39">
        <f>'Amortissements et maintenance'!I30</f>
        <v>1450</v>
      </c>
      <c r="E9" s="46"/>
      <c r="F9" s="26"/>
      <c r="G9" s="26"/>
      <c r="H9" s="26"/>
      <c r="I9" s="24"/>
    </row>
    <row r="10" spans="2:9" s="25" customFormat="1" ht="18.75" customHeight="1" x14ac:dyDescent="0.25">
      <c r="B10" s="13" t="s">
        <v>4</v>
      </c>
      <c r="C10" s="39">
        <v>9200</v>
      </c>
      <c r="D10" s="39">
        <f>'Amortissements et maintenance'!I34</f>
        <v>9000</v>
      </c>
      <c r="E10" s="46"/>
      <c r="F10" s="26"/>
      <c r="G10" s="26"/>
      <c r="H10" s="26"/>
      <c r="I10" s="24"/>
    </row>
    <row r="11" spans="2:9" s="25" customFormat="1" ht="18.75" customHeight="1" x14ac:dyDescent="0.25">
      <c r="B11" s="13" t="s">
        <v>80</v>
      </c>
      <c r="C11" s="40">
        <v>5500</v>
      </c>
      <c r="D11" s="39">
        <f>C11+(C11*0.05)</f>
        <v>5775</v>
      </c>
      <c r="E11" s="46"/>
      <c r="F11" s="26"/>
      <c r="G11" s="26"/>
      <c r="H11" s="26"/>
      <c r="I11" s="24"/>
    </row>
    <row r="12" spans="2:9" s="25" customFormat="1" ht="18.75" customHeight="1" x14ac:dyDescent="0.25">
      <c r="B12" s="13" t="s">
        <v>5</v>
      </c>
      <c r="C12" s="38">
        <v>6000</v>
      </c>
      <c r="D12" s="39">
        <f>0.03*D6</f>
        <v>10805.4</v>
      </c>
      <c r="E12" s="46"/>
      <c r="F12" s="26"/>
      <c r="G12" s="26"/>
      <c r="H12" s="26"/>
      <c r="I12" s="24"/>
    </row>
    <row r="13" spans="2:9" s="25" customFormat="1" ht="18.75" customHeight="1" x14ac:dyDescent="0.25">
      <c r="B13" s="13" t="s">
        <v>6</v>
      </c>
      <c r="C13" s="38">
        <v>2000</v>
      </c>
      <c r="D13" s="39">
        <f t="shared" ref="D7:D14" si="0">C13+(5/100)*C13</f>
        <v>2100</v>
      </c>
      <c r="E13" s="46"/>
      <c r="F13" s="26"/>
      <c r="G13" s="26"/>
      <c r="H13" s="26"/>
      <c r="I13" s="24"/>
    </row>
    <row r="14" spans="2:9" s="25" customFormat="1" ht="18.75" customHeight="1" x14ac:dyDescent="0.25">
      <c r="B14" s="13" t="s">
        <v>54</v>
      </c>
      <c r="C14" s="38">
        <v>2500</v>
      </c>
      <c r="D14" s="39">
        <f t="shared" si="0"/>
        <v>2625</v>
      </c>
      <c r="E14" s="46"/>
      <c r="F14" s="26"/>
      <c r="G14" s="26"/>
      <c r="H14" s="26"/>
      <c r="I14" s="24"/>
    </row>
    <row r="15" spans="2:9" s="25" customFormat="1" ht="18.75" customHeight="1" x14ac:dyDescent="0.25">
      <c r="B15" s="13" t="s">
        <v>55</v>
      </c>
      <c r="C15" s="28">
        <f>(150000/120)*6</f>
        <v>7500</v>
      </c>
      <c r="D15" s="28">
        <f>(160000/125)*6</f>
        <v>7680</v>
      </c>
      <c r="E15" s="46"/>
      <c r="F15" s="26"/>
      <c r="G15" s="26"/>
      <c r="H15" s="26"/>
      <c r="I15" s="24"/>
    </row>
    <row r="16" spans="2:9" s="25" customFormat="1" ht="10.5" customHeight="1" x14ac:dyDescent="0.25">
      <c r="B16" s="13"/>
      <c r="C16" s="39"/>
      <c r="D16" s="39"/>
      <c r="E16" s="46"/>
      <c r="F16" s="26"/>
      <c r="G16" s="26"/>
      <c r="H16" s="26"/>
      <c r="I16" s="24"/>
    </row>
    <row r="17" spans="2:9" s="25" customFormat="1" ht="18.75" customHeight="1" x14ac:dyDescent="0.25">
      <c r="B17" s="13" t="s">
        <v>20</v>
      </c>
      <c r="C17" s="39">
        <f>C6+C7+C8+C9+C10+C11+C12+C13+C14+C15</f>
        <v>409700</v>
      </c>
      <c r="D17" s="39">
        <f>D6+D7+D8+D9+D10+D11+D12+D13+D14+D15</f>
        <v>422665.4</v>
      </c>
      <c r="E17" s="46"/>
      <c r="F17" s="26"/>
      <c r="G17" s="26"/>
      <c r="H17" s="26"/>
      <c r="I17" s="24"/>
    </row>
    <row r="18" spans="2:9" ht="18" x14ac:dyDescent="0.25">
      <c r="B18" s="2"/>
      <c r="C18" s="47"/>
      <c r="D18" s="47"/>
      <c r="E18" s="48"/>
      <c r="F18" s="20"/>
      <c r="G18" s="20"/>
      <c r="H18" s="20"/>
      <c r="I18" s="19"/>
    </row>
    <row r="19" spans="2:9" ht="18" x14ac:dyDescent="0.25">
      <c r="B19" s="2"/>
      <c r="C19" s="47"/>
      <c r="D19" s="47"/>
      <c r="E19" s="48"/>
      <c r="F19" s="20"/>
      <c r="G19" s="20"/>
      <c r="H19" s="20"/>
      <c r="I19" s="19"/>
    </row>
    <row r="20" spans="2:9" ht="18" x14ac:dyDescent="0.25">
      <c r="B20" s="3" t="s">
        <v>18</v>
      </c>
      <c r="C20" s="28">
        <v>4000000</v>
      </c>
      <c r="D20" s="28">
        <v>4200000</v>
      </c>
      <c r="E20" s="48"/>
      <c r="F20" s="20"/>
      <c r="G20" s="20"/>
      <c r="H20" s="20"/>
      <c r="I20" s="19"/>
    </row>
    <row r="21" spans="2:9" ht="18" x14ac:dyDescent="0.25">
      <c r="B21" s="3" t="s">
        <v>79</v>
      </c>
      <c r="C21" s="49">
        <f>C17/C20</f>
        <v>0.102425</v>
      </c>
      <c r="D21" s="49">
        <f>D17/D20</f>
        <v>0.10063461904761906</v>
      </c>
      <c r="E21" s="50"/>
      <c r="F21" s="21"/>
      <c r="G21" s="21"/>
      <c r="H21" s="21"/>
      <c r="I21" s="19"/>
    </row>
    <row r="22" spans="2:9" ht="18" x14ac:dyDescent="0.25">
      <c r="B22" s="2"/>
      <c r="C22" s="2"/>
      <c r="D22" s="2"/>
      <c r="E22" s="14"/>
      <c r="F22" s="19"/>
      <c r="G22" s="19"/>
      <c r="H22" s="19"/>
      <c r="I22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5"/>
  <sheetViews>
    <sheetView topLeftCell="A14" workbookViewId="0">
      <selection activeCell="I36" sqref="I36"/>
    </sheetView>
  </sheetViews>
  <sheetFormatPr baseColWidth="10" defaultRowHeight="15" x14ac:dyDescent="0.25"/>
  <cols>
    <col min="3" max="3" width="13.140625" customWidth="1"/>
    <col min="4" max="4" width="13.7109375" customWidth="1"/>
    <col min="5" max="5" width="23.140625" customWidth="1"/>
    <col min="6" max="6" width="12.42578125" customWidth="1"/>
    <col min="7" max="7" width="13" customWidth="1"/>
    <col min="8" max="8" width="19.140625" customWidth="1"/>
    <col min="9" max="9" width="15.42578125" customWidth="1"/>
  </cols>
  <sheetData>
    <row r="2" spans="2:9" x14ac:dyDescent="0.25">
      <c r="B2" t="s">
        <v>58</v>
      </c>
      <c r="C2" s="11">
        <v>43101</v>
      </c>
    </row>
    <row r="3" spans="2:9" ht="9" customHeight="1" x14ac:dyDescent="0.25"/>
    <row r="4" spans="2:9" x14ac:dyDescent="0.25">
      <c r="B4" s="1" t="str">
        <f>+Données!B18</f>
        <v>Description</v>
      </c>
      <c r="C4" s="1" t="str">
        <f>+Données!C18</f>
        <v>Prix catalogue</v>
      </c>
      <c r="D4" s="1" t="str">
        <f>+Données!D18</f>
        <v>Prix d'achat</v>
      </c>
      <c r="E4" s="1" t="str">
        <f>+Données!E18</f>
        <v>Date d'achat</v>
      </c>
      <c r="F4" s="1" t="str">
        <f>+Données!F18</f>
        <v>Durée amort</v>
      </c>
      <c r="G4" s="1" t="s">
        <v>56</v>
      </c>
      <c r="H4" s="1" t="s">
        <v>57</v>
      </c>
      <c r="I4" s="1" t="s">
        <v>88</v>
      </c>
    </row>
    <row r="5" spans="2:9" ht="18" x14ac:dyDescent="0.25">
      <c r="B5" s="1" t="str">
        <f>+Données!B20</f>
        <v>Ordi 1</v>
      </c>
      <c r="C5" s="28">
        <v>2000</v>
      </c>
      <c r="D5" s="28">
        <f>+C5*0.75</f>
        <v>1500</v>
      </c>
      <c r="E5" s="63">
        <f>DATE(2018-4,1,1)</f>
        <v>41640</v>
      </c>
      <c r="F5" s="6">
        <v>3</v>
      </c>
      <c r="G5" s="33"/>
      <c r="H5" s="34">
        <f>($C$2-E5)/365</f>
        <v>4.0027397260273974</v>
      </c>
      <c r="I5" s="32"/>
    </row>
    <row r="6" spans="2:9" ht="18" x14ac:dyDescent="0.25">
      <c r="B6" s="1" t="str">
        <f>+Données!B21</f>
        <v>Ordi 2</v>
      </c>
      <c r="C6" s="28">
        <v>1600</v>
      </c>
      <c r="D6" s="28">
        <f t="shared" ref="D6:D16" si="0">+C6*0.75</f>
        <v>1200</v>
      </c>
      <c r="E6" s="63">
        <f>DATE(2018-1,1,1)</f>
        <v>42736</v>
      </c>
      <c r="F6" s="6">
        <v>3</v>
      </c>
      <c r="G6" s="33">
        <f>1/3*D6</f>
        <v>400</v>
      </c>
      <c r="H6" s="34">
        <f t="shared" ref="H6:H16" si="1">($C$2-E6)/365</f>
        <v>1</v>
      </c>
      <c r="I6" s="32">
        <f>IF(H6&gt;=3,0,G6)</f>
        <v>400</v>
      </c>
    </row>
    <row r="7" spans="2:9" ht="18" x14ac:dyDescent="0.25">
      <c r="B7" s="1" t="str">
        <f>+Données!B22</f>
        <v>Ordi 3</v>
      </c>
      <c r="C7" s="28">
        <v>1000</v>
      </c>
      <c r="D7" s="28">
        <f t="shared" si="0"/>
        <v>750</v>
      </c>
      <c r="E7" s="63">
        <f>DATE(2018-3,1,1)</f>
        <v>42005</v>
      </c>
      <c r="F7" s="6">
        <v>3</v>
      </c>
      <c r="G7" s="33">
        <f t="shared" ref="G7:G17" si="2">1/3*D7</f>
        <v>250</v>
      </c>
      <c r="H7" s="34">
        <f t="shared" si="1"/>
        <v>3.0027397260273974</v>
      </c>
      <c r="I7" s="32">
        <f t="shared" ref="I7:I17" si="3">IF(H7&gt;=3,0,G7)</f>
        <v>0</v>
      </c>
    </row>
    <row r="8" spans="2:9" ht="18" x14ac:dyDescent="0.25">
      <c r="B8" s="1" t="str">
        <f>+Données!B23</f>
        <v>Ordi 4</v>
      </c>
      <c r="C8" s="28">
        <v>2000</v>
      </c>
      <c r="D8" s="28">
        <f t="shared" si="0"/>
        <v>1500</v>
      </c>
      <c r="E8" s="63">
        <f>DATE(2018-2,1,1)</f>
        <v>42370</v>
      </c>
      <c r="F8" s="6">
        <v>3</v>
      </c>
      <c r="G8" s="33">
        <f t="shared" si="2"/>
        <v>500</v>
      </c>
      <c r="H8" s="34">
        <f t="shared" si="1"/>
        <v>2.0027397260273974</v>
      </c>
      <c r="I8" s="32">
        <f t="shared" si="3"/>
        <v>500</v>
      </c>
    </row>
    <row r="9" spans="2:9" ht="18" x14ac:dyDescent="0.25">
      <c r="B9" s="1" t="str">
        <f>+Données!B24</f>
        <v>Ordi 5</v>
      </c>
      <c r="C9" s="28">
        <v>2400</v>
      </c>
      <c r="D9" s="28">
        <f t="shared" si="0"/>
        <v>1800</v>
      </c>
      <c r="E9" s="63">
        <f>DATE(2018-3,1,1)</f>
        <v>42005</v>
      </c>
      <c r="F9" s="6">
        <v>3</v>
      </c>
      <c r="G9" s="33">
        <f t="shared" si="2"/>
        <v>600</v>
      </c>
      <c r="H9" s="34">
        <f t="shared" si="1"/>
        <v>3.0027397260273974</v>
      </c>
      <c r="I9" s="32">
        <f t="shared" si="3"/>
        <v>0</v>
      </c>
    </row>
    <row r="10" spans="2:9" ht="18" x14ac:dyDescent="0.25">
      <c r="B10" s="1" t="str">
        <f>+Données!B25</f>
        <v>Ordi 6</v>
      </c>
      <c r="C10" s="28">
        <v>1200</v>
      </c>
      <c r="D10" s="28">
        <f t="shared" si="0"/>
        <v>900</v>
      </c>
      <c r="E10" s="63">
        <f>DATE(2018-2,1,1)</f>
        <v>42370</v>
      </c>
      <c r="F10" s="6">
        <v>3</v>
      </c>
      <c r="G10" s="33">
        <f t="shared" si="2"/>
        <v>300</v>
      </c>
      <c r="H10" s="34">
        <f t="shared" si="1"/>
        <v>2.0027397260273974</v>
      </c>
      <c r="I10" s="32">
        <f t="shared" si="3"/>
        <v>300</v>
      </c>
    </row>
    <row r="11" spans="2:9" ht="18" x14ac:dyDescent="0.25">
      <c r="B11" s="1" t="str">
        <f>+Données!B26</f>
        <v>Ordi 7</v>
      </c>
      <c r="C11" s="28">
        <v>1600</v>
      </c>
      <c r="D11" s="28">
        <f t="shared" si="0"/>
        <v>1200</v>
      </c>
      <c r="E11" s="63">
        <f>DATE(2018-3,1,1)</f>
        <v>42005</v>
      </c>
      <c r="F11" s="6">
        <v>3</v>
      </c>
      <c r="G11" s="33">
        <f t="shared" si="2"/>
        <v>400</v>
      </c>
      <c r="H11" s="34">
        <f t="shared" si="1"/>
        <v>3.0027397260273974</v>
      </c>
      <c r="I11" s="32">
        <f t="shared" si="3"/>
        <v>0</v>
      </c>
    </row>
    <row r="12" spans="2:9" ht="18" x14ac:dyDescent="0.25">
      <c r="B12" s="1" t="str">
        <f>+Données!B27</f>
        <v>Serveur 1</v>
      </c>
      <c r="C12" s="28">
        <v>6000</v>
      </c>
      <c r="D12" s="28">
        <f t="shared" si="0"/>
        <v>4500</v>
      </c>
      <c r="E12" s="31">
        <f>DATE(2018-2,1,1)</f>
        <v>42370</v>
      </c>
      <c r="F12" s="6">
        <v>3</v>
      </c>
      <c r="G12" s="33">
        <f t="shared" si="2"/>
        <v>1500</v>
      </c>
      <c r="H12" s="34">
        <f t="shared" si="1"/>
        <v>2.0027397260273974</v>
      </c>
      <c r="I12" s="32">
        <f t="shared" si="3"/>
        <v>1500</v>
      </c>
    </row>
    <row r="13" spans="2:9" ht="18" x14ac:dyDescent="0.25">
      <c r="B13" s="1" t="str">
        <f>+Données!B28</f>
        <v>Serveur 2</v>
      </c>
      <c r="C13" s="28">
        <v>4800</v>
      </c>
      <c r="D13" s="28">
        <f t="shared" si="0"/>
        <v>3600</v>
      </c>
      <c r="E13" s="31">
        <f>DATE(2018-6,1,1)</f>
        <v>40909</v>
      </c>
      <c r="F13" s="6">
        <v>3</v>
      </c>
      <c r="G13" s="33">
        <f t="shared" si="2"/>
        <v>1200</v>
      </c>
      <c r="H13" s="34">
        <f t="shared" si="1"/>
        <v>6.0054794520547947</v>
      </c>
      <c r="I13" s="32">
        <f t="shared" si="3"/>
        <v>0</v>
      </c>
    </row>
    <row r="14" spans="2:9" ht="18" x14ac:dyDescent="0.25">
      <c r="B14" s="1" t="str">
        <f>+Données!B29</f>
        <v>Imprimante 1</v>
      </c>
      <c r="C14" s="28">
        <v>2000</v>
      </c>
      <c r="D14" s="28">
        <f t="shared" si="0"/>
        <v>1500</v>
      </c>
      <c r="E14" s="31">
        <f>DATE(2018-2,1,1)</f>
        <v>42370</v>
      </c>
      <c r="F14" s="6">
        <v>3</v>
      </c>
      <c r="G14" s="33">
        <f t="shared" si="2"/>
        <v>500</v>
      </c>
      <c r="H14" s="34">
        <f t="shared" si="1"/>
        <v>2.0027397260273974</v>
      </c>
      <c r="I14" s="32">
        <f t="shared" si="3"/>
        <v>500</v>
      </c>
    </row>
    <row r="15" spans="2:9" ht="18" x14ac:dyDescent="0.25">
      <c r="B15" s="1" t="str">
        <f>+Données!B30</f>
        <v>Imprimante 2</v>
      </c>
      <c r="C15" s="28">
        <v>3200</v>
      </c>
      <c r="D15" s="28">
        <f t="shared" si="0"/>
        <v>2400</v>
      </c>
      <c r="E15" s="31">
        <f>DATE(2018-1,1,1)</f>
        <v>42736</v>
      </c>
      <c r="F15" s="6">
        <v>3</v>
      </c>
      <c r="G15" s="33">
        <f t="shared" si="2"/>
        <v>800</v>
      </c>
      <c r="H15" s="34">
        <f t="shared" si="1"/>
        <v>1</v>
      </c>
      <c r="I15" s="32">
        <f t="shared" si="3"/>
        <v>800</v>
      </c>
    </row>
    <row r="16" spans="2:9" ht="18" x14ac:dyDescent="0.25">
      <c r="B16" s="1" t="str">
        <f>+Données!B31</f>
        <v>Imprimante 3</v>
      </c>
      <c r="C16" s="28">
        <v>1200</v>
      </c>
      <c r="D16" s="28">
        <f t="shared" si="0"/>
        <v>900</v>
      </c>
      <c r="E16" s="31">
        <f>DATE(2018,1,1)</f>
        <v>43101</v>
      </c>
      <c r="F16" s="6">
        <v>3</v>
      </c>
      <c r="G16" s="33">
        <f t="shared" si="2"/>
        <v>300</v>
      </c>
      <c r="H16" s="34">
        <f>($C$2-E16)/365</f>
        <v>0</v>
      </c>
      <c r="I16" s="32">
        <f>IF(H16&gt;=3,0,G16)</f>
        <v>300</v>
      </c>
    </row>
    <row r="17" spans="2:9" ht="15.75" x14ac:dyDescent="0.25">
      <c r="B17" s="36" t="s">
        <v>20</v>
      </c>
      <c r="C17" s="37">
        <f>C5+C6+C7+C8+C9+C10+C11+C12+C13+C14+C15+C16</f>
        <v>29000</v>
      </c>
      <c r="D17" s="37">
        <f>D5+D6+D7+D8+D9+D10+D11+D12+D13+D14+D15+D16</f>
        <v>21750</v>
      </c>
      <c r="E17" s="36"/>
      <c r="F17" s="36"/>
      <c r="G17" s="36"/>
      <c r="H17" s="36"/>
      <c r="I17" s="32">
        <f>I6+I7+I9+I8+I10+I11+I12+I13+I14+I15+I16</f>
        <v>4300</v>
      </c>
    </row>
    <row r="19" spans="2:9" x14ac:dyDescent="0.25">
      <c r="B19" t="s">
        <v>58</v>
      </c>
      <c r="C19" s="11">
        <v>43101</v>
      </c>
    </row>
    <row r="20" spans="2:9" ht="7.5" customHeight="1" x14ac:dyDescent="0.25"/>
    <row r="21" spans="2:9" x14ac:dyDescent="0.25">
      <c r="B21" s="1" t="str">
        <f>+B4</f>
        <v>Description</v>
      </c>
      <c r="C21" s="1" t="str">
        <f t="shared" ref="C21:F21" si="4">+C4</f>
        <v>Prix catalogue</v>
      </c>
      <c r="D21" s="1" t="str">
        <f t="shared" si="4"/>
        <v>Prix d'achat</v>
      </c>
      <c r="E21" s="1" t="str">
        <f t="shared" si="4"/>
        <v>Date d'achat</v>
      </c>
      <c r="F21" s="1" t="str">
        <f t="shared" si="4"/>
        <v>Durée amort</v>
      </c>
      <c r="G21" s="1" t="s">
        <v>56</v>
      </c>
      <c r="H21" s="1" t="s">
        <v>57</v>
      </c>
      <c r="I21" s="1" t="s">
        <v>88</v>
      </c>
    </row>
    <row r="22" spans="2:9" ht="18" x14ac:dyDescent="0.25">
      <c r="B22" s="1" t="str">
        <f>+Données!B36</f>
        <v>Logiciel 1</v>
      </c>
      <c r="C22" s="28">
        <v>10000</v>
      </c>
      <c r="D22" s="28">
        <f>+C22*75%</f>
        <v>7500</v>
      </c>
      <c r="E22" s="31">
        <f>DATE(2018-3,1,1)</f>
        <v>42005</v>
      </c>
      <c r="F22" s="6">
        <v>3</v>
      </c>
      <c r="G22" s="32">
        <f>1/3*D22</f>
        <v>2500</v>
      </c>
      <c r="H22" s="35">
        <f>($C$19-E22)/365</f>
        <v>3.0027397260273974</v>
      </c>
      <c r="I22" s="32">
        <f>IF(H22&gt;=3,0,G22)</f>
        <v>0</v>
      </c>
    </row>
    <row r="23" spans="2:9" ht="18" x14ac:dyDescent="0.25">
      <c r="B23" s="1" t="str">
        <f>+Données!B37</f>
        <v>Logiciel 2</v>
      </c>
      <c r="C23" s="28">
        <v>15000</v>
      </c>
      <c r="D23" s="28">
        <f t="shared" ref="D23:D26" si="5">+C23*75%</f>
        <v>11250</v>
      </c>
      <c r="E23" s="31">
        <f>DATE(2018-2,1,1)</f>
        <v>42370</v>
      </c>
      <c r="F23" s="6">
        <v>3</v>
      </c>
      <c r="G23" s="32">
        <f t="shared" ref="G23:G27" si="6">1/3*D23</f>
        <v>3750</v>
      </c>
      <c r="H23" s="35">
        <f t="shared" ref="H23:H26" si="7">($C$19-E23)/365</f>
        <v>2.0027397260273974</v>
      </c>
      <c r="I23" s="32">
        <f t="shared" ref="I23:I26" si="8">IF(H23&gt;=3,0,G23)</f>
        <v>3750</v>
      </c>
    </row>
    <row r="24" spans="2:9" ht="18" x14ac:dyDescent="0.25">
      <c r="B24" s="1" t="str">
        <f>+Données!B38</f>
        <v>Logiciel 3</v>
      </c>
      <c r="C24" s="28">
        <v>5000</v>
      </c>
      <c r="D24" s="28">
        <f t="shared" si="5"/>
        <v>3750</v>
      </c>
      <c r="E24" s="31">
        <f>DATE(2018-6,1,1)</f>
        <v>40909</v>
      </c>
      <c r="F24" s="6">
        <v>3</v>
      </c>
      <c r="G24" s="32">
        <f t="shared" si="6"/>
        <v>1250</v>
      </c>
      <c r="H24" s="35">
        <f t="shared" si="7"/>
        <v>6.0054794520547947</v>
      </c>
      <c r="I24" s="32">
        <f t="shared" si="8"/>
        <v>0</v>
      </c>
    </row>
    <row r="25" spans="2:9" ht="18" x14ac:dyDescent="0.25">
      <c r="B25" s="1" t="str">
        <f>+Données!B39</f>
        <v>Logiciel 4</v>
      </c>
      <c r="C25" s="28">
        <v>10000</v>
      </c>
      <c r="D25" s="28">
        <f t="shared" si="5"/>
        <v>7500</v>
      </c>
      <c r="E25" s="31">
        <f>DATE(2018-2,1,1)</f>
        <v>42370</v>
      </c>
      <c r="F25" s="6">
        <v>3</v>
      </c>
      <c r="G25" s="32">
        <f t="shared" si="6"/>
        <v>2500</v>
      </c>
      <c r="H25" s="35">
        <f t="shared" si="7"/>
        <v>2.0027397260273974</v>
      </c>
      <c r="I25" s="32">
        <f t="shared" si="8"/>
        <v>2500</v>
      </c>
    </row>
    <row r="26" spans="2:9" ht="18" x14ac:dyDescent="0.25">
      <c r="B26" s="1" t="str">
        <f>+Données!B40</f>
        <v>Logiciel 5</v>
      </c>
      <c r="C26" s="28">
        <v>50000</v>
      </c>
      <c r="D26" s="28">
        <f t="shared" si="5"/>
        <v>37500</v>
      </c>
      <c r="E26" s="31">
        <f>DATE(2018,1,1)</f>
        <v>43101</v>
      </c>
      <c r="F26" s="6">
        <v>3</v>
      </c>
      <c r="G26" s="32">
        <f t="shared" si="6"/>
        <v>12500</v>
      </c>
      <c r="H26" s="35">
        <f t="shared" si="7"/>
        <v>0</v>
      </c>
      <c r="I26" s="32">
        <f t="shared" si="8"/>
        <v>12500</v>
      </c>
    </row>
    <row r="27" spans="2:9" ht="15.75" x14ac:dyDescent="0.25">
      <c r="B27" s="36" t="s">
        <v>20</v>
      </c>
      <c r="C27" s="37">
        <f>C22+C23+C24+C25+C26</f>
        <v>90000</v>
      </c>
      <c r="D27" s="37">
        <f>D22+D23+D24+D25+D26</f>
        <v>67500</v>
      </c>
      <c r="E27" s="36"/>
      <c r="F27" s="36"/>
      <c r="G27" s="36"/>
      <c r="H27" s="36"/>
      <c r="I27" s="37">
        <f>I22+I23+I24+I25+I26</f>
        <v>18750</v>
      </c>
    </row>
    <row r="29" spans="2:9" x14ac:dyDescent="0.25">
      <c r="B29" t="s">
        <v>59</v>
      </c>
    </row>
    <row r="30" spans="2:9" x14ac:dyDescent="0.25">
      <c r="D30" s="1" t="s">
        <v>10</v>
      </c>
      <c r="E30" s="53">
        <f>C17</f>
        <v>29000</v>
      </c>
      <c r="F30" s="54" t="s">
        <v>60</v>
      </c>
      <c r="G30" s="55">
        <v>0.05</v>
      </c>
      <c r="H30" s="1" t="s">
        <v>61</v>
      </c>
      <c r="I30" s="53">
        <f>E30*G30</f>
        <v>1450</v>
      </c>
    </row>
    <row r="31" spans="2:9" x14ac:dyDescent="0.25">
      <c r="H31" s="1" t="s">
        <v>62</v>
      </c>
      <c r="I31" s="56">
        <f>I30/12</f>
        <v>120.83333333333333</v>
      </c>
    </row>
    <row r="33" spans="2:9" x14ac:dyDescent="0.25">
      <c r="B33" t="s">
        <v>63</v>
      </c>
    </row>
    <row r="34" spans="2:9" x14ac:dyDescent="0.25">
      <c r="D34" s="1" t="s">
        <v>10</v>
      </c>
      <c r="E34" s="53">
        <f>C27</f>
        <v>90000</v>
      </c>
      <c r="F34" s="54" t="s">
        <v>60</v>
      </c>
      <c r="G34" s="55">
        <f>Données!D56</f>
        <v>0.1</v>
      </c>
      <c r="H34" s="1" t="s">
        <v>61</v>
      </c>
      <c r="I34" s="53">
        <f>E34*G34</f>
        <v>9000</v>
      </c>
    </row>
    <row r="35" spans="2:9" x14ac:dyDescent="0.25">
      <c r="H35" s="1" t="s">
        <v>62</v>
      </c>
      <c r="I35" s="56">
        <f>I34/12</f>
        <v>750</v>
      </c>
    </row>
  </sheetData>
  <pageMargins left="0.55118110236220474" right="0.70866141732283472" top="0.51181102362204722" bottom="0.4330708661417322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Commentaires</vt:lpstr>
      <vt:lpstr>Données</vt:lpstr>
      <vt:lpstr>Budget 2018</vt:lpstr>
      <vt:lpstr>Amortissements et maintenance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Etudiant</cp:lastModifiedBy>
  <cp:lastPrinted>2015-09-24T12:04:51Z</cp:lastPrinted>
  <dcterms:created xsi:type="dcterms:W3CDTF">2015-09-10T13:13:17Z</dcterms:created>
  <dcterms:modified xsi:type="dcterms:W3CDTF">2017-11-15T16:02:51Z</dcterms:modified>
</cp:coreProperties>
</file>